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6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7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1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2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3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8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9.xml" ContentType="application/vnd.openxmlformats-officedocument.drawing+xml"/>
  <Override PartName="/xl/charts/chart27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8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0.xml" ContentType="application/vnd.openxmlformats-officedocument.drawing+xml"/>
  <Override PartName="/xl/comments2.xml" ContentType="application/vnd.openxmlformats-officedocument.spreadsheetml.comments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drawings/drawing11.xml" ContentType="application/vnd.openxmlformats-officedocument.drawing+xml"/>
  <Override PartName="/xl/charts/chart3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4.xml" ContentType="application/vnd.openxmlformats-officedocument.drawing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harts/chart39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7.xml" ContentType="application/vnd.openxmlformats-officedocument.drawingml.chartshapes+xml"/>
  <Override PartName="/xl/charts/chart40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1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2.xml" ContentType="application/vnd.openxmlformats-officedocument.drawingml.chart+xml"/>
  <Override PartName="/xl/drawings/drawing18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harts/chart46.xml" ContentType="application/vnd.openxmlformats-officedocument.drawingml.chart+xml"/>
  <Override PartName="/xl/drawings/drawing21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22.xml" ContentType="application/vnd.openxmlformats-officedocument.drawingml.chartshapes+xml"/>
  <Override PartName="/xl/charts/chart49.xml" ContentType="application/vnd.openxmlformats-officedocument.drawingml.chart+xml"/>
  <Override PartName="/xl/drawings/drawing23.xml" ContentType="application/vnd.openxmlformats-officedocument.drawing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drawings/drawing24.xml" ContentType="application/vnd.openxmlformats-officedocument.drawingml.chartshapes+xml"/>
  <Override PartName="/xl/charts/chart52.xml" ContentType="application/vnd.openxmlformats-officedocument.drawingml.chart+xml"/>
  <Override PartName="/xl/drawings/drawing25.xml" ContentType="application/vnd.openxmlformats-officedocument.drawing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26.xml" ContentType="application/vnd.openxmlformats-officedocument.drawingml.chartshapes+xml"/>
  <Override PartName="/xl/charts/chart55.xml" ContentType="application/vnd.openxmlformats-officedocument.drawingml.chart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drawings/drawing29.xml" ContentType="application/vnd.openxmlformats-officedocument.drawing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30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harts/chart72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33.xml" ContentType="application/vnd.openxmlformats-officedocument.drawingml.chartshapes+xml"/>
  <Override PartName="/xl/charts/chart73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74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drawings/drawing34.xml" ContentType="application/vnd.openxmlformats-officedocument.drawing+xml"/>
  <Override PartName="/xl/comments3.xml" ContentType="application/vnd.openxmlformats-officedocument.spreadsheetml.comments+xml"/>
  <Override PartName="/xl/charts/chart78.xml" ContentType="application/vnd.openxmlformats-officedocument.drawingml.chart+xml"/>
  <Override PartName="/xl/drawings/drawing35.xml" ContentType="application/vnd.openxmlformats-officedocument.drawing+xml"/>
  <Override PartName="/xl/comments4.xml" ContentType="application/vnd.openxmlformats-officedocument.spreadsheetml.comments+xml"/>
  <Override PartName="/xl/charts/chart79.xml" ContentType="application/vnd.openxmlformats-officedocument.drawingml.chart+xml"/>
  <Override PartName="/xl/drawings/drawing36.xml" ContentType="application/vnd.openxmlformats-officedocument.drawing+xml"/>
  <Override PartName="/xl/comments5.xml" ContentType="application/vnd.openxmlformats-officedocument.spreadsheetml.comments+xml"/>
  <Override PartName="/xl/charts/chart80.xml" ContentType="application/vnd.openxmlformats-officedocument.drawingml.chart+xml"/>
  <Override PartName="/xl/drawings/drawing37.xml" ContentType="application/vnd.openxmlformats-officedocument.drawing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38.xml" ContentType="application/vnd.openxmlformats-officedocument.drawing+xml"/>
  <Override PartName="/xl/charts/chart83.xml" ContentType="application/vnd.openxmlformats-officedocument.drawingml.chart+xml"/>
  <Override PartName="/xl/drawings/drawing39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syabaab pc\ansa-lab\file excel\"/>
    </mc:Choice>
  </mc:AlternateContent>
  <xr:revisionPtr revIDLastSave="0" documentId="13_ncr:1_{AED302BF-71D0-487C-BC17-899741F529A4}" xr6:coauthVersionLast="47" xr6:coauthVersionMax="47" xr10:uidLastSave="{00000000-0000-0000-0000-000000000000}"/>
  <bookViews>
    <workbookView xWindow="4545" yWindow="1800" windowWidth="21600" windowHeight="11295" tabRatio="936" firstSheet="7" activeTab="7" xr2:uid="{190591E5-56E9-42D2-9277-1199FA744BB2}"/>
  </bookViews>
  <sheets>
    <sheet name="Data" sheetId="24" r:id="rId1"/>
    <sheet name="Resume" sheetId="13" r:id="rId2"/>
    <sheet name="PP" sheetId="12" r:id="rId3"/>
    <sheet name="A. GS" sheetId="3" r:id="rId4"/>
    <sheet name="GS" sheetId="4" r:id="rId5"/>
    <sheet name="ATB" sheetId="14" r:id="rId6"/>
    <sheet name="Consol" sheetId="21" r:id="rId7"/>
    <sheet name="UU" sheetId="22" r:id="rId8"/>
    <sheet name="TR UU" sheetId="5" r:id="rId9"/>
    <sheet name="UCS" sheetId="23" r:id="rId10"/>
    <sheet name="DS" sheetId="19" state="hidden" r:id="rId11"/>
    <sheet name="PB" sheetId="25" state="hidden" r:id="rId12"/>
    <sheet name="CU_Multi Saturasi" sheetId="26" r:id="rId13"/>
    <sheet name="Cu_Multi Consol" sheetId="27" r:id="rId14"/>
    <sheet name="Cu_Multi Shear" sheetId="28" r:id="rId15"/>
    <sheet name="Cu_Multi Graph" sheetId="29" r:id="rId16"/>
    <sheet name="Graph Ds CD" sheetId="31" state="hidden" r:id="rId17"/>
    <sheet name="Cons.Ds CD" sheetId="33" state="hidden" r:id="rId18"/>
    <sheet name="Shearing Ds CD" sheetId="37" state="hidden" r:id="rId19"/>
    <sheet name="t50(1) Ds CD" sheetId="34" state="hidden" r:id="rId20"/>
    <sheet name="t50(2) Ds CD" sheetId="35" state="hidden" r:id="rId21"/>
    <sheet name="t50(3) Ds CD" sheetId="36" state="hidden" r:id="rId22"/>
    <sheet name="Rumus" sheetId="38" state="hidden" r:id="rId23"/>
    <sheet name="DS RS Curve" sheetId="32" r:id="rId24"/>
    <sheet name="DS RS(1)" sheetId="39" r:id="rId25"/>
    <sheet name="DS RS(2)" sheetId="40" r:id="rId26"/>
    <sheet name="DS RS(3)" sheetId="41" r:id="rId27"/>
    <sheet name="CU_Multi Saturasi pmdtn" sheetId="42" r:id="rId28"/>
    <sheet name="Cu_Multi Consol pmdtn" sheetId="43" r:id="rId29"/>
    <sheet name="Cu_Multi Shear pmdtn" sheetId="44" r:id="rId30"/>
    <sheet name="Cu_Multi Graph pmdtn" sheetId="45" r:id="rId31"/>
    <sheet name="Details" sheetId="11" r:id="rId32"/>
    <sheet name="10x" sheetId="46" r:id="rId33"/>
    <sheet name="25X" sheetId="47" r:id="rId34"/>
    <sheet name="56X" sheetId="48" r:id="rId35"/>
    <sheet name="unsoaked" sheetId="49" r:id="rId36"/>
    <sheet name="Standard Proctor" sheetId="50" r:id="rId37"/>
    <sheet name="CBR" sheetId="30" state="hidden" r:id="rId38"/>
  </sheets>
  <definedNames>
    <definedName name="_xlnm._FilterDatabase" localSheetId="2" hidden="1">PP!$Z$11:$AA$46</definedName>
    <definedName name="_PM25" localSheetId="32">#REF!</definedName>
    <definedName name="_PM25" localSheetId="33">#REF!</definedName>
    <definedName name="_PM25" localSheetId="34">#REF!</definedName>
    <definedName name="_PM25" localSheetId="11">#REF!</definedName>
    <definedName name="_PM25" localSheetId="36">#REF!</definedName>
    <definedName name="_PM25" localSheetId="35">#REF!</definedName>
    <definedName name="_PM25" localSheetId="7">#REF!</definedName>
    <definedName name="_PM25">#REF!</definedName>
    <definedName name="_PM32" localSheetId="32">#REF!</definedName>
    <definedName name="_PM32" localSheetId="33">#REF!</definedName>
    <definedName name="_PM32" localSheetId="34">#REF!</definedName>
    <definedName name="_PM32" localSheetId="11">#REF!</definedName>
    <definedName name="_PM32" localSheetId="36">#REF!</definedName>
    <definedName name="_PM32" localSheetId="35">#REF!</definedName>
    <definedName name="_PM32" localSheetId="7">#REF!</definedName>
    <definedName name="_PM32">#REF!</definedName>
    <definedName name="KONST1" localSheetId="32">#REF!</definedName>
    <definedName name="KONST1" localSheetId="33">#REF!</definedName>
    <definedName name="KONST1" localSheetId="34">#REF!</definedName>
    <definedName name="KONST1" localSheetId="11">#REF!</definedName>
    <definedName name="KONST1" localSheetId="36">#REF!</definedName>
    <definedName name="KONST1" localSheetId="35">#REF!</definedName>
    <definedName name="KONST1" localSheetId="7">#REF!</definedName>
    <definedName name="KONST1">#REF!</definedName>
    <definedName name="KONST2" localSheetId="32">#REF!</definedName>
    <definedName name="KONST2" localSheetId="33">#REF!</definedName>
    <definedName name="KONST2" localSheetId="34">#REF!</definedName>
    <definedName name="KONST2" localSheetId="11">#REF!</definedName>
    <definedName name="KONST2" localSheetId="36">#REF!</definedName>
    <definedName name="KONST2" localSheetId="35">#REF!</definedName>
    <definedName name="KONST2" localSheetId="7">#REF!</definedName>
    <definedName name="KONST2">#REF!</definedName>
    <definedName name="KONST3" localSheetId="32">#REF!</definedName>
    <definedName name="KONST3" localSheetId="33">#REF!</definedName>
    <definedName name="KONST3" localSheetId="34">#REF!</definedName>
    <definedName name="KONST3" localSheetId="11">#REF!</definedName>
    <definedName name="KONST3" localSheetId="36">#REF!</definedName>
    <definedName name="KONST3" localSheetId="35">#REF!</definedName>
    <definedName name="KONST3" localSheetId="7">#REF!</definedName>
    <definedName name="KONST3">#REF!</definedName>
    <definedName name="MASS1" localSheetId="11">#REF!</definedName>
    <definedName name="MASS1" localSheetId="36">#REF!</definedName>
    <definedName name="MASS1" localSheetId="7">#REF!</definedName>
    <definedName name="MASS1">#REF!</definedName>
    <definedName name="MASS2" localSheetId="11">#REF!</definedName>
    <definedName name="MASS2" localSheetId="36">#REF!</definedName>
    <definedName name="MASS2" localSheetId="7">#REF!</definedName>
    <definedName name="MASS2">#REF!</definedName>
    <definedName name="MASS3" localSheetId="11">#REF!</definedName>
    <definedName name="MASS3" localSheetId="36">#REF!</definedName>
    <definedName name="MASS3" localSheetId="7">#REF!</definedName>
    <definedName name="MASS3">#REF!</definedName>
    <definedName name="MASS4" localSheetId="11">#REF!</definedName>
    <definedName name="MASS4" localSheetId="36">#REF!</definedName>
    <definedName name="MASS4" localSheetId="7">#REF!</definedName>
    <definedName name="MASS4">#REF!</definedName>
    <definedName name="MASS5" localSheetId="11">#REF!</definedName>
    <definedName name="MASS5" localSheetId="36">#REF!</definedName>
    <definedName name="MASS5" localSheetId="7">#REF!</definedName>
    <definedName name="MASS5">#REF!</definedName>
    <definedName name="MASS6" localSheetId="11">#REF!</definedName>
    <definedName name="MASS6" localSheetId="36">#REF!</definedName>
    <definedName name="MASS6" localSheetId="7">#REF!</definedName>
    <definedName name="MASS6">#REF!</definedName>
    <definedName name="MASS7" localSheetId="11">#REF!</definedName>
    <definedName name="MASS7" localSheetId="36">#REF!</definedName>
    <definedName name="MASS7" localSheetId="7">#REF!</definedName>
    <definedName name="MASS7">#REF!</definedName>
    <definedName name="MCON" localSheetId="11">#REF!</definedName>
    <definedName name="MCON" localSheetId="36">#REF!</definedName>
    <definedName name="MCON" localSheetId="7">#REF!</definedName>
    <definedName name="MCON">#REF!</definedName>
    <definedName name="MS" localSheetId="11">#REF!</definedName>
    <definedName name="MS" localSheetId="36">#REF!</definedName>
    <definedName name="MS" localSheetId="7">#REF!</definedName>
    <definedName name="MS">#REF!</definedName>
    <definedName name="PR" localSheetId="11">#REF!</definedName>
    <definedName name="PR" localSheetId="36">#REF!</definedName>
    <definedName name="PR" localSheetId="7">#REF!</definedName>
    <definedName name="PR">#REF!</definedName>
    <definedName name="_xlnm.Print_Area" localSheetId="32">'10x'!$A$1:$T$73</definedName>
    <definedName name="_xlnm.Print_Area" localSheetId="33">'25X'!$A$1:$T$77</definedName>
    <definedName name="_xlnm.Print_Area" localSheetId="34">'56X'!$A$1:$T$74</definedName>
    <definedName name="_xlnm.Print_Area" localSheetId="3">'A. GS'!$A$3:$J$61</definedName>
    <definedName name="_xlnm.Print_Area" localSheetId="5">ATB!$B$1:$AF$83</definedName>
    <definedName name="_xlnm.Print_Area" localSheetId="37">CBR!$B$2:$U$65</definedName>
    <definedName name="_xlnm.Print_Area" localSheetId="17">'Cons.Ds CD'!$A$1:$BF$64</definedName>
    <definedName name="_xlnm.Print_Area" localSheetId="6">Consol!$C$2:$U$75,Consol!$C$96:$U$165</definedName>
    <definedName name="_xlnm.Print_Area" localSheetId="13">'Cu_Multi Consol'!$A$1:$O$192</definedName>
    <definedName name="_xlnm.Print_Area" localSheetId="28">'Cu_Multi Consol pmdtn'!$A$1:$O$192</definedName>
    <definedName name="_xlnm.Print_Area" localSheetId="15">'Cu_Multi Graph'!$B$1:$W$65</definedName>
    <definedName name="_xlnm.Print_Area" localSheetId="30">'Cu_Multi Graph pmdtn'!$B$1:$W$68</definedName>
    <definedName name="_xlnm.Print_Area" localSheetId="12">'CU_Multi Saturasi'!$A$2:$Q$230</definedName>
    <definedName name="_xlnm.Print_Area" localSheetId="27">'CU_Multi Saturasi pmdtn'!$A$2:$Q$230</definedName>
    <definedName name="_xlnm.Print_Area" localSheetId="14">'Cu_Multi Shear'!$A$1:$Q$201</definedName>
    <definedName name="_xlnm.Print_Area" localSheetId="29">'Cu_Multi Shear pmdtn'!$A$1:$Q$201</definedName>
    <definedName name="_xlnm.Print_Area" localSheetId="10">DS!$B$2:$Y$72</definedName>
    <definedName name="_xlnm.Print_Area" localSheetId="23">'DS RS Curve'!$B$2:$AF$72,'DS RS Curve'!$B$76:$AF$147</definedName>
    <definedName name="_xlnm.Print_Area" localSheetId="24">'DS RS(1)'!$A$2:$AS$70</definedName>
    <definedName name="_xlnm.Print_Area" localSheetId="25">'DS RS(2)'!$A$2:$AS$70</definedName>
    <definedName name="_xlnm.Print_Area" localSheetId="26">'DS RS(3)'!$A$2:$AS$70</definedName>
    <definedName name="_xlnm.Print_Area" localSheetId="16">'Graph Ds CD'!$B$2:$AF$73</definedName>
    <definedName name="_xlnm.Print_Area" localSheetId="4">GS!$C$2:$S$79</definedName>
    <definedName name="_xlnm.Print_Area" localSheetId="11">PB!$B$2:$T$75</definedName>
    <definedName name="_xlnm.Print_Area" localSheetId="2">PP!$B$2:$T$46</definedName>
    <definedName name="_xlnm.Print_Area" localSheetId="1">Resume!$B$2:$O$177</definedName>
    <definedName name="_xlnm.Print_Area" localSheetId="22">Rumus!$B$2:$AP$29</definedName>
    <definedName name="_xlnm.Print_Area" localSheetId="18">'Shearing Ds CD'!$A$1:$BF$62</definedName>
    <definedName name="_xlnm.Print_Area" localSheetId="36">'Standard Proctor'!$B$2:$U$61</definedName>
    <definedName name="_xlnm.Print_Area" localSheetId="19">'t50(1) Ds CD'!$BH$2:$BZ$39</definedName>
    <definedName name="_xlnm.Print_Area" localSheetId="20">'t50(2) Ds CD'!$BH$2:$BZ$39</definedName>
    <definedName name="_xlnm.Print_Area" localSheetId="21">'t50(3) Ds CD'!$BH$2:$BZ$39</definedName>
    <definedName name="_xlnm.Print_Area" localSheetId="8">'TR UU'!$C$2:$U$81</definedName>
    <definedName name="_xlnm.Print_Area" localSheetId="9">UCS!$B$3:$S$62</definedName>
    <definedName name="_xlnm.Print_Area" localSheetId="35">unsoaked!$C$2:$V$63</definedName>
    <definedName name="_xlnm.Print_Area" localSheetId="7">UU!$B$3:$R$86</definedName>
    <definedName name="PV" localSheetId="32">#REF!</definedName>
    <definedName name="PV" localSheetId="33">#REF!</definedName>
    <definedName name="PV" localSheetId="34">#REF!</definedName>
    <definedName name="PV" localSheetId="11">#REF!</definedName>
    <definedName name="PV" localSheetId="36">#REF!</definedName>
    <definedName name="PV" localSheetId="35">#REF!</definedName>
    <definedName name="PV" localSheetId="7">#REF!</definedName>
    <definedName name="PV">#REF!</definedName>
    <definedName name="s">OFFSET(#REF!,0,0,COUNT(#REF!),1)</definedName>
    <definedName name="Type_of_Sample">Details!$E$2:$E$10</definedName>
    <definedName name="X_UCS_Remoulded" localSheetId="11">OFFSET(#REF!,0,0,COUNT(#REF!),1)</definedName>
    <definedName name="X_UCS_Remoulded" localSheetId="36">OFFSET(#REF!,0,0,COUNT(#REF!),1)</definedName>
    <definedName name="X_UCS_Remoulded">OFFSET(UCS!$AE$59,0,0,COUNT(UCS!$AE$59:$AE$83),1)</definedName>
    <definedName name="X_UCS_Undisturbed" localSheetId="11">OFFSET(#REF!,0,0,COUNT(#REF!),1)</definedName>
    <definedName name="X_UCS_Undisturbed" localSheetId="36">OFFSET(#REF!,0,0,COUNT(#REF!),1)</definedName>
    <definedName name="X_UCS_Undisturbed">OFFSET(UCS!$AE$18,0,0,COUNT(UCS!$AE$18:$AE$42),1)</definedName>
    <definedName name="X_UU" localSheetId="11">OFFSET(#REF!,0,0,COUNT(#REF!),1)</definedName>
    <definedName name="X_UU" localSheetId="36">OFFSET(#REF!,0,0,COUNT(#REF!),1)</definedName>
    <definedName name="X_UU" localSheetId="9">OFFSET(#REF!,0,0,COUNT(#REF!),1)</definedName>
    <definedName name="X_UU">OFFSET(UU!$D$36,0,0,COUNT(UU!$D$36:$D$69),1)</definedName>
    <definedName name="X_UU_1kg" localSheetId="11">OFFSET(#REF!,0,0,COUNT(#REF!),1)</definedName>
    <definedName name="X_UU_1kg" localSheetId="36">OFFSET(#REF!,0,0,COUNT(#REF!),1)</definedName>
    <definedName name="X_UU_1kg" localSheetId="9">OFFSET(#REF!,0,0,COUNT(#REF!),1)</definedName>
    <definedName name="X_UU_1kg">OFFSET(UU!$J$36,0,0,COUNT(UU!$J$36:$J$69),1)</definedName>
    <definedName name="X_UU_2kg" localSheetId="11">OFFSET(#REF!,0,0,COUNT(#REF!),1)</definedName>
    <definedName name="X_UU_2kg" localSheetId="36">OFFSET(#REF!,0,0,COUNT(#REF!),1)</definedName>
    <definedName name="X_UU_2kg" localSheetId="9">OFFSET(#REF!,0,0,COUNT(#REF!),1)</definedName>
    <definedName name="X_UU_2kg">OFFSET(UU!$P$36,0,0,COUNT(UU!$P$36:$P$69),1)</definedName>
    <definedName name="Y_UCS_Remoulded" localSheetId="11">OFFSET(#REF!,0,0,COUNT(#REF!),1)</definedName>
    <definedName name="Y_UCS_Remoulded" localSheetId="36">OFFSET(#REF!,0,0,COUNT(#REF!),1)</definedName>
    <definedName name="Y_UCS_Remoulded">OFFSET(UCS!$AL$59,0,0,COUNT(UCS!$AL$59:$AL$83),1)</definedName>
    <definedName name="Y_UCS_Undisturbed" localSheetId="11">OFFSET(#REF!,0,0,COUNT(#REF!),1)</definedName>
    <definedName name="Y_UCS_Undisturbed" localSheetId="36">OFFSET(#REF!,0,0,COUNT(#REF!),1)</definedName>
    <definedName name="Y_UCS_Undisturbed">OFFSET(UCS!$AL$18,0,0,COUNT(UCS!$AL$18:$AL$42),1)</definedName>
    <definedName name="Y_UU" localSheetId="11">OFFSET(#REF!,0,0,COUNT(#REF!),1)</definedName>
    <definedName name="Y_UU" localSheetId="36">OFFSET(#REF!,0,0,COUNT(#REF!),1)</definedName>
    <definedName name="Y_UU" localSheetId="9">OFFSET(#REF!,0,0,COUNT(#REF!),1)</definedName>
    <definedName name="Y_UU">OFFSET(UU!$F$36,0,0,COUNT(UU!$D$36:$D$69),1)</definedName>
    <definedName name="Y_UU_1kg" localSheetId="11">OFFSET(#REF!,0,0,COUNT(#REF!),1)</definedName>
    <definedName name="Y_UU_1kg" localSheetId="36">OFFSET(#REF!,0,0,COUNT(#REF!),1)</definedName>
    <definedName name="Y_UU_1kg" localSheetId="9">OFFSET(#REF!,0,0,COUNT(#REF!),1)</definedName>
    <definedName name="Y_UU_1kg">OFFSET(UU!$L$36,0,0,COUNT(UU!$L$36:$L$69),1)</definedName>
    <definedName name="Y_UU_2kg" localSheetId="11">OFFSET(#REF!,0,0,COUNT(#REF!),1)</definedName>
    <definedName name="Y_UU_2kg" localSheetId="36">OFFSET(#REF!,0,0,COUNT(#REF!),1)</definedName>
    <definedName name="Y_UU_2kg" localSheetId="9">OFFSET(#REF!,0,0,COUNT(#REF!),1)</definedName>
    <definedName name="Y_UU_2kg">OFFSET(UU!$R$36,0,0,COUNT(UU!$R$36:$R$69),1)</definedName>
    <definedName name="Z_BCB9E021_2294_11D5_AD9B_C45BEEEB7525_.wvu.Cols" localSheetId="10" hidden="1">DS!$X:$X</definedName>
    <definedName name="Z_BCB9E021_2294_11D5_AD9B_C45BEEEB7525_.wvu.Cols" localSheetId="11" hidden="1">PB!$S:$S</definedName>
    <definedName name="Z_BCB9E021_2294_11D5_AD9B_C45BEEEB7525_.wvu.PrintArea" localSheetId="10" hidden="1">DS!#REF!</definedName>
    <definedName name="Z_BCB9E021_2294_11D5_AD9B_C45BEEEB7525_.wvu.PrintArea" localSheetId="11" hidden="1">PB!#REF!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22" l="1"/>
  <c r="F37" i="22"/>
  <c r="F13" i="50"/>
  <c r="Q13" i="49"/>
  <c r="N17" i="49"/>
  <c r="N14" i="49"/>
  <c r="N15" i="49"/>
  <c r="N16" i="49"/>
  <c r="N13" i="49"/>
  <c r="D19" i="49"/>
  <c r="D20" i="49"/>
  <c r="D13" i="49"/>
  <c r="D14" i="49"/>
  <c r="D15" i="49"/>
  <c r="D16" i="49"/>
  <c r="D17" i="49"/>
  <c r="D18" i="49"/>
  <c r="D12" i="49"/>
  <c r="D36" i="48"/>
  <c r="D36" i="47"/>
  <c r="D36" i="46"/>
  <c r="AF43" i="46"/>
  <c r="E24" i="46"/>
  <c r="E24" i="48"/>
  <c r="E25" i="46"/>
  <c r="E28" i="46" s="1"/>
  <c r="E25" i="47"/>
  <c r="E28" i="47" s="1"/>
  <c r="E24" i="47"/>
  <c r="E42" i="47"/>
  <c r="F42" i="47" s="1"/>
  <c r="E27" i="48"/>
  <c r="E26" i="48"/>
  <c r="E60" i="47"/>
  <c r="E58" i="47"/>
  <c r="E52" i="47"/>
  <c r="F52" i="47" s="1"/>
  <c r="E51" i="47"/>
  <c r="F51" i="47" s="1"/>
  <c r="E50" i="47"/>
  <c r="F50" i="47" s="1"/>
  <c r="E49" i="47"/>
  <c r="F49" i="47" s="1"/>
  <c r="D68" i="47" s="1"/>
  <c r="E48" i="47"/>
  <c r="F48" i="47" s="1"/>
  <c r="E47" i="47"/>
  <c r="F47" i="47" s="1"/>
  <c r="D67" i="47" s="1"/>
  <c r="E46" i="47"/>
  <c r="F46" i="47" s="1"/>
  <c r="E45" i="47"/>
  <c r="F45" i="47" s="1"/>
  <c r="E44" i="47"/>
  <c r="F44" i="47" s="1"/>
  <c r="E43" i="47"/>
  <c r="F43" i="47" s="1"/>
  <c r="E27" i="47"/>
  <c r="E26" i="47"/>
  <c r="E61" i="46"/>
  <c r="E60" i="46"/>
  <c r="E58" i="46"/>
  <c r="F43" i="46"/>
  <c r="F44" i="46"/>
  <c r="F45" i="46"/>
  <c r="F46" i="46"/>
  <c r="F47" i="46"/>
  <c r="G47" i="46" s="1"/>
  <c r="F48" i="46"/>
  <c r="F49" i="46"/>
  <c r="G49" i="46" s="1"/>
  <c r="F50" i="46"/>
  <c r="F51" i="46"/>
  <c r="F52" i="46"/>
  <c r="F42" i="46"/>
  <c r="E43" i="46"/>
  <c r="E44" i="46"/>
  <c r="E45" i="46"/>
  <c r="E46" i="46"/>
  <c r="E47" i="46"/>
  <c r="E48" i="46"/>
  <c r="E49" i="46"/>
  <c r="E50" i="46"/>
  <c r="E51" i="46"/>
  <c r="E52" i="46"/>
  <c r="E42" i="46"/>
  <c r="E27" i="46"/>
  <c r="E26" i="46"/>
  <c r="K34" i="50"/>
  <c r="L34" i="50"/>
  <c r="M34" i="50"/>
  <c r="N34" i="50"/>
  <c r="J34" i="50"/>
  <c r="K35" i="50"/>
  <c r="L35" i="50"/>
  <c r="M35" i="50"/>
  <c r="N35" i="50"/>
  <c r="N36" i="50" s="1"/>
  <c r="J35" i="50"/>
  <c r="K36" i="50"/>
  <c r="L36" i="50"/>
  <c r="M36" i="50"/>
  <c r="J36" i="50"/>
  <c r="J25" i="50"/>
  <c r="K25" i="50" s="1"/>
  <c r="L25" i="50" s="1"/>
  <c r="M25" i="50" s="1"/>
  <c r="N25" i="50" s="1"/>
  <c r="J23" i="50"/>
  <c r="J24" i="50" s="1"/>
  <c r="J26" i="50" s="1"/>
  <c r="D33" i="11"/>
  <c r="D34" i="11" s="1"/>
  <c r="C168" i="13" s="1"/>
  <c r="O14" i="48"/>
  <c r="Q15" i="49" s="1"/>
  <c r="O14" i="47"/>
  <c r="O14" i="46"/>
  <c r="O15" i="48"/>
  <c r="Q16" i="49" s="1"/>
  <c r="O13" i="48"/>
  <c r="Q14" i="49" s="1"/>
  <c r="E16" i="48"/>
  <c r="G17" i="49" s="1"/>
  <c r="E14" i="48"/>
  <c r="G15" i="49" s="1"/>
  <c r="E15" i="48"/>
  <c r="G16" i="49" s="1"/>
  <c r="E19" i="48"/>
  <c r="G20" i="49" s="1"/>
  <c r="E12" i="48"/>
  <c r="G13" i="49" s="1"/>
  <c r="BF43" i="49"/>
  <c r="BF44" i="49" s="1"/>
  <c r="BH43" i="49"/>
  <c r="BH44" i="49" s="1"/>
  <c r="X69" i="49"/>
  <c r="E60" i="48"/>
  <c r="E58" i="48"/>
  <c r="E61" i="48" s="1"/>
  <c r="E29" i="48" s="1"/>
  <c r="E30" i="48" s="1"/>
  <c r="J58" i="49" s="1"/>
  <c r="BG51" i="49" s="1"/>
  <c r="E25" i="48"/>
  <c r="E28" i="48" s="1"/>
  <c r="BJ48" i="49"/>
  <c r="R17" i="30"/>
  <c r="F17" i="30"/>
  <c r="R16" i="30"/>
  <c r="F15" i="30"/>
  <c r="F14" i="30"/>
  <c r="F13" i="30"/>
  <c r="X33" i="50"/>
  <c r="X32" i="50"/>
  <c r="X31" i="50"/>
  <c r="Y24" i="50"/>
  <c r="R17" i="50"/>
  <c r="R16" i="50"/>
  <c r="R15" i="50"/>
  <c r="C14" i="50"/>
  <c r="X70" i="49"/>
  <c r="BF59" i="49"/>
  <c r="BI43" i="49"/>
  <c r="AW32" i="49"/>
  <c r="AW31" i="49"/>
  <c r="BG57" i="49" s="1"/>
  <c r="BG58" i="49" s="1"/>
  <c r="AW30" i="49"/>
  <c r="N30" i="49"/>
  <c r="M30" i="49"/>
  <c r="L30" i="49"/>
  <c r="BC29" i="49"/>
  <c r="BB29" i="49"/>
  <c r="AZ29" i="49"/>
  <c r="AY29" i="49"/>
  <c r="AX29" i="49"/>
  <c r="AW29" i="49"/>
  <c r="BC28" i="49"/>
  <c r="BB28" i="49"/>
  <c r="AZ28" i="49"/>
  <c r="AY28" i="49"/>
  <c r="AX28" i="49"/>
  <c r="AW28" i="49"/>
  <c r="BC27" i="49"/>
  <c r="BB27" i="49"/>
  <c r="AZ27" i="49"/>
  <c r="AY27" i="49"/>
  <c r="AX27" i="49"/>
  <c r="AW27" i="49"/>
  <c r="BC26" i="49"/>
  <c r="BB26" i="49"/>
  <c r="AZ26" i="49"/>
  <c r="AY26" i="49"/>
  <c r="AX26" i="49"/>
  <c r="AW26" i="49"/>
  <c r="BC25" i="49"/>
  <c r="BB25" i="49"/>
  <c r="AZ25" i="49"/>
  <c r="AY25" i="49"/>
  <c r="AX25" i="49"/>
  <c r="AW25" i="49"/>
  <c r="BC24" i="49"/>
  <c r="BB24" i="49"/>
  <c r="AZ24" i="49"/>
  <c r="AY24" i="49"/>
  <c r="AX24" i="49"/>
  <c r="AW24" i="49"/>
  <c r="BF23" i="49"/>
  <c r="BF22" i="49"/>
  <c r="BF21" i="49"/>
  <c r="BB18" i="49"/>
  <c r="AV18" i="49"/>
  <c r="BB17" i="49"/>
  <c r="AV17" i="49"/>
  <c r="BB16" i="49"/>
  <c r="AV16" i="49"/>
  <c r="BB15" i="49"/>
  <c r="AY14" i="49"/>
  <c r="BB12" i="49"/>
  <c r="AV12" i="49"/>
  <c r="BB11" i="49"/>
  <c r="AV11" i="49"/>
  <c r="BB10" i="49"/>
  <c r="AV10" i="49"/>
  <c r="BB5" i="49"/>
  <c r="AZ5" i="49"/>
  <c r="AW5" i="49"/>
  <c r="AW4" i="49"/>
  <c r="AW3" i="49"/>
  <c r="AW2" i="49"/>
  <c r="AM60" i="48"/>
  <c r="AM59" i="48"/>
  <c r="AM58" i="48"/>
  <c r="AM57" i="48"/>
  <c r="AM56" i="48"/>
  <c r="AM55" i="48"/>
  <c r="AM54" i="48"/>
  <c r="AM53" i="48"/>
  <c r="Y53" i="48"/>
  <c r="AM52" i="48"/>
  <c r="Z52" i="48"/>
  <c r="Z53" i="48" s="1"/>
  <c r="AQ51" i="48"/>
  <c r="AQ52" i="48" s="1"/>
  <c r="AM51" i="48"/>
  <c r="Z51" i="48"/>
  <c r="Y51" i="48"/>
  <c r="Y54" i="48" s="1"/>
  <c r="Y23" i="48" s="1"/>
  <c r="AM50" i="48"/>
  <c r="BA47" i="48"/>
  <c r="AQ47" i="48"/>
  <c r="AQ48" i="48" s="1"/>
  <c r="BA46" i="48"/>
  <c r="BA45" i="48"/>
  <c r="BA44" i="48"/>
  <c r="BA43" i="48"/>
  <c r="BA42" i="48"/>
  <c r="BA41" i="48"/>
  <c r="AL41" i="48"/>
  <c r="BA40" i="48"/>
  <c r="AL40" i="48"/>
  <c r="BA39" i="48"/>
  <c r="AL39" i="48"/>
  <c r="BA38" i="48"/>
  <c r="AL38" i="48"/>
  <c r="AL37" i="48"/>
  <c r="AL36" i="48"/>
  <c r="AL35" i="48"/>
  <c r="AL34" i="48"/>
  <c r="AL33" i="48"/>
  <c r="AL32" i="48"/>
  <c r="AL31" i="48"/>
  <c r="BJ29" i="48"/>
  <c r="BD29" i="48"/>
  <c r="X28" i="48"/>
  <c r="Z34" i="48" s="1"/>
  <c r="AM31" i="48" s="1"/>
  <c r="AN19" i="48" s="1"/>
  <c r="BJ27" i="48"/>
  <c r="BK27" i="48" s="1"/>
  <c r="BD27" i="48"/>
  <c r="BE27" i="48" s="1"/>
  <c r="BJ26" i="48"/>
  <c r="BK26" i="48" s="1"/>
  <c r="BD26" i="48"/>
  <c r="BE26" i="48" s="1"/>
  <c r="AO26" i="48"/>
  <c r="BJ25" i="48"/>
  <c r="BK25" i="48" s="1"/>
  <c r="BD25" i="48"/>
  <c r="BE25" i="48" s="1"/>
  <c r="BL40" i="48" s="1"/>
  <c r="BJ24" i="48"/>
  <c r="BK24" i="48" s="1"/>
  <c r="BD24" i="48"/>
  <c r="BE24" i="48" s="1"/>
  <c r="BJ23" i="48"/>
  <c r="BK23" i="48" s="1"/>
  <c r="BD23" i="48"/>
  <c r="BE23" i="48" s="1"/>
  <c r="BJ22" i="48"/>
  <c r="BK22" i="48" s="1"/>
  <c r="BD22" i="48"/>
  <c r="BE22" i="48" s="1"/>
  <c r="BJ21" i="48"/>
  <c r="BK21" i="48" s="1"/>
  <c r="BD21" i="48"/>
  <c r="BE21" i="48" s="1"/>
  <c r="AN21" i="48"/>
  <c r="Z21" i="48"/>
  <c r="BK20" i="48"/>
  <c r="BJ20" i="48"/>
  <c r="BD20" i="48"/>
  <c r="BE20" i="48" s="1"/>
  <c r="AN20" i="48"/>
  <c r="Z20" i="48"/>
  <c r="BJ19" i="48"/>
  <c r="BK19" i="48" s="1"/>
  <c r="BD19" i="48"/>
  <c r="BE19" i="48" s="1"/>
  <c r="Y19" i="48"/>
  <c r="Y22" i="48" s="1"/>
  <c r="Y24" i="48" s="1"/>
  <c r="AI18" i="48"/>
  <c r="AH18" i="48"/>
  <c r="AG18" i="48"/>
  <c r="AF18" i="48"/>
  <c r="AE18" i="48"/>
  <c r="Z18" i="48"/>
  <c r="Z19" i="48" s="1"/>
  <c r="Z22" i="48" s="1"/>
  <c r="AG13" i="48"/>
  <c r="X13" i="48"/>
  <c r="AG12" i="48"/>
  <c r="X12" i="48"/>
  <c r="AG11" i="48"/>
  <c r="X11" i="48"/>
  <c r="AH5" i="48"/>
  <c r="AF4" i="48"/>
  <c r="AZ4" i="49" s="1"/>
  <c r="AM61" i="47"/>
  <c r="AM60" i="47"/>
  <c r="AM59" i="47"/>
  <c r="AM58" i="47"/>
  <c r="AM57" i="47"/>
  <c r="AM56" i="47"/>
  <c r="AM55" i="47"/>
  <c r="AM54" i="47"/>
  <c r="Y54" i="47"/>
  <c r="AM53" i="47"/>
  <c r="Z53" i="47"/>
  <c r="Z54" i="47" s="1"/>
  <c r="AQ52" i="47"/>
  <c r="AQ53" i="47" s="1"/>
  <c r="AM52" i="47"/>
  <c r="Z52" i="47"/>
  <c r="Z55" i="47" s="1"/>
  <c r="Z24" i="47" s="1"/>
  <c r="Y52" i="47"/>
  <c r="Y55" i="47" s="1"/>
  <c r="Y24" i="47" s="1"/>
  <c r="AM51" i="47"/>
  <c r="BA48" i="47"/>
  <c r="AQ48" i="47"/>
  <c r="AQ49" i="47" s="1"/>
  <c r="BA47" i="47"/>
  <c r="BA46" i="47"/>
  <c r="BA45" i="47"/>
  <c r="BA44" i="47"/>
  <c r="BA43" i="47"/>
  <c r="BA42" i="47"/>
  <c r="AL42" i="47"/>
  <c r="BA41" i="47"/>
  <c r="AL41" i="47"/>
  <c r="BA40" i="47"/>
  <c r="AL40" i="47"/>
  <c r="BA39" i="47"/>
  <c r="AL39" i="47"/>
  <c r="AN39" i="47" s="1"/>
  <c r="AL38" i="47"/>
  <c r="AL37" i="47"/>
  <c r="AN37" i="47" s="1"/>
  <c r="AL36" i="47"/>
  <c r="AL35" i="47"/>
  <c r="D35" i="47"/>
  <c r="AL34" i="47"/>
  <c r="AL33" i="47"/>
  <c r="AL32" i="47"/>
  <c r="BJ30" i="47"/>
  <c r="BD30" i="47"/>
  <c r="X29" i="47"/>
  <c r="Z35" i="47" s="1"/>
  <c r="AM32" i="47" s="1"/>
  <c r="AN20" i="47" s="1"/>
  <c r="BJ28" i="47"/>
  <c r="BK28" i="47" s="1"/>
  <c r="CC43" i="47" s="1"/>
  <c r="BD28" i="47"/>
  <c r="BE28" i="47" s="1"/>
  <c r="BN43" i="47" s="1"/>
  <c r="X28" i="47"/>
  <c r="BJ27" i="47"/>
  <c r="BK27" i="47" s="1"/>
  <c r="CB43" i="47" s="1"/>
  <c r="BD27" i="47"/>
  <c r="BE27" i="47" s="1"/>
  <c r="BM43" i="47" s="1"/>
  <c r="AO27" i="47"/>
  <c r="BJ26" i="47"/>
  <c r="BK26" i="47" s="1"/>
  <c r="CA43" i="47" s="1"/>
  <c r="BD26" i="47"/>
  <c r="BE26" i="47" s="1"/>
  <c r="BL43" i="47" s="1"/>
  <c r="BJ25" i="47"/>
  <c r="BK25" i="47" s="1"/>
  <c r="BZ43" i="47" s="1"/>
  <c r="BD25" i="47"/>
  <c r="BE25" i="47" s="1"/>
  <c r="BK43" i="47" s="1"/>
  <c r="BJ24" i="47"/>
  <c r="BK24" i="47" s="1"/>
  <c r="BY43" i="47" s="1"/>
  <c r="BD24" i="47"/>
  <c r="BE24" i="47" s="1"/>
  <c r="BJ43" i="47" s="1"/>
  <c r="BJ23" i="47"/>
  <c r="BK23" i="47" s="1"/>
  <c r="BX43" i="47" s="1"/>
  <c r="BD23" i="47"/>
  <c r="BE23" i="47" s="1"/>
  <c r="BI43" i="47" s="1"/>
  <c r="BJ22" i="47"/>
  <c r="BK22" i="47" s="1"/>
  <c r="BW43" i="47" s="1"/>
  <c r="BD22" i="47"/>
  <c r="BE22" i="47" s="1"/>
  <c r="AN22" i="47"/>
  <c r="Z22" i="47"/>
  <c r="BJ21" i="47"/>
  <c r="BK21" i="47" s="1"/>
  <c r="BV43" i="47" s="1"/>
  <c r="BD21" i="47"/>
  <c r="BE21" i="47" s="1"/>
  <c r="AN21" i="47"/>
  <c r="Z21" i="47"/>
  <c r="BJ20" i="47"/>
  <c r="BK20" i="47" s="1"/>
  <c r="BU43" i="47" s="1"/>
  <c r="BD20" i="47"/>
  <c r="BE20" i="47" s="1"/>
  <c r="Y20" i="47"/>
  <c r="Y23" i="47" s="1"/>
  <c r="Y25" i="47" s="1"/>
  <c r="AI19" i="47"/>
  <c r="AH19" i="47"/>
  <c r="AG19" i="47"/>
  <c r="AF19" i="47"/>
  <c r="AE19" i="47"/>
  <c r="Z19" i="47"/>
  <c r="Z20" i="47" s="1"/>
  <c r="Z23" i="47" s="1"/>
  <c r="Z25" i="47" s="1"/>
  <c r="E19" i="47"/>
  <c r="B19" i="47"/>
  <c r="B18" i="47"/>
  <c r="B17" i="47"/>
  <c r="O16" i="47"/>
  <c r="O16" i="48" s="1"/>
  <c r="Q17" i="49" s="1"/>
  <c r="L16" i="47"/>
  <c r="E16" i="47"/>
  <c r="B16" i="47"/>
  <c r="O15" i="47"/>
  <c r="L15" i="47"/>
  <c r="E15" i="47"/>
  <c r="B15" i="47"/>
  <c r="AG14" i="47"/>
  <c r="X14" i="47"/>
  <c r="L14" i="47"/>
  <c r="E14" i="47"/>
  <c r="B14" i="47"/>
  <c r="AG13" i="47"/>
  <c r="X13" i="47"/>
  <c r="L13" i="47"/>
  <c r="E13" i="47"/>
  <c r="E13" i="48" s="1"/>
  <c r="G14" i="49" s="1"/>
  <c r="B13" i="47"/>
  <c r="AG12" i="47"/>
  <c r="X12" i="47"/>
  <c r="L12" i="47"/>
  <c r="E12" i="47"/>
  <c r="B12" i="47"/>
  <c r="B11" i="47"/>
  <c r="AH6" i="47"/>
  <c r="AF4" i="47"/>
  <c r="AB54" i="46"/>
  <c r="AA54" i="46"/>
  <c r="AS52" i="46"/>
  <c r="AS53" i="46" s="1"/>
  <c r="AB52" i="46"/>
  <c r="AB55" i="46" s="1"/>
  <c r="AB24" i="46" s="1"/>
  <c r="AA52" i="46"/>
  <c r="AA55" i="46" s="1"/>
  <c r="AA24" i="46" s="1"/>
  <c r="BC48" i="46"/>
  <c r="AS48" i="46"/>
  <c r="AS49" i="46" s="1"/>
  <c r="BC47" i="46"/>
  <c r="BD46" i="46"/>
  <c r="BC46" i="46"/>
  <c r="BC45" i="46"/>
  <c r="BC44" i="46"/>
  <c r="BC43" i="46"/>
  <c r="BC42" i="46"/>
  <c r="AN42" i="46"/>
  <c r="BC41" i="46"/>
  <c r="AN41" i="46"/>
  <c r="BC40" i="46"/>
  <c r="AN40" i="46"/>
  <c r="BC39" i="46"/>
  <c r="AN39" i="46"/>
  <c r="AP39" i="46" s="1"/>
  <c r="AN38" i="46"/>
  <c r="AN37" i="46"/>
  <c r="AP37" i="46" s="1"/>
  <c r="AN36" i="46"/>
  <c r="AN35" i="46"/>
  <c r="AN34" i="46"/>
  <c r="AN33" i="46"/>
  <c r="AN32" i="46"/>
  <c r="BL30" i="46"/>
  <c r="BF30" i="46"/>
  <c r="Z29" i="46"/>
  <c r="AB35" i="46" s="1"/>
  <c r="AO32" i="46" s="1"/>
  <c r="BL28" i="46"/>
  <c r="BM28" i="46" s="1"/>
  <c r="BF28" i="46"/>
  <c r="BG28" i="46" s="1"/>
  <c r="Z28" i="46"/>
  <c r="BL27" i="46"/>
  <c r="BM27" i="46" s="1"/>
  <c r="BF27" i="46"/>
  <c r="BG27" i="46" s="1"/>
  <c r="AQ27" i="46"/>
  <c r="BL26" i="46"/>
  <c r="BM26" i="46" s="1"/>
  <c r="BG26" i="46"/>
  <c r="BF26" i="46"/>
  <c r="BL25" i="46"/>
  <c r="BM25" i="46" s="1"/>
  <c r="BF25" i="46"/>
  <c r="BG25" i="46" s="1"/>
  <c r="BL24" i="46"/>
  <c r="BM24" i="46" s="1"/>
  <c r="BF24" i="46"/>
  <c r="BG24" i="46" s="1"/>
  <c r="BL23" i="46"/>
  <c r="BM23" i="46" s="1"/>
  <c r="BF23" i="46"/>
  <c r="BG23" i="46" s="1"/>
  <c r="BL22" i="46"/>
  <c r="BM22" i="46" s="1"/>
  <c r="BF22" i="46"/>
  <c r="BG22" i="46" s="1"/>
  <c r="AB22" i="46"/>
  <c r="BL21" i="46"/>
  <c r="BM21" i="46" s="1"/>
  <c r="BG21" i="46"/>
  <c r="BF21" i="46"/>
  <c r="AO21" i="46"/>
  <c r="AB21" i="46"/>
  <c r="BL20" i="46"/>
  <c r="BM20" i="46" s="1"/>
  <c r="BF20" i="46"/>
  <c r="BG20" i="46" s="1"/>
  <c r="AA20" i="46"/>
  <c r="AA23" i="46" s="1"/>
  <c r="AA25" i="46" s="1"/>
  <c r="AK19" i="46"/>
  <c r="AJ19" i="46"/>
  <c r="AI19" i="46"/>
  <c r="AH19" i="46"/>
  <c r="AG19" i="46"/>
  <c r="AB19" i="46"/>
  <c r="AB20" i="46" s="1"/>
  <c r="AB23" i="46" s="1"/>
  <c r="AB25" i="46" s="1"/>
  <c r="E19" i="46"/>
  <c r="O16" i="46"/>
  <c r="E16" i="46"/>
  <c r="O15" i="46"/>
  <c r="E15" i="46"/>
  <c r="AI14" i="46"/>
  <c r="Z14" i="46"/>
  <c r="E14" i="46"/>
  <c r="AI13" i="46"/>
  <c r="Z13" i="46"/>
  <c r="E13" i="46"/>
  <c r="AI12" i="46"/>
  <c r="Z12" i="46"/>
  <c r="E12" i="46"/>
  <c r="AJ6" i="46"/>
  <c r="C16" i="11"/>
  <c r="B15" i="11"/>
  <c r="C14" i="11"/>
  <c r="C13" i="11"/>
  <c r="C12" i="11"/>
  <c r="B12" i="11"/>
  <c r="B11" i="11"/>
  <c r="C9" i="11"/>
  <c r="C8" i="11"/>
  <c r="C7" i="11"/>
  <c r="B7" i="11"/>
  <c r="I92" i="45"/>
  <c r="N91" i="45"/>
  <c r="M91" i="45"/>
  <c r="I91" i="45"/>
  <c r="N90" i="45"/>
  <c r="M90" i="45"/>
  <c r="I89" i="45"/>
  <c r="J83" i="45"/>
  <c r="I83" i="45"/>
  <c r="P82" i="45"/>
  <c r="M82" i="45"/>
  <c r="L82" i="45"/>
  <c r="J82" i="45"/>
  <c r="J80" i="45"/>
  <c r="I80" i="45"/>
  <c r="P79" i="45"/>
  <c r="M79" i="45"/>
  <c r="L79" i="45"/>
  <c r="J79" i="45"/>
  <c r="AS60" i="45"/>
  <c r="AR60" i="45"/>
  <c r="AQ60" i="45"/>
  <c r="AN60" i="45"/>
  <c r="AM60" i="45"/>
  <c r="AL60" i="45"/>
  <c r="AI60" i="45"/>
  <c r="AH60" i="45"/>
  <c r="AG60" i="45"/>
  <c r="AS59" i="45"/>
  <c r="AR59" i="45"/>
  <c r="AQ59" i="45"/>
  <c r="AN59" i="45"/>
  <c r="AM59" i="45"/>
  <c r="AL59" i="45"/>
  <c r="AI59" i="45"/>
  <c r="AH59" i="45"/>
  <c r="AG59" i="45"/>
  <c r="AS58" i="45"/>
  <c r="AR58" i="45"/>
  <c r="AQ58" i="45"/>
  <c r="AN58" i="45"/>
  <c r="AM58" i="45"/>
  <c r="AL58" i="45"/>
  <c r="AI58" i="45"/>
  <c r="AH58" i="45"/>
  <c r="AG58" i="45"/>
  <c r="AS57" i="45"/>
  <c r="AR57" i="45"/>
  <c r="AQ57" i="45"/>
  <c r="AN57" i="45"/>
  <c r="AM57" i="45"/>
  <c r="AL57" i="45"/>
  <c r="AI57" i="45"/>
  <c r="AH57" i="45"/>
  <c r="AG57" i="45"/>
  <c r="AS56" i="45"/>
  <c r="AR56" i="45"/>
  <c r="AQ56" i="45"/>
  <c r="AN56" i="45"/>
  <c r="AM56" i="45"/>
  <c r="AL56" i="45"/>
  <c r="AI56" i="45"/>
  <c r="AH56" i="45"/>
  <c r="AG56" i="45"/>
  <c r="AS55" i="45"/>
  <c r="AR55" i="45"/>
  <c r="AQ55" i="45"/>
  <c r="AN55" i="45"/>
  <c r="AM55" i="45"/>
  <c r="AL55" i="45"/>
  <c r="AI55" i="45"/>
  <c r="AH55" i="45"/>
  <c r="AG55" i="45"/>
  <c r="AS54" i="45"/>
  <c r="AR54" i="45"/>
  <c r="AQ54" i="45"/>
  <c r="AN54" i="45"/>
  <c r="AM54" i="45"/>
  <c r="AL54" i="45"/>
  <c r="AI54" i="45"/>
  <c r="AH54" i="45"/>
  <c r="AG54" i="45"/>
  <c r="AS53" i="45"/>
  <c r="AR53" i="45"/>
  <c r="AQ53" i="45"/>
  <c r="AN53" i="45"/>
  <c r="AM53" i="45"/>
  <c r="AL53" i="45"/>
  <c r="AI53" i="45"/>
  <c r="AH53" i="45"/>
  <c r="AG53" i="45"/>
  <c r="AS52" i="45"/>
  <c r="AR52" i="45"/>
  <c r="AQ52" i="45"/>
  <c r="AN52" i="45"/>
  <c r="AM52" i="45"/>
  <c r="AL52" i="45"/>
  <c r="AI52" i="45"/>
  <c r="AH52" i="45"/>
  <c r="AG52" i="45"/>
  <c r="AS51" i="45"/>
  <c r="AR51" i="45"/>
  <c r="AQ51" i="45"/>
  <c r="AN51" i="45"/>
  <c r="AM51" i="45"/>
  <c r="AL51" i="45"/>
  <c r="AI51" i="45"/>
  <c r="AH51" i="45"/>
  <c r="AG51" i="45"/>
  <c r="AS50" i="45"/>
  <c r="AR50" i="45"/>
  <c r="AQ50" i="45"/>
  <c r="AN50" i="45"/>
  <c r="AM50" i="45"/>
  <c r="AL50" i="45"/>
  <c r="AI50" i="45"/>
  <c r="AH50" i="45"/>
  <c r="AG50" i="45"/>
  <c r="AS49" i="45"/>
  <c r="AR49" i="45"/>
  <c r="AQ49" i="45"/>
  <c r="AN49" i="45"/>
  <c r="AM49" i="45"/>
  <c r="AL49" i="45"/>
  <c r="AI49" i="45"/>
  <c r="AH49" i="45"/>
  <c r="AG49" i="45"/>
  <c r="Q49" i="45"/>
  <c r="AS48" i="45"/>
  <c r="AR48" i="45"/>
  <c r="AQ48" i="45"/>
  <c r="AN48" i="45"/>
  <c r="AM48" i="45"/>
  <c r="AL48" i="45"/>
  <c r="AI48" i="45"/>
  <c r="AH48" i="45"/>
  <c r="AG48" i="45"/>
  <c r="Q48" i="45"/>
  <c r="AS47" i="45"/>
  <c r="AR47" i="45"/>
  <c r="AQ47" i="45"/>
  <c r="AN47" i="45"/>
  <c r="AM47" i="45"/>
  <c r="AL47" i="45"/>
  <c r="AI47" i="45"/>
  <c r="AH47" i="45"/>
  <c r="AG47" i="45"/>
  <c r="Q47" i="45"/>
  <c r="AS46" i="45"/>
  <c r="AR46" i="45"/>
  <c r="AQ46" i="45"/>
  <c r="AN46" i="45"/>
  <c r="AM46" i="45"/>
  <c r="AL46" i="45"/>
  <c r="AI46" i="45"/>
  <c r="AH46" i="45"/>
  <c r="AG46" i="45"/>
  <c r="Q46" i="45"/>
  <c r="AS45" i="45"/>
  <c r="AR45" i="45"/>
  <c r="AQ45" i="45"/>
  <c r="AN45" i="45"/>
  <c r="AM45" i="45"/>
  <c r="AL45" i="45"/>
  <c r="AI45" i="45"/>
  <c r="AH45" i="45"/>
  <c r="AG45" i="45"/>
  <c r="AS44" i="45"/>
  <c r="AR44" i="45"/>
  <c r="AQ44" i="45"/>
  <c r="AN44" i="45"/>
  <c r="AM44" i="45"/>
  <c r="AL44" i="45"/>
  <c r="AI44" i="45"/>
  <c r="AH44" i="45"/>
  <c r="AG44" i="45"/>
  <c r="AS43" i="45"/>
  <c r="AR43" i="45"/>
  <c r="AQ43" i="45"/>
  <c r="AN43" i="45"/>
  <c r="AM43" i="45"/>
  <c r="AL43" i="45"/>
  <c r="AI43" i="45"/>
  <c r="AH43" i="45"/>
  <c r="AG43" i="45"/>
  <c r="T43" i="45"/>
  <c r="R43" i="45"/>
  <c r="AS42" i="45"/>
  <c r="AR42" i="45"/>
  <c r="AQ42" i="45"/>
  <c r="AN42" i="45"/>
  <c r="AM42" i="45"/>
  <c r="AL42" i="45"/>
  <c r="AI42" i="45"/>
  <c r="AH42" i="45"/>
  <c r="AG42" i="45"/>
  <c r="T42" i="45"/>
  <c r="R42" i="45"/>
  <c r="AS41" i="45"/>
  <c r="AR41" i="45"/>
  <c r="AQ41" i="45"/>
  <c r="AN41" i="45"/>
  <c r="AM41" i="45"/>
  <c r="AL41" i="45"/>
  <c r="AI41" i="45"/>
  <c r="AH41" i="45"/>
  <c r="AG41" i="45"/>
  <c r="AD41" i="45"/>
  <c r="AB41" i="45"/>
  <c r="Z41" i="45"/>
  <c r="T41" i="45"/>
  <c r="R41" i="45"/>
  <c r="AS40" i="45"/>
  <c r="AR40" i="45"/>
  <c r="AQ40" i="45"/>
  <c r="AN40" i="45"/>
  <c r="AM40" i="45"/>
  <c r="AL40" i="45"/>
  <c r="AI40" i="45"/>
  <c r="AH40" i="45"/>
  <c r="AG40" i="45"/>
  <c r="AD40" i="45"/>
  <c r="AB40" i="45"/>
  <c r="Z40" i="45"/>
  <c r="T40" i="45"/>
  <c r="R40" i="45"/>
  <c r="AS39" i="45"/>
  <c r="AR39" i="45"/>
  <c r="AQ39" i="45"/>
  <c r="AN39" i="45"/>
  <c r="AM39" i="45"/>
  <c r="AL39" i="45"/>
  <c r="AI39" i="45"/>
  <c r="AH39" i="45"/>
  <c r="AG39" i="45"/>
  <c r="AD39" i="45"/>
  <c r="AB39" i="45"/>
  <c r="Z39" i="45"/>
  <c r="T39" i="45"/>
  <c r="R39" i="45"/>
  <c r="AR38" i="45"/>
  <c r="AQ38" i="45"/>
  <c r="AM38" i="45"/>
  <c r="AL38" i="45"/>
  <c r="AH38" i="45"/>
  <c r="AG38" i="45"/>
  <c r="AD38" i="45"/>
  <c r="AB38" i="45"/>
  <c r="Z38" i="45"/>
  <c r="T38" i="45"/>
  <c r="R38" i="45"/>
  <c r="AD37" i="45"/>
  <c r="AB37" i="45"/>
  <c r="Z37" i="45"/>
  <c r="T37" i="45"/>
  <c r="R37" i="45"/>
  <c r="T35" i="45"/>
  <c r="R35" i="45"/>
  <c r="T34" i="45"/>
  <c r="R34" i="45"/>
  <c r="AR33" i="45"/>
  <c r="AQ33" i="45"/>
  <c r="AN33" i="45"/>
  <c r="AM33" i="45"/>
  <c r="AL33" i="45"/>
  <c r="AI33" i="45"/>
  <c r="AH33" i="45"/>
  <c r="AG33" i="45"/>
  <c r="T33" i="45"/>
  <c r="R33" i="45"/>
  <c r="AS32" i="45"/>
  <c r="AR32" i="45"/>
  <c r="AQ32" i="45"/>
  <c r="AN32" i="45"/>
  <c r="AM32" i="45"/>
  <c r="AL32" i="45"/>
  <c r="AI32" i="45"/>
  <c r="AH32" i="45"/>
  <c r="AG32" i="45"/>
  <c r="T32" i="45"/>
  <c r="R32" i="45"/>
  <c r="AS31" i="45"/>
  <c r="AR31" i="45"/>
  <c r="AQ31" i="45"/>
  <c r="AN31" i="45"/>
  <c r="AM31" i="45"/>
  <c r="AL31" i="45"/>
  <c r="AI31" i="45"/>
  <c r="AH31" i="45"/>
  <c r="AG31" i="45"/>
  <c r="AD31" i="45"/>
  <c r="AB31" i="45"/>
  <c r="Z31" i="45"/>
  <c r="T31" i="45"/>
  <c r="R31" i="45"/>
  <c r="AS30" i="45"/>
  <c r="AR30" i="45"/>
  <c r="AQ30" i="45"/>
  <c r="AN30" i="45"/>
  <c r="AM30" i="45"/>
  <c r="AL30" i="45"/>
  <c r="AI30" i="45"/>
  <c r="AH30" i="45"/>
  <c r="AG30" i="45"/>
  <c r="AD30" i="45"/>
  <c r="AB30" i="45"/>
  <c r="Z30" i="45"/>
  <c r="T30" i="45"/>
  <c r="R30" i="45"/>
  <c r="AS29" i="45"/>
  <c r="AR29" i="45"/>
  <c r="AQ29" i="45"/>
  <c r="AN29" i="45"/>
  <c r="AM29" i="45"/>
  <c r="AL29" i="45"/>
  <c r="AI29" i="45"/>
  <c r="AH29" i="45"/>
  <c r="AG29" i="45"/>
  <c r="AD29" i="45"/>
  <c r="AB29" i="45"/>
  <c r="Z29" i="45"/>
  <c r="T29" i="45"/>
  <c r="R29" i="45"/>
  <c r="AS28" i="45"/>
  <c r="AR28" i="45"/>
  <c r="AQ28" i="45"/>
  <c r="AN28" i="45"/>
  <c r="AM28" i="45"/>
  <c r="AL28" i="45"/>
  <c r="AI28" i="45"/>
  <c r="AH28" i="45"/>
  <c r="AG28" i="45"/>
  <c r="AD28" i="45"/>
  <c r="AB28" i="45"/>
  <c r="Z28" i="45"/>
  <c r="T28" i="45"/>
  <c r="R28" i="45"/>
  <c r="AS27" i="45"/>
  <c r="AR27" i="45"/>
  <c r="AQ27" i="45"/>
  <c r="AN27" i="45"/>
  <c r="AM27" i="45"/>
  <c r="AL27" i="45"/>
  <c r="AI27" i="45"/>
  <c r="AH27" i="45"/>
  <c r="AG27" i="45"/>
  <c r="AD27" i="45"/>
  <c r="AB27" i="45"/>
  <c r="Z27" i="45"/>
  <c r="AS26" i="45"/>
  <c r="AR26" i="45"/>
  <c r="AQ26" i="45"/>
  <c r="AN26" i="45"/>
  <c r="AM26" i="45"/>
  <c r="AL26" i="45"/>
  <c r="AI26" i="45"/>
  <c r="AH26" i="45"/>
  <c r="AG26" i="45"/>
  <c r="T26" i="45"/>
  <c r="R26" i="45"/>
  <c r="AS25" i="45"/>
  <c r="AR25" i="45"/>
  <c r="AQ25" i="45"/>
  <c r="AN25" i="45"/>
  <c r="AM25" i="45"/>
  <c r="AL25" i="45"/>
  <c r="AI25" i="45"/>
  <c r="AH25" i="45"/>
  <c r="AG25" i="45"/>
  <c r="T25" i="45"/>
  <c r="R25" i="45"/>
  <c r="AS24" i="45"/>
  <c r="AR24" i="45"/>
  <c r="AQ24" i="45"/>
  <c r="AN24" i="45"/>
  <c r="AM24" i="45"/>
  <c r="AL24" i="45"/>
  <c r="AI24" i="45"/>
  <c r="AH24" i="45"/>
  <c r="AG24" i="45"/>
  <c r="T24" i="45"/>
  <c r="R24" i="45"/>
  <c r="AS23" i="45"/>
  <c r="AR23" i="45"/>
  <c r="AQ23" i="45"/>
  <c r="AN23" i="45"/>
  <c r="AM23" i="45"/>
  <c r="AL23" i="45"/>
  <c r="AI23" i="45"/>
  <c r="AH23" i="45"/>
  <c r="AG23" i="45"/>
  <c r="T23" i="45"/>
  <c r="R23" i="45"/>
  <c r="AS22" i="45"/>
  <c r="AR22" i="45"/>
  <c r="AQ22" i="45"/>
  <c r="AN22" i="45"/>
  <c r="AM22" i="45"/>
  <c r="AL22" i="45"/>
  <c r="AI22" i="45"/>
  <c r="AH22" i="45"/>
  <c r="AG22" i="45"/>
  <c r="T22" i="45"/>
  <c r="R22" i="45"/>
  <c r="AS21" i="45"/>
  <c r="AR21" i="45"/>
  <c r="AQ21" i="45"/>
  <c r="AN21" i="45"/>
  <c r="AM21" i="45"/>
  <c r="AL21" i="45"/>
  <c r="AI21" i="45"/>
  <c r="AH21" i="45"/>
  <c r="AG21" i="45"/>
  <c r="T21" i="45"/>
  <c r="R21" i="45"/>
  <c r="AS20" i="45"/>
  <c r="AR20" i="45"/>
  <c r="AQ20" i="45"/>
  <c r="AN20" i="45"/>
  <c r="AM20" i="45"/>
  <c r="AL20" i="45"/>
  <c r="AI20" i="45"/>
  <c r="AH20" i="45"/>
  <c r="AG20" i="45"/>
  <c r="T20" i="45"/>
  <c r="R20" i="45"/>
  <c r="AS19" i="45"/>
  <c r="AR19" i="45"/>
  <c r="AQ19" i="45"/>
  <c r="AN19" i="45"/>
  <c r="AM19" i="45"/>
  <c r="AL19" i="45"/>
  <c r="AI19" i="45"/>
  <c r="AH19" i="45"/>
  <c r="AG19" i="45"/>
  <c r="T19" i="45"/>
  <c r="R19" i="45"/>
  <c r="AS18" i="45"/>
  <c r="AR18" i="45"/>
  <c r="AQ18" i="45"/>
  <c r="AN18" i="45"/>
  <c r="AM18" i="45"/>
  <c r="AL18" i="45"/>
  <c r="AI18" i="45"/>
  <c r="AH18" i="45"/>
  <c r="AG18" i="45"/>
  <c r="AS17" i="45"/>
  <c r="AR17" i="45"/>
  <c r="AQ17" i="45"/>
  <c r="AN17" i="45"/>
  <c r="AM17" i="45"/>
  <c r="AL17" i="45"/>
  <c r="AI17" i="45"/>
  <c r="AH17" i="45"/>
  <c r="AG17" i="45"/>
  <c r="AS16" i="45"/>
  <c r="AR16" i="45"/>
  <c r="AQ16" i="45"/>
  <c r="AN16" i="45"/>
  <c r="AM16" i="45"/>
  <c r="AL16" i="45"/>
  <c r="AI16" i="45"/>
  <c r="AH16" i="45"/>
  <c r="AG16" i="45"/>
  <c r="AS15" i="45"/>
  <c r="AR15" i="45"/>
  <c r="AQ15" i="45"/>
  <c r="AN15" i="45"/>
  <c r="AM15" i="45"/>
  <c r="AL15" i="45"/>
  <c r="AI15" i="45"/>
  <c r="AH15" i="45"/>
  <c r="AG15" i="45"/>
  <c r="AS14" i="45"/>
  <c r="AR14" i="45"/>
  <c r="AQ14" i="45"/>
  <c r="AN14" i="45"/>
  <c r="AM14" i="45"/>
  <c r="AL14" i="45"/>
  <c r="AI14" i="45"/>
  <c r="AH14" i="45"/>
  <c r="AG14" i="45"/>
  <c r="AS13" i="45"/>
  <c r="AR13" i="45"/>
  <c r="AQ13" i="45"/>
  <c r="AN13" i="45"/>
  <c r="AM13" i="45"/>
  <c r="AL13" i="45"/>
  <c r="AI13" i="45"/>
  <c r="AH13" i="45"/>
  <c r="AG13" i="45"/>
  <c r="AV12" i="45"/>
  <c r="AU12" i="45"/>
  <c r="AS12" i="45"/>
  <c r="AR12" i="45"/>
  <c r="AQ12" i="45"/>
  <c r="AN12" i="45"/>
  <c r="AM12" i="45"/>
  <c r="AL12" i="45"/>
  <c r="AI12" i="45"/>
  <c r="AH12" i="45"/>
  <c r="AG12" i="45"/>
  <c r="AV11" i="45"/>
  <c r="AU11" i="45"/>
  <c r="AR11" i="45"/>
  <c r="AQ11" i="45"/>
  <c r="AM11" i="45"/>
  <c r="AL11" i="45"/>
  <c r="AH11" i="45"/>
  <c r="AG11" i="45"/>
  <c r="P190" i="44"/>
  <c r="O190" i="44"/>
  <c r="M190" i="44"/>
  <c r="L190" i="44"/>
  <c r="K190" i="44"/>
  <c r="J190" i="44"/>
  <c r="H190" i="44"/>
  <c r="E190" i="44"/>
  <c r="C190" i="44"/>
  <c r="P189" i="44"/>
  <c r="O189" i="44"/>
  <c r="M189" i="44"/>
  <c r="L189" i="44"/>
  <c r="K189" i="44"/>
  <c r="J189" i="44"/>
  <c r="H189" i="44"/>
  <c r="E189" i="44"/>
  <c r="C189" i="44"/>
  <c r="P188" i="44"/>
  <c r="O188" i="44"/>
  <c r="M188" i="44"/>
  <c r="L188" i="44"/>
  <c r="K188" i="44"/>
  <c r="J188" i="44"/>
  <c r="H188" i="44"/>
  <c r="E188" i="44"/>
  <c r="C188" i="44"/>
  <c r="P187" i="44"/>
  <c r="O187" i="44"/>
  <c r="M187" i="44"/>
  <c r="L187" i="44"/>
  <c r="K187" i="44"/>
  <c r="J187" i="44"/>
  <c r="H187" i="44"/>
  <c r="E187" i="44"/>
  <c r="C187" i="44"/>
  <c r="P186" i="44"/>
  <c r="O186" i="44"/>
  <c r="M186" i="44"/>
  <c r="L186" i="44"/>
  <c r="K186" i="44"/>
  <c r="J186" i="44"/>
  <c r="H186" i="44"/>
  <c r="E186" i="44"/>
  <c r="C186" i="44"/>
  <c r="P185" i="44"/>
  <c r="O185" i="44"/>
  <c r="M185" i="44"/>
  <c r="L185" i="44"/>
  <c r="K185" i="44"/>
  <c r="J185" i="44"/>
  <c r="H185" i="44"/>
  <c r="E185" i="44"/>
  <c r="C185" i="44"/>
  <c r="P184" i="44"/>
  <c r="O184" i="44"/>
  <c r="M184" i="44"/>
  <c r="L184" i="44"/>
  <c r="K184" i="44"/>
  <c r="J184" i="44"/>
  <c r="H184" i="44"/>
  <c r="E184" i="44"/>
  <c r="C184" i="44"/>
  <c r="P183" i="44"/>
  <c r="O183" i="44"/>
  <c r="M183" i="44"/>
  <c r="L183" i="44"/>
  <c r="K183" i="44"/>
  <c r="J183" i="44"/>
  <c r="H183" i="44"/>
  <c r="E183" i="44"/>
  <c r="C183" i="44"/>
  <c r="P182" i="44"/>
  <c r="O182" i="44"/>
  <c r="M182" i="44"/>
  <c r="L182" i="44"/>
  <c r="K182" i="44"/>
  <c r="J182" i="44"/>
  <c r="H182" i="44"/>
  <c r="E182" i="44"/>
  <c r="C182" i="44"/>
  <c r="P181" i="44"/>
  <c r="O181" i="44"/>
  <c r="M181" i="44"/>
  <c r="L181" i="44"/>
  <c r="K181" i="44"/>
  <c r="J181" i="44"/>
  <c r="H181" i="44"/>
  <c r="E181" i="44"/>
  <c r="C181" i="44"/>
  <c r="P180" i="44"/>
  <c r="O180" i="44"/>
  <c r="M180" i="44"/>
  <c r="L180" i="44"/>
  <c r="K180" i="44"/>
  <c r="J180" i="44"/>
  <c r="H180" i="44"/>
  <c r="E180" i="44"/>
  <c r="C180" i="44"/>
  <c r="P179" i="44"/>
  <c r="O179" i="44"/>
  <c r="M179" i="44"/>
  <c r="L179" i="44"/>
  <c r="K179" i="44"/>
  <c r="J179" i="44"/>
  <c r="H179" i="44"/>
  <c r="E179" i="44"/>
  <c r="C179" i="44"/>
  <c r="P178" i="44"/>
  <c r="O178" i="44"/>
  <c r="M178" i="44"/>
  <c r="L178" i="44"/>
  <c r="K178" i="44"/>
  <c r="J178" i="44"/>
  <c r="H178" i="44"/>
  <c r="E178" i="44"/>
  <c r="C178" i="44"/>
  <c r="P177" i="44"/>
  <c r="O177" i="44"/>
  <c r="M177" i="44"/>
  <c r="L177" i="44"/>
  <c r="K177" i="44"/>
  <c r="J177" i="44"/>
  <c r="H177" i="44"/>
  <c r="E177" i="44"/>
  <c r="C177" i="44"/>
  <c r="P176" i="44"/>
  <c r="O176" i="44"/>
  <c r="M176" i="44"/>
  <c r="L176" i="44"/>
  <c r="K176" i="44"/>
  <c r="J176" i="44"/>
  <c r="H176" i="44"/>
  <c r="E176" i="44"/>
  <c r="C176" i="44"/>
  <c r="P175" i="44"/>
  <c r="O175" i="44"/>
  <c r="M175" i="44"/>
  <c r="L175" i="44"/>
  <c r="K175" i="44"/>
  <c r="J175" i="44"/>
  <c r="H175" i="44"/>
  <c r="E175" i="44"/>
  <c r="C175" i="44"/>
  <c r="P174" i="44"/>
  <c r="O174" i="44"/>
  <c r="M174" i="44"/>
  <c r="L174" i="44"/>
  <c r="K174" i="44"/>
  <c r="J174" i="44"/>
  <c r="H174" i="44"/>
  <c r="E174" i="44"/>
  <c r="C174" i="44"/>
  <c r="P173" i="44"/>
  <c r="O173" i="44"/>
  <c r="M173" i="44"/>
  <c r="L173" i="44"/>
  <c r="K173" i="44"/>
  <c r="J173" i="44"/>
  <c r="H173" i="44"/>
  <c r="E173" i="44"/>
  <c r="C173" i="44"/>
  <c r="P172" i="44"/>
  <c r="O172" i="44"/>
  <c r="M172" i="44"/>
  <c r="L172" i="44"/>
  <c r="K172" i="44"/>
  <c r="J172" i="44"/>
  <c r="H172" i="44"/>
  <c r="E172" i="44"/>
  <c r="C172" i="44"/>
  <c r="P171" i="44"/>
  <c r="O171" i="44"/>
  <c r="M171" i="44"/>
  <c r="L171" i="44"/>
  <c r="K171" i="44"/>
  <c r="J171" i="44"/>
  <c r="H171" i="44"/>
  <c r="E171" i="44"/>
  <c r="C171" i="44"/>
  <c r="P170" i="44"/>
  <c r="O170" i="44"/>
  <c r="M170" i="44"/>
  <c r="L170" i="44"/>
  <c r="K170" i="44"/>
  <c r="J170" i="44"/>
  <c r="H170" i="44"/>
  <c r="E170" i="44"/>
  <c r="C170" i="44"/>
  <c r="U169" i="44"/>
  <c r="P169" i="44"/>
  <c r="O169" i="44"/>
  <c r="M169" i="44"/>
  <c r="L169" i="44"/>
  <c r="K169" i="44"/>
  <c r="J169" i="44"/>
  <c r="H169" i="44"/>
  <c r="E169" i="44"/>
  <c r="C169" i="44"/>
  <c r="AA168" i="44"/>
  <c r="Z168" i="44"/>
  <c r="Y168" i="44"/>
  <c r="X168" i="44"/>
  <c r="W168" i="44"/>
  <c r="U168" i="44"/>
  <c r="P168" i="44"/>
  <c r="O168" i="44"/>
  <c r="M168" i="44"/>
  <c r="L168" i="44"/>
  <c r="K168" i="44"/>
  <c r="J168" i="44"/>
  <c r="H168" i="44"/>
  <c r="E168" i="44"/>
  <c r="C168" i="44"/>
  <c r="AA167" i="44"/>
  <c r="Z167" i="44"/>
  <c r="Y167" i="44"/>
  <c r="X167" i="44"/>
  <c r="W167" i="44"/>
  <c r="U167" i="44"/>
  <c r="P167" i="44"/>
  <c r="O167" i="44"/>
  <c r="M167" i="44"/>
  <c r="L167" i="44"/>
  <c r="K167" i="44"/>
  <c r="J167" i="44"/>
  <c r="H167" i="44"/>
  <c r="E167" i="44"/>
  <c r="C167" i="44"/>
  <c r="AA166" i="44"/>
  <c r="Z166" i="44"/>
  <c r="Y166" i="44"/>
  <c r="X166" i="44"/>
  <c r="W166" i="44"/>
  <c r="U166" i="44"/>
  <c r="P166" i="44"/>
  <c r="O166" i="44"/>
  <c r="M166" i="44"/>
  <c r="L166" i="44"/>
  <c r="K166" i="44"/>
  <c r="J166" i="44"/>
  <c r="H166" i="44"/>
  <c r="E166" i="44"/>
  <c r="C166" i="44"/>
  <c r="AA165" i="44"/>
  <c r="Z165" i="44"/>
  <c r="Y165" i="44"/>
  <c r="X165" i="44"/>
  <c r="W165" i="44"/>
  <c r="U165" i="44"/>
  <c r="P165" i="44"/>
  <c r="O165" i="44"/>
  <c r="M165" i="44"/>
  <c r="L165" i="44"/>
  <c r="K165" i="44"/>
  <c r="J165" i="44"/>
  <c r="H165" i="44"/>
  <c r="E165" i="44"/>
  <c r="C165" i="44"/>
  <c r="U164" i="44"/>
  <c r="P164" i="44"/>
  <c r="O164" i="44"/>
  <c r="M164" i="44"/>
  <c r="L164" i="44"/>
  <c r="K164" i="44"/>
  <c r="J164" i="44"/>
  <c r="H164" i="44"/>
  <c r="E164" i="44"/>
  <c r="C164" i="44"/>
  <c r="AA163" i="44"/>
  <c r="Z163" i="44"/>
  <c r="Y163" i="44"/>
  <c r="X163" i="44"/>
  <c r="W163" i="44"/>
  <c r="U163" i="44"/>
  <c r="P163" i="44"/>
  <c r="O163" i="44"/>
  <c r="M163" i="44"/>
  <c r="L163" i="44"/>
  <c r="K163" i="44"/>
  <c r="J163" i="44"/>
  <c r="H163" i="44"/>
  <c r="E163" i="44"/>
  <c r="C163" i="44"/>
  <c r="P162" i="44"/>
  <c r="O162" i="44"/>
  <c r="M162" i="44"/>
  <c r="L162" i="44"/>
  <c r="K162" i="44"/>
  <c r="J162" i="44"/>
  <c r="H162" i="44"/>
  <c r="E162" i="44"/>
  <c r="C162" i="44"/>
  <c r="P161" i="44"/>
  <c r="O161" i="44"/>
  <c r="M161" i="44"/>
  <c r="L161" i="44"/>
  <c r="K161" i="44"/>
  <c r="J161" i="44"/>
  <c r="H161" i="44"/>
  <c r="E161" i="44"/>
  <c r="C161" i="44"/>
  <c r="P160" i="44"/>
  <c r="O160" i="44"/>
  <c r="M160" i="44"/>
  <c r="L160" i="44"/>
  <c r="K160" i="44"/>
  <c r="J160" i="44"/>
  <c r="H160" i="44"/>
  <c r="E160" i="44"/>
  <c r="C160" i="44"/>
  <c r="P159" i="44"/>
  <c r="O159" i="44"/>
  <c r="M159" i="44"/>
  <c r="L159" i="44"/>
  <c r="E159" i="44"/>
  <c r="C159" i="44"/>
  <c r="E152" i="44"/>
  <c r="C152" i="44"/>
  <c r="O151" i="44"/>
  <c r="G151" i="44"/>
  <c r="G150" i="44"/>
  <c r="G149" i="44"/>
  <c r="G148" i="44"/>
  <c r="G147" i="44"/>
  <c r="E145" i="44"/>
  <c r="T144" i="44"/>
  <c r="E144" i="44"/>
  <c r="T143" i="44"/>
  <c r="E143" i="44"/>
  <c r="T142" i="44"/>
  <c r="P117" i="44"/>
  <c r="O117" i="44"/>
  <c r="M117" i="44"/>
  <c r="L117" i="44"/>
  <c r="K117" i="44"/>
  <c r="J117" i="44"/>
  <c r="H117" i="44"/>
  <c r="E117" i="44"/>
  <c r="C117" i="44"/>
  <c r="B117" i="44"/>
  <c r="P116" i="44"/>
  <c r="O116" i="44"/>
  <c r="M116" i="44"/>
  <c r="L116" i="44"/>
  <c r="K116" i="44"/>
  <c r="J116" i="44"/>
  <c r="H116" i="44"/>
  <c r="E116" i="44"/>
  <c r="C116" i="44"/>
  <c r="B116" i="44"/>
  <c r="P115" i="44"/>
  <c r="O115" i="44"/>
  <c r="M115" i="44"/>
  <c r="L115" i="44"/>
  <c r="K115" i="44"/>
  <c r="J115" i="44"/>
  <c r="H115" i="44"/>
  <c r="E115" i="44"/>
  <c r="C115" i="44"/>
  <c r="B115" i="44"/>
  <c r="P114" i="44"/>
  <c r="O114" i="44"/>
  <c r="M114" i="44"/>
  <c r="L114" i="44"/>
  <c r="K114" i="44"/>
  <c r="J114" i="44"/>
  <c r="H114" i="44"/>
  <c r="E114" i="44"/>
  <c r="C114" i="44"/>
  <c r="B114" i="44"/>
  <c r="P113" i="44"/>
  <c r="O113" i="44"/>
  <c r="M113" i="44"/>
  <c r="L113" i="44"/>
  <c r="K113" i="44"/>
  <c r="J113" i="44"/>
  <c r="H113" i="44"/>
  <c r="E113" i="44"/>
  <c r="C113" i="44"/>
  <c r="B113" i="44"/>
  <c r="P112" i="44"/>
  <c r="O112" i="44"/>
  <c r="M112" i="44"/>
  <c r="L112" i="44"/>
  <c r="K112" i="44"/>
  <c r="J112" i="44"/>
  <c r="H112" i="44"/>
  <c r="E112" i="44"/>
  <c r="C112" i="44"/>
  <c r="B112" i="44"/>
  <c r="P111" i="44"/>
  <c r="O111" i="44"/>
  <c r="M111" i="44"/>
  <c r="L111" i="44"/>
  <c r="K111" i="44"/>
  <c r="J111" i="44"/>
  <c r="H111" i="44"/>
  <c r="E111" i="44"/>
  <c r="C111" i="44"/>
  <c r="B111" i="44"/>
  <c r="P110" i="44"/>
  <c r="O110" i="44"/>
  <c r="M110" i="44"/>
  <c r="L110" i="44"/>
  <c r="K110" i="44"/>
  <c r="J110" i="44"/>
  <c r="H110" i="44"/>
  <c r="E110" i="44"/>
  <c r="C110" i="44"/>
  <c r="B110" i="44"/>
  <c r="P109" i="44"/>
  <c r="O109" i="44"/>
  <c r="M109" i="44"/>
  <c r="L109" i="44"/>
  <c r="K109" i="44"/>
  <c r="J109" i="44"/>
  <c r="H109" i="44"/>
  <c r="E109" i="44"/>
  <c r="C109" i="44"/>
  <c r="B109" i="44"/>
  <c r="P108" i="44"/>
  <c r="O108" i="44"/>
  <c r="M108" i="44"/>
  <c r="L108" i="44"/>
  <c r="K108" i="44"/>
  <c r="J108" i="44"/>
  <c r="H108" i="44"/>
  <c r="E108" i="44"/>
  <c r="C108" i="44"/>
  <c r="B108" i="44"/>
  <c r="P107" i="44"/>
  <c r="O107" i="44"/>
  <c r="M107" i="44"/>
  <c r="L107" i="44"/>
  <c r="K107" i="44"/>
  <c r="J107" i="44"/>
  <c r="H107" i="44"/>
  <c r="E107" i="44"/>
  <c r="C107" i="44"/>
  <c r="B107" i="44"/>
  <c r="P106" i="44"/>
  <c r="O106" i="44"/>
  <c r="M106" i="44"/>
  <c r="L106" i="44"/>
  <c r="K106" i="44"/>
  <c r="J106" i="44"/>
  <c r="H106" i="44"/>
  <c r="E106" i="44"/>
  <c r="C106" i="44"/>
  <c r="B106" i="44"/>
  <c r="P105" i="44"/>
  <c r="O105" i="44"/>
  <c r="M105" i="44"/>
  <c r="L105" i="44"/>
  <c r="K105" i="44"/>
  <c r="J105" i="44"/>
  <c r="H105" i="44"/>
  <c r="E105" i="44"/>
  <c r="C105" i="44"/>
  <c r="B105" i="44"/>
  <c r="P104" i="44"/>
  <c r="O104" i="44"/>
  <c r="M104" i="44"/>
  <c r="L104" i="44"/>
  <c r="K104" i="44"/>
  <c r="J104" i="44"/>
  <c r="H104" i="44"/>
  <c r="E104" i="44"/>
  <c r="C104" i="44"/>
  <c r="B104" i="44"/>
  <c r="P103" i="44"/>
  <c r="O103" i="44"/>
  <c r="M103" i="44"/>
  <c r="L103" i="44"/>
  <c r="K103" i="44"/>
  <c r="J103" i="44"/>
  <c r="H103" i="44"/>
  <c r="E103" i="44"/>
  <c r="C103" i="44"/>
  <c r="B103" i="44"/>
  <c r="U102" i="44"/>
  <c r="P102" i="44"/>
  <c r="O102" i="44"/>
  <c r="M102" i="44"/>
  <c r="L102" i="44"/>
  <c r="K102" i="44"/>
  <c r="J102" i="44"/>
  <c r="H102" i="44"/>
  <c r="E102" i="44"/>
  <c r="C102" i="44"/>
  <c r="B102" i="44"/>
  <c r="AA101" i="44"/>
  <c r="Z101" i="44"/>
  <c r="Y101" i="44"/>
  <c r="X101" i="44"/>
  <c r="W101" i="44"/>
  <c r="U101" i="44"/>
  <c r="P101" i="44"/>
  <c r="O101" i="44"/>
  <c r="M101" i="44"/>
  <c r="L101" i="44"/>
  <c r="K101" i="44"/>
  <c r="J101" i="44"/>
  <c r="H101" i="44"/>
  <c r="E101" i="44"/>
  <c r="C101" i="44"/>
  <c r="B101" i="44"/>
  <c r="AA100" i="44"/>
  <c r="Z100" i="44"/>
  <c r="Y100" i="44"/>
  <c r="X100" i="44"/>
  <c r="W100" i="44"/>
  <c r="U100" i="44"/>
  <c r="P100" i="44"/>
  <c r="O100" i="44"/>
  <c r="M100" i="44"/>
  <c r="L100" i="44"/>
  <c r="K100" i="44"/>
  <c r="J100" i="44"/>
  <c r="H100" i="44"/>
  <c r="E100" i="44"/>
  <c r="C100" i="44"/>
  <c r="B100" i="44"/>
  <c r="AA99" i="44"/>
  <c r="Z99" i="44"/>
  <c r="Y99" i="44"/>
  <c r="X99" i="44"/>
  <c r="W99" i="44"/>
  <c r="U99" i="44"/>
  <c r="P99" i="44"/>
  <c r="O99" i="44"/>
  <c r="M99" i="44"/>
  <c r="L99" i="44"/>
  <c r="K99" i="44"/>
  <c r="J99" i="44"/>
  <c r="H99" i="44"/>
  <c r="E99" i="44"/>
  <c r="C99" i="44"/>
  <c r="B99" i="44"/>
  <c r="AA98" i="44"/>
  <c r="Z98" i="44"/>
  <c r="Y98" i="44"/>
  <c r="X98" i="44"/>
  <c r="W98" i="44"/>
  <c r="U98" i="44"/>
  <c r="P98" i="44"/>
  <c r="O98" i="44"/>
  <c r="M98" i="44"/>
  <c r="L98" i="44"/>
  <c r="K98" i="44"/>
  <c r="J98" i="44"/>
  <c r="H98" i="44"/>
  <c r="E98" i="44"/>
  <c r="C98" i="44"/>
  <c r="B98" i="44"/>
  <c r="U97" i="44"/>
  <c r="P97" i="44"/>
  <c r="O97" i="44"/>
  <c r="M97" i="44"/>
  <c r="L97" i="44"/>
  <c r="K97" i="44"/>
  <c r="J97" i="44"/>
  <c r="H97" i="44"/>
  <c r="E97" i="44"/>
  <c r="C97" i="44"/>
  <c r="B97" i="44"/>
  <c r="AA96" i="44"/>
  <c r="Z96" i="44"/>
  <c r="Y96" i="44"/>
  <c r="X96" i="44"/>
  <c r="W96" i="44"/>
  <c r="U96" i="44"/>
  <c r="P96" i="44"/>
  <c r="O96" i="44"/>
  <c r="M96" i="44"/>
  <c r="L96" i="44"/>
  <c r="K96" i="44"/>
  <c r="J96" i="44"/>
  <c r="H96" i="44"/>
  <c r="E96" i="44"/>
  <c r="C96" i="44"/>
  <c r="B96" i="44"/>
  <c r="P95" i="44"/>
  <c r="O95" i="44"/>
  <c r="M95" i="44"/>
  <c r="L95" i="44"/>
  <c r="K95" i="44"/>
  <c r="J95" i="44"/>
  <c r="H95" i="44"/>
  <c r="E95" i="44"/>
  <c r="C95" i="44"/>
  <c r="B95" i="44"/>
  <c r="P94" i="44"/>
  <c r="O94" i="44"/>
  <c r="M94" i="44"/>
  <c r="L94" i="44"/>
  <c r="K94" i="44"/>
  <c r="J94" i="44"/>
  <c r="H94" i="44"/>
  <c r="E94" i="44"/>
  <c r="C94" i="44"/>
  <c r="B94" i="44"/>
  <c r="P93" i="44"/>
  <c r="O93" i="44"/>
  <c r="M93" i="44"/>
  <c r="L93" i="44"/>
  <c r="K93" i="44"/>
  <c r="J93" i="44"/>
  <c r="H93" i="44"/>
  <c r="E93" i="44"/>
  <c r="C93" i="44"/>
  <c r="B93" i="44"/>
  <c r="P92" i="44"/>
  <c r="O92" i="44"/>
  <c r="M92" i="44"/>
  <c r="L92" i="44"/>
  <c r="E92" i="44"/>
  <c r="C92" i="44"/>
  <c r="E85" i="44"/>
  <c r="C85" i="44"/>
  <c r="O84" i="44"/>
  <c r="G84" i="44"/>
  <c r="G83" i="44"/>
  <c r="O82" i="44"/>
  <c r="G82" i="44"/>
  <c r="O81" i="44"/>
  <c r="G81" i="44"/>
  <c r="O80" i="44"/>
  <c r="G80" i="44"/>
  <c r="T77" i="44"/>
  <c r="T76" i="44"/>
  <c r="T75" i="44"/>
  <c r="P51" i="44"/>
  <c r="O51" i="44"/>
  <c r="M51" i="44"/>
  <c r="L51" i="44"/>
  <c r="K51" i="44"/>
  <c r="J51" i="44"/>
  <c r="H51" i="44"/>
  <c r="E51" i="44"/>
  <c r="C51" i="44"/>
  <c r="P50" i="44"/>
  <c r="O50" i="44"/>
  <c r="M50" i="44"/>
  <c r="L50" i="44"/>
  <c r="K50" i="44"/>
  <c r="J50" i="44"/>
  <c r="H50" i="44"/>
  <c r="E50" i="44"/>
  <c r="C50" i="44"/>
  <c r="P49" i="44"/>
  <c r="O49" i="44"/>
  <c r="M49" i="44"/>
  <c r="L49" i="44"/>
  <c r="K49" i="44"/>
  <c r="J49" i="44"/>
  <c r="H49" i="44"/>
  <c r="E49" i="44"/>
  <c r="C49" i="44"/>
  <c r="P48" i="44"/>
  <c r="O48" i="44"/>
  <c r="M48" i="44"/>
  <c r="L48" i="44"/>
  <c r="K48" i="44"/>
  <c r="J48" i="44"/>
  <c r="H48" i="44"/>
  <c r="E48" i="44"/>
  <c r="C48" i="44"/>
  <c r="P47" i="44"/>
  <c r="O47" i="44"/>
  <c r="M47" i="44"/>
  <c r="L47" i="44"/>
  <c r="K47" i="44"/>
  <c r="J47" i="44"/>
  <c r="H47" i="44"/>
  <c r="E47" i="44"/>
  <c r="C47" i="44"/>
  <c r="P46" i="44"/>
  <c r="O46" i="44"/>
  <c r="M46" i="44"/>
  <c r="L46" i="44"/>
  <c r="K46" i="44"/>
  <c r="J46" i="44"/>
  <c r="H46" i="44"/>
  <c r="E46" i="44"/>
  <c r="C46" i="44"/>
  <c r="P45" i="44"/>
  <c r="O45" i="44"/>
  <c r="M45" i="44"/>
  <c r="L45" i="44"/>
  <c r="K45" i="44"/>
  <c r="J45" i="44"/>
  <c r="H45" i="44"/>
  <c r="E45" i="44"/>
  <c r="C45" i="44"/>
  <c r="P44" i="44"/>
  <c r="O44" i="44"/>
  <c r="M44" i="44"/>
  <c r="L44" i="44"/>
  <c r="K44" i="44"/>
  <c r="J44" i="44"/>
  <c r="H44" i="44"/>
  <c r="E44" i="44"/>
  <c r="C44" i="44"/>
  <c r="P43" i="44"/>
  <c r="O43" i="44"/>
  <c r="M43" i="44"/>
  <c r="L43" i="44"/>
  <c r="K43" i="44"/>
  <c r="J43" i="44"/>
  <c r="H43" i="44"/>
  <c r="E43" i="44"/>
  <c r="C43" i="44"/>
  <c r="P42" i="44"/>
  <c r="O42" i="44"/>
  <c r="M42" i="44"/>
  <c r="L42" i="44"/>
  <c r="K42" i="44"/>
  <c r="J42" i="44"/>
  <c r="H42" i="44"/>
  <c r="E42" i="44"/>
  <c r="C42" i="44"/>
  <c r="P41" i="44"/>
  <c r="O41" i="44"/>
  <c r="M41" i="44"/>
  <c r="L41" i="44"/>
  <c r="K41" i="44"/>
  <c r="J41" i="44"/>
  <c r="H41" i="44"/>
  <c r="E41" i="44"/>
  <c r="C41" i="44"/>
  <c r="P40" i="44"/>
  <c r="O40" i="44"/>
  <c r="M40" i="44"/>
  <c r="L40" i="44"/>
  <c r="K40" i="44"/>
  <c r="J40" i="44"/>
  <c r="H40" i="44"/>
  <c r="E40" i="44"/>
  <c r="C40" i="44"/>
  <c r="P39" i="44"/>
  <c r="O39" i="44"/>
  <c r="M39" i="44"/>
  <c r="L39" i="44"/>
  <c r="K39" i="44"/>
  <c r="J39" i="44"/>
  <c r="H39" i="44"/>
  <c r="E39" i="44"/>
  <c r="C39" i="44"/>
  <c r="P38" i="44"/>
  <c r="O38" i="44"/>
  <c r="M38" i="44"/>
  <c r="L38" i="44"/>
  <c r="K38" i="44"/>
  <c r="J38" i="44"/>
  <c r="H38" i="44"/>
  <c r="E38" i="44"/>
  <c r="C38" i="44"/>
  <c r="P37" i="44"/>
  <c r="O37" i="44"/>
  <c r="M37" i="44"/>
  <c r="L37" i="44"/>
  <c r="K37" i="44"/>
  <c r="J37" i="44"/>
  <c r="H37" i="44"/>
  <c r="E37" i="44"/>
  <c r="C37" i="44"/>
  <c r="P36" i="44"/>
  <c r="O36" i="44"/>
  <c r="M36" i="44"/>
  <c r="L36" i="44"/>
  <c r="K36" i="44"/>
  <c r="J36" i="44"/>
  <c r="H36" i="44"/>
  <c r="E36" i="44"/>
  <c r="C36" i="44"/>
  <c r="U35" i="44"/>
  <c r="P35" i="44"/>
  <c r="O35" i="44"/>
  <c r="M35" i="44"/>
  <c r="L35" i="44"/>
  <c r="K35" i="44"/>
  <c r="J35" i="44"/>
  <c r="H35" i="44"/>
  <c r="E35" i="44"/>
  <c r="C35" i="44"/>
  <c r="AA34" i="44"/>
  <c r="Z34" i="44"/>
  <c r="Y34" i="44"/>
  <c r="X34" i="44"/>
  <c r="W34" i="44"/>
  <c r="U34" i="44"/>
  <c r="P34" i="44"/>
  <c r="O34" i="44"/>
  <c r="M34" i="44"/>
  <c r="L34" i="44"/>
  <c r="K34" i="44"/>
  <c r="J34" i="44"/>
  <c r="H34" i="44"/>
  <c r="E34" i="44"/>
  <c r="C34" i="44"/>
  <c r="AA33" i="44"/>
  <c r="Z33" i="44"/>
  <c r="Y33" i="44"/>
  <c r="X33" i="44"/>
  <c r="W33" i="44"/>
  <c r="U33" i="44"/>
  <c r="P33" i="44"/>
  <c r="O33" i="44"/>
  <c r="M33" i="44"/>
  <c r="L33" i="44"/>
  <c r="K33" i="44"/>
  <c r="J33" i="44"/>
  <c r="H33" i="44"/>
  <c r="E33" i="44"/>
  <c r="C33" i="44"/>
  <c r="AA32" i="44"/>
  <c r="Z32" i="44"/>
  <c r="Y32" i="44"/>
  <c r="X32" i="44"/>
  <c r="W32" i="44"/>
  <c r="U32" i="44"/>
  <c r="P32" i="44"/>
  <c r="O32" i="44"/>
  <c r="M32" i="44"/>
  <c r="L32" i="44"/>
  <c r="K32" i="44"/>
  <c r="J32" i="44"/>
  <c r="H32" i="44"/>
  <c r="E32" i="44"/>
  <c r="C32" i="44"/>
  <c r="AA31" i="44"/>
  <c r="Z31" i="44"/>
  <c r="Y31" i="44"/>
  <c r="X31" i="44"/>
  <c r="W31" i="44"/>
  <c r="U31" i="44"/>
  <c r="P31" i="44"/>
  <c r="O31" i="44"/>
  <c r="M31" i="44"/>
  <c r="L31" i="44"/>
  <c r="K31" i="44"/>
  <c r="J31" i="44"/>
  <c r="H31" i="44"/>
  <c r="E31" i="44"/>
  <c r="C31" i="44"/>
  <c r="U30" i="44"/>
  <c r="P30" i="44"/>
  <c r="O30" i="44"/>
  <c r="M30" i="44"/>
  <c r="L30" i="44"/>
  <c r="K30" i="44"/>
  <c r="J30" i="44"/>
  <c r="H30" i="44"/>
  <c r="E30" i="44"/>
  <c r="C30" i="44"/>
  <c r="AA29" i="44"/>
  <c r="Z29" i="44"/>
  <c r="Y29" i="44"/>
  <c r="X29" i="44"/>
  <c r="W29" i="44"/>
  <c r="U29" i="44"/>
  <c r="P29" i="44"/>
  <c r="O29" i="44"/>
  <c r="M29" i="44"/>
  <c r="L29" i="44"/>
  <c r="K29" i="44"/>
  <c r="J29" i="44"/>
  <c r="H29" i="44"/>
  <c r="E29" i="44"/>
  <c r="C29" i="44"/>
  <c r="P28" i="44"/>
  <c r="O28" i="44"/>
  <c r="M28" i="44"/>
  <c r="L28" i="44"/>
  <c r="K28" i="44"/>
  <c r="J28" i="44"/>
  <c r="H28" i="44"/>
  <c r="E28" i="44"/>
  <c r="C28" i="44"/>
  <c r="P27" i="44"/>
  <c r="O27" i="44"/>
  <c r="M27" i="44"/>
  <c r="L27" i="44"/>
  <c r="K27" i="44"/>
  <c r="J27" i="44"/>
  <c r="H27" i="44"/>
  <c r="E27" i="44"/>
  <c r="C27" i="44"/>
  <c r="P26" i="44"/>
  <c r="O26" i="44"/>
  <c r="M26" i="44"/>
  <c r="L26" i="44"/>
  <c r="K26" i="44"/>
  <c r="J26" i="44"/>
  <c r="H26" i="44"/>
  <c r="E26" i="44"/>
  <c r="C26" i="44"/>
  <c r="P25" i="44"/>
  <c r="O25" i="44"/>
  <c r="M25" i="44"/>
  <c r="L25" i="44"/>
  <c r="E25" i="44"/>
  <c r="E18" i="44"/>
  <c r="C18" i="44"/>
  <c r="G17" i="44"/>
  <c r="G16" i="44"/>
  <c r="O15" i="44"/>
  <c r="G15" i="44"/>
  <c r="G14" i="44"/>
  <c r="G13" i="44"/>
  <c r="T10" i="44"/>
  <c r="T9" i="44"/>
  <c r="T8" i="44"/>
  <c r="L190" i="43"/>
  <c r="K190" i="43"/>
  <c r="L189" i="43"/>
  <c r="K189" i="43"/>
  <c r="L188" i="43"/>
  <c r="K188" i="43"/>
  <c r="F188" i="43"/>
  <c r="F187" i="43"/>
  <c r="F186" i="43"/>
  <c r="R184" i="43"/>
  <c r="R183" i="43"/>
  <c r="Q183" i="43"/>
  <c r="Q177" i="43"/>
  <c r="R176" i="43"/>
  <c r="Q176" i="43"/>
  <c r="Q171" i="43"/>
  <c r="M166" i="43"/>
  <c r="K166" i="43"/>
  <c r="I166" i="43"/>
  <c r="G166" i="43"/>
  <c r="M165" i="43"/>
  <c r="K165" i="43"/>
  <c r="I165" i="43"/>
  <c r="G165" i="43"/>
  <c r="M164" i="43"/>
  <c r="K164" i="43"/>
  <c r="I164" i="43"/>
  <c r="G164" i="43"/>
  <c r="M163" i="43"/>
  <c r="K163" i="43"/>
  <c r="I163" i="43"/>
  <c r="G163" i="43"/>
  <c r="M162" i="43"/>
  <c r="K162" i="43"/>
  <c r="I162" i="43"/>
  <c r="G162" i="43"/>
  <c r="M161" i="43"/>
  <c r="K161" i="43"/>
  <c r="I161" i="43"/>
  <c r="G161" i="43"/>
  <c r="M160" i="43"/>
  <c r="K160" i="43"/>
  <c r="I160" i="43"/>
  <c r="G160" i="43"/>
  <c r="M159" i="43"/>
  <c r="K159" i="43"/>
  <c r="I159" i="43"/>
  <c r="G159" i="43"/>
  <c r="M158" i="43"/>
  <c r="K158" i="43"/>
  <c r="I158" i="43"/>
  <c r="G158" i="43"/>
  <c r="M157" i="43"/>
  <c r="K157" i="43"/>
  <c r="I157" i="43"/>
  <c r="G157" i="43"/>
  <c r="M156" i="43"/>
  <c r="K156" i="43"/>
  <c r="I156" i="43"/>
  <c r="G156" i="43"/>
  <c r="M155" i="43"/>
  <c r="K155" i="43"/>
  <c r="I155" i="43"/>
  <c r="G155" i="43"/>
  <c r="M154" i="43"/>
  <c r="K154" i="43"/>
  <c r="I154" i="43"/>
  <c r="G154" i="43"/>
  <c r="M153" i="43"/>
  <c r="J153" i="43"/>
  <c r="G153" i="43"/>
  <c r="D148" i="43"/>
  <c r="B148" i="43"/>
  <c r="F146" i="43"/>
  <c r="D139" i="43"/>
  <c r="M138" i="43"/>
  <c r="D138" i="43"/>
  <c r="M137" i="43"/>
  <c r="D137" i="43"/>
  <c r="J133" i="43"/>
  <c r="J132" i="43"/>
  <c r="J131" i="43"/>
  <c r="J130" i="43"/>
  <c r="L126" i="43"/>
  <c r="K126" i="43"/>
  <c r="L125" i="43"/>
  <c r="K125" i="43"/>
  <c r="L124" i="43"/>
  <c r="K124" i="43"/>
  <c r="F124" i="43"/>
  <c r="F123" i="43"/>
  <c r="F122" i="43"/>
  <c r="R119" i="43"/>
  <c r="Q119" i="43"/>
  <c r="Q113" i="43"/>
  <c r="R112" i="43"/>
  <c r="Q112" i="43"/>
  <c r="Q107" i="43"/>
  <c r="M102" i="43"/>
  <c r="K102" i="43"/>
  <c r="I102" i="43"/>
  <c r="G102" i="43"/>
  <c r="D102" i="43"/>
  <c r="M101" i="43"/>
  <c r="K101" i="43"/>
  <c r="I101" i="43"/>
  <c r="G101" i="43"/>
  <c r="D101" i="43"/>
  <c r="M100" i="43"/>
  <c r="K100" i="43"/>
  <c r="I100" i="43"/>
  <c r="G100" i="43"/>
  <c r="D100" i="43"/>
  <c r="M99" i="43"/>
  <c r="K99" i="43"/>
  <c r="I99" i="43"/>
  <c r="G99" i="43"/>
  <c r="D99" i="43"/>
  <c r="M98" i="43"/>
  <c r="K98" i="43"/>
  <c r="I98" i="43"/>
  <c r="G98" i="43"/>
  <c r="D98" i="43"/>
  <c r="M97" i="43"/>
  <c r="K97" i="43"/>
  <c r="I97" i="43"/>
  <c r="G97" i="43"/>
  <c r="D97" i="43"/>
  <c r="M96" i="43"/>
  <c r="K96" i="43"/>
  <c r="I96" i="43"/>
  <c r="G96" i="43"/>
  <c r="D96" i="43"/>
  <c r="M95" i="43"/>
  <c r="K95" i="43"/>
  <c r="I95" i="43"/>
  <c r="G95" i="43"/>
  <c r="D95" i="43"/>
  <c r="M94" i="43"/>
  <c r="K94" i="43"/>
  <c r="I94" i="43"/>
  <c r="G94" i="43"/>
  <c r="D94" i="43"/>
  <c r="M93" i="43"/>
  <c r="K93" i="43"/>
  <c r="I93" i="43"/>
  <c r="G93" i="43"/>
  <c r="D93" i="43"/>
  <c r="M92" i="43"/>
  <c r="K92" i="43"/>
  <c r="I92" i="43"/>
  <c r="G92" i="43"/>
  <c r="M91" i="43"/>
  <c r="K91" i="43"/>
  <c r="I91" i="43"/>
  <c r="G91" i="43"/>
  <c r="M90" i="43"/>
  <c r="K90" i="43"/>
  <c r="I90" i="43"/>
  <c r="G90" i="43"/>
  <c r="M89" i="43"/>
  <c r="G89" i="43"/>
  <c r="B89" i="43"/>
  <c r="D84" i="43"/>
  <c r="B84" i="43"/>
  <c r="F81" i="43"/>
  <c r="F80" i="43"/>
  <c r="F79" i="43"/>
  <c r="D75" i="43"/>
  <c r="M74" i="43"/>
  <c r="D74" i="43"/>
  <c r="M73" i="43"/>
  <c r="D73" i="43"/>
  <c r="J69" i="43"/>
  <c r="J68" i="43"/>
  <c r="J67" i="43"/>
  <c r="J66" i="43"/>
  <c r="L62" i="43"/>
  <c r="K62" i="43"/>
  <c r="L61" i="43"/>
  <c r="K61" i="43"/>
  <c r="L60" i="43"/>
  <c r="K60" i="43"/>
  <c r="F60" i="43"/>
  <c r="F59" i="43"/>
  <c r="F58" i="43"/>
  <c r="R56" i="43"/>
  <c r="Q56" i="43"/>
  <c r="R55" i="43"/>
  <c r="Q55" i="43"/>
  <c r="Q49" i="43"/>
  <c r="R48" i="43"/>
  <c r="Q48" i="43"/>
  <c r="Q43" i="43"/>
  <c r="M38" i="43"/>
  <c r="K38" i="43"/>
  <c r="I38" i="43"/>
  <c r="G38" i="43"/>
  <c r="M37" i="43"/>
  <c r="K37" i="43"/>
  <c r="I37" i="43"/>
  <c r="G37" i="43"/>
  <c r="M36" i="43"/>
  <c r="K36" i="43"/>
  <c r="I36" i="43"/>
  <c r="G36" i="43"/>
  <c r="M35" i="43"/>
  <c r="K35" i="43"/>
  <c r="I35" i="43"/>
  <c r="G35" i="43"/>
  <c r="M34" i="43"/>
  <c r="K34" i="43"/>
  <c r="I34" i="43"/>
  <c r="G34" i="43"/>
  <c r="M33" i="43"/>
  <c r="K33" i="43"/>
  <c r="I33" i="43"/>
  <c r="G33" i="43"/>
  <c r="M32" i="43"/>
  <c r="K32" i="43"/>
  <c r="I32" i="43"/>
  <c r="G32" i="43"/>
  <c r="M31" i="43"/>
  <c r="K31" i="43"/>
  <c r="I31" i="43"/>
  <c r="G31" i="43"/>
  <c r="M30" i="43"/>
  <c r="K30" i="43"/>
  <c r="I30" i="43"/>
  <c r="G30" i="43"/>
  <c r="M29" i="43"/>
  <c r="K29" i="43"/>
  <c r="I29" i="43"/>
  <c r="G29" i="43"/>
  <c r="M28" i="43"/>
  <c r="K28" i="43"/>
  <c r="I28" i="43"/>
  <c r="G28" i="43"/>
  <c r="M27" i="43"/>
  <c r="K27" i="43"/>
  <c r="I27" i="43"/>
  <c r="G27" i="43"/>
  <c r="M26" i="43"/>
  <c r="K26" i="43"/>
  <c r="I26" i="43"/>
  <c r="G26" i="43"/>
  <c r="M25" i="43"/>
  <c r="J25" i="43"/>
  <c r="G25" i="43"/>
  <c r="F18" i="43"/>
  <c r="U191" i="42"/>
  <c r="T191" i="42"/>
  <c r="U190" i="42"/>
  <c r="T190" i="42"/>
  <c r="U189" i="42"/>
  <c r="T189" i="42"/>
  <c r="U188" i="42"/>
  <c r="T188" i="42"/>
  <c r="U187" i="42"/>
  <c r="T187" i="42"/>
  <c r="T186" i="42"/>
  <c r="G186" i="42"/>
  <c r="F186" i="42"/>
  <c r="F179" i="42"/>
  <c r="F178" i="42"/>
  <c r="F177" i="42"/>
  <c r="F176" i="42"/>
  <c r="F175" i="42"/>
  <c r="F173" i="42"/>
  <c r="D173" i="42"/>
  <c r="D165" i="42"/>
  <c r="N164" i="42"/>
  <c r="D164" i="42"/>
  <c r="N163" i="42"/>
  <c r="D163" i="42"/>
  <c r="P159" i="42"/>
  <c r="J159" i="42"/>
  <c r="P158" i="42"/>
  <c r="J158" i="42"/>
  <c r="J157" i="42"/>
  <c r="J156" i="42"/>
  <c r="G119" i="42"/>
  <c r="G118" i="42"/>
  <c r="J117" i="42"/>
  <c r="H117" i="42"/>
  <c r="G116" i="42"/>
  <c r="U115" i="42"/>
  <c r="T115" i="42"/>
  <c r="J115" i="42"/>
  <c r="H115" i="42"/>
  <c r="U114" i="42"/>
  <c r="T114" i="42"/>
  <c r="G114" i="42"/>
  <c r="U113" i="42"/>
  <c r="T113" i="42"/>
  <c r="J113" i="42"/>
  <c r="H113" i="42"/>
  <c r="U112" i="42"/>
  <c r="T112" i="42"/>
  <c r="G112" i="42"/>
  <c r="U111" i="42"/>
  <c r="T111" i="42"/>
  <c r="J111" i="42"/>
  <c r="U110" i="42"/>
  <c r="T110" i="42"/>
  <c r="G110" i="42"/>
  <c r="T109" i="42"/>
  <c r="F96" i="42"/>
  <c r="D88" i="42"/>
  <c r="N87" i="42"/>
  <c r="D87" i="42"/>
  <c r="N86" i="42"/>
  <c r="D86" i="42"/>
  <c r="P82" i="42"/>
  <c r="J82" i="42"/>
  <c r="P81" i="42"/>
  <c r="J81" i="42"/>
  <c r="J80" i="42"/>
  <c r="J79" i="42"/>
  <c r="G41" i="42"/>
  <c r="J40" i="42"/>
  <c r="H40" i="42"/>
  <c r="G39" i="42"/>
  <c r="U38" i="42"/>
  <c r="T38" i="42"/>
  <c r="J38" i="42"/>
  <c r="H38" i="42"/>
  <c r="U37" i="42"/>
  <c r="T37" i="42"/>
  <c r="G37" i="42"/>
  <c r="U36" i="42"/>
  <c r="T36" i="42"/>
  <c r="J36" i="42"/>
  <c r="H36" i="42"/>
  <c r="U35" i="42"/>
  <c r="T35" i="42"/>
  <c r="G35" i="42"/>
  <c r="U34" i="42"/>
  <c r="T34" i="42"/>
  <c r="J34" i="42"/>
  <c r="U33" i="42"/>
  <c r="T33" i="42"/>
  <c r="G33" i="42"/>
  <c r="T32" i="42"/>
  <c r="F19" i="42"/>
  <c r="D19" i="42"/>
  <c r="AQ58" i="41"/>
  <c r="AN58" i="41"/>
  <c r="AL58" i="41"/>
  <c r="AK58" i="41"/>
  <c r="AB58" i="41"/>
  <c r="Y58" i="41"/>
  <c r="W58" i="41"/>
  <c r="V58" i="41"/>
  <c r="M58" i="41"/>
  <c r="J58" i="41"/>
  <c r="H58" i="41"/>
  <c r="G58" i="41"/>
  <c r="AQ57" i="41"/>
  <c r="AN57" i="41"/>
  <c r="AL57" i="41"/>
  <c r="AK57" i="41"/>
  <c r="AB57" i="41"/>
  <c r="Y57" i="41"/>
  <c r="W57" i="41"/>
  <c r="V57" i="41"/>
  <c r="M57" i="41"/>
  <c r="J57" i="41"/>
  <c r="H57" i="41"/>
  <c r="G57" i="41"/>
  <c r="AQ56" i="41"/>
  <c r="AN56" i="41"/>
  <c r="AL56" i="41"/>
  <c r="AK56" i="41"/>
  <c r="AB56" i="41"/>
  <c r="Y56" i="41"/>
  <c r="W56" i="41"/>
  <c r="V56" i="41"/>
  <c r="M56" i="41"/>
  <c r="J56" i="41"/>
  <c r="H56" i="41"/>
  <c r="G56" i="41"/>
  <c r="AQ55" i="41"/>
  <c r="AN55" i="41"/>
  <c r="AL55" i="41"/>
  <c r="AK55" i="41"/>
  <c r="AB55" i="41"/>
  <c r="Y55" i="41"/>
  <c r="W55" i="41"/>
  <c r="V55" i="41"/>
  <c r="M55" i="41"/>
  <c r="J55" i="41"/>
  <c r="H55" i="41"/>
  <c r="G55" i="41"/>
  <c r="AQ54" i="41"/>
  <c r="AN54" i="41"/>
  <c r="AL54" i="41"/>
  <c r="AK54" i="41"/>
  <c r="AB54" i="41"/>
  <c r="Y54" i="41"/>
  <c r="W54" i="41"/>
  <c r="V54" i="41"/>
  <c r="M54" i="41"/>
  <c r="J54" i="41"/>
  <c r="H54" i="41"/>
  <c r="G54" i="41"/>
  <c r="AQ53" i="41"/>
  <c r="AN53" i="41"/>
  <c r="AL53" i="41"/>
  <c r="AK53" i="41"/>
  <c r="AB53" i="41"/>
  <c r="Y53" i="41"/>
  <c r="W53" i="41"/>
  <c r="V53" i="41"/>
  <c r="M53" i="41"/>
  <c r="J53" i="41"/>
  <c r="H53" i="41"/>
  <c r="G53" i="41"/>
  <c r="AQ52" i="41"/>
  <c r="AN52" i="41"/>
  <c r="AL52" i="41"/>
  <c r="AK52" i="41"/>
  <c r="AB52" i="41"/>
  <c r="Y52" i="41"/>
  <c r="W52" i="41"/>
  <c r="V52" i="41"/>
  <c r="M52" i="41"/>
  <c r="J52" i="41"/>
  <c r="H52" i="41"/>
  <c r="G52" i="41"/>
  <c r="AQ51" i="41"/>
  <c r="AN51" i="41"/>
  <c r="AL51" i="41"/>
  <c r="AK51" i="41"/>
  <c r="AB51" i="41"/>
  <c r="Y51" i="41"/>
  <c r="W51" i="41"/>
  <c r="V51" i="41"/>
  <c r="M51" i="41"/>
  <c r="J51" i="41"/>
  <c r="H51" i="41"/>
  <c r="G51" i="41"/>
  <c r="AQ50" i="41"/>
  <c r="AN50" i="41"/>
  <c r="AL50" i="41"/>
  <c r="AK50" i="41"/>
  <c r="AB50" i="41"/>
  <c r="Y50" i="41"/>
  <c r="W50" i="41"/>
  <c r="V50" i="41"/>
  <c r="M50" i="41"/>
  <c r="J50" i="41"/>
  <c r="H50" i="41"/>
  <c r="G50" i="41"/>
  <c r="AQ49" i="41"/>
  <c r="AN49" i="41"/>
  <c r="AL49" i="41"/>
  <c r="AK49" i="41"/>
  <c r="AB49" i="41"/>
  <c r="Y49" i="41"/>
  <c r="W49" i="41"/>
  <c r="V49" i="41"/>
  <c r="M49" i="41"/>
  <c r="J49" i="41"/>
  <c r="H49" i="41"/>
  <c r="G49" i="41"/>
  <c r="AQ48" i="41"/>
  <c r="AN48" i="41"/>
  <c r="AL48" i="41"/>
  <c r="AK48" i="41"/>
  <c r="AB48" i="41"/>
  <c r="Y48" i="41"/>
  <c r="W48" i="41"/>
  <c r="V48" i="41"/>
  <c r="M48" i="41"/>
  <c r="J48" i="41"/>
  <c r="H48" i="41"/>
  <c r="G48" i="41"/>
  <c r="AQ47" i="41"/>
  <c r="AN47" i="41"/>
  <c r="AL47" i="41"/>
  <c r="AK47" i="41"/>
  <c r="AB47" i="41"/>
  <c r="Y47" i="41"/>
  <c r="W47" i="41"/>
  <c r="V47" i="41"/>
  <c r="M47" i="41"/>
  <c r="J47" i="41"/>
  <c r="H47" i="41"/>
  <c r="G47" i="41"/>
  <c r="AQ46" i="41"/>
  <c r="AN46" i="41"/>
  <c r="AL46" i="41"/>
  <c r="AK46" i="41"/>
  <c r="AB46" i="41"/>
  <c r="Y46" i="41"/>
  <c r="W46" i="41"/>
  <c r="V46" i="41"/>
  <c r="M46" i="41"/>
  <c r="J46" i="41"/>
  <c r="H46" i="41"/>
  <c r="G46" i="41"/>
  <c r="AQ45" i="41"/>
  <c r="AN45" i="41"/>
  <c r="AL45" i="41"/>
  <c r="AK45" i="41"/>
  <c r="AB45" i="41"/>
  <c r="Y45" i="41"/>
  <c r="W45" i="41"/>
  <c r="V45" i="41"/>
  <c r="M45" i="41"/>
  <c r="J45" i="41"/>
  <c r="H45" i="41"/>
  <c r="G45" i="41"/>
  <c r="AQ44" i="41"/>
  <c r="AN44" i="41"/>
  <c r="AL44" i="41"/>
  <c r="AK44" i="41"/>
  <c r="AB44" i="41"/>
  <c r="Y44" i="41"/>
  <c r="W44" i="41"/>
  <c r="V44" i="41"/>
  <c r="M44" i="41"/>
  <c r="J44" i="41"/>
  <c r="H44" i="41"/>
  <c r="G44" i="41"/>
  <c r="C44" i="41"/>
  <c r="A44" i="41"/>
  <c r="AQ43" i="41"/>
  <c r="AN43" i="41"/>
  <c r="AL43" i="41"/>
  <c r="AK43" i="41"/>
  <c r="AB43" i="41"/>
  <c r="Y43" i="41"/>
  <c r="W43" i="41"/>
  <c r="V43" i="41"/>
  <c r="M43" i="41"/>
  <c r="J43" i="41"/>
  <c r="H43" i="41"/>
  <c r="G43" i="41"/>
  <c r="C43" i="41"/>
  <c r="A43" i="41"/>
  <c r="AQ42" i="41"/>
  <c r="AN42" i="41"/>
  <c r="AL42" i="41"/>
  <c r="AK42" i="41"/>
  <c r="AB42" i="41"/>
  <c r="Y42" i="41"/>
  <c r="W42" i="41"/>
  <c r="V42" i="41"/>
  <c r="M42" i="41"/>
  <c r="J42" i="41"/>
  <c r="H42" i="41"/>
  <c r="G42" i="41"/>
  <c r="C42" i="41"/>
  <c r="A42" i="41"/>
  <c r="AQ41" i="41"/>
  <c r="AN41" i="41"/>
  <c r="AL41" i="41"/>
  <c r="AK41" i="41"/>
  <c r="AB41" i="41"/>
  <c r="Y41" i="41"/>
  <c r="W41" i="41"/>
  <c r="V41" i="41"/>
  <c r="M41" i="41"/>
  <c r="J41" i="41"/>
  <c r="H41" i="41"/>
  <c r="G41" i="41"/>
  <c r="C41" i="41"/>
  <c r="A41" i="41"/>
  <c r="AQ40" i="41"/>
  <c r="AN40" i="41"/>
  <c r="AL40" i="41"/>
  <c r="AK40" i="41"/>
  <c r="AB40" i="41"/>
  <c r="Y40" i="41"/>
  <c r="W40" i="41"/>
  <c r="V40" i="41"/>
  <c r="M40" i="41"/>
  <c r="J40" i="41"/>
  <c r="H40" i="41"/>
  <c r="G40" i="41"/>
  <c r="C40" i="41"/>
  <c r="A40" i="41"/>
  <c r="AQ39" i="41"/>
  <c r="AN39" i="41"/>
  <c r="AL39" i="41"/>
  <c r="AK39" i="41"/>
  <c r="AB39" i="41"/>
  <c r="Y39" i="41"/>
  <c r="W39" i="41"/>
  <c r="V39" i="41"/>
  <c r="M39" i="41"/>
  <c r="J39" i="41"/>
  <c r="H39" i="41"/>
  <c r="G39" i="41"/>
  <c r="C39" i="41"/>
  <c r="A39" i="41"/>
  <c r="AQ38" i="41"/>
  <c r="AN38" i="41"/>
  <c r="AL38" i="41"/>
  <c r="AK38" i="41"/>
  <c r="AB38" i="41"/>
  <c r="Y38" i="41"/>
  <c r="W38" i="41"/>
  <c r="V38" i="41"/>
  <c r="M38" i="41"/>
  <c r="J38" i="41"/>
  <c r="H38" i="41"/>
  <c r="G38" i="41"/>
  <c r="C38" i="41"/>
  <c r="A38" i="41"/>
  <c r="AQ37" i="41"/>
  <c r="AN37" i="41"/>
  <c r="AL37" i="41"/>
  <c r="AK37" i="41"/>
  <c r="AB37" i="41"/>
  <c r="Y37" i="41"/>
  <c r="W37" i="41"/>
  <c r="V37" i="41"/>
  <c r="M37" i="41"/>
  <c r="J37" i="41"/>
  <c r="H37" i="41"/>
  <c r="G37" i="41"/>
  <c r="C37" i="41"/>
  <c r="A37" i="41"/>
  <c r="AQ36" i="41"/>
  <c r="AN36" i="41"/>
  <c r="AL36" i="41"/>
  <c r="AK36" i="41"/>
  <c r="AB36" i="41"/>
  <c r="Y36" i="41"/>
  <c r="W36" i="41"/>
  <c r="V36" i="41"/>
  <c r="M36" i="41"/>
  <c r="J36" i="41"/>
  <c r="H36" i="41"/>
  <c r="G36" i="41"/>
  <c r="C36" i="41"/>
  <c r="A36" i="41"/>
  <c r="AQ35" i="41"/>
  <c r="AN35" i="41"/>
  <c r="AL35" i="41"/>
  <c r="AK35" i="41"/>
  <c r="AB35" i="41"/>
  <c r="Y35" i="41"/>
  <c r="W35" i="41"/>
  <c r="V35" i="41"/>
  <c r="M35" i="41"/>
  <c r="J35" i="41"/>
  <c r="H35" i="41"/>
  <c r="G35" i="41"/>
  <c r="C35" i="41"/>
  <c r="A35" i="41"/>
  <c r="AQ34" i="41"/>
  <c r="AN34" i="41"/>
  <c r="AL34" i="41"/>
  <c r="AK34" i="41"/>
  <c r="AB34" i="41"/>
  <c r="Y34" i="41"/>
  <c r="W34" i="41"/>
  <c r="V34" i="41"/>
  <c r="M34" i="41"/>
  <c r="J34" i="41"/>
  <c r="H34" i="41"/>
  <c r="G34" i="41"/>
  <c r="C34" i="41"/>
  <c r="A34" i="41"/>
  <c r="AQ33" i="41"/>
  <c r="AN33" i="41"/>
  <c r="AL33" i="41"/>
  <c r="AK33" i="41"/>
  <c r="AB33" i="41"/>
  <c r="Y33" i="41"/>
  <c r="W33" i="41"/>
  <c r="V33" i="41"/>
  <c r="M33" i="41"/>
  <c r="J33" i="41"/>
  <c r="H33" i="41"/>
  <c r="G33" i="41"/>
  <c r="C33" i="41"/>
  <c r="A33" i="41"/>
  <c r="AQ32" i="41"/>
  <c r="AN32" i="41"/>
  <c r="AL32" i="41"/>
  <c r="AK32" i="41"/>
  <c r="AB32" i="41"/>
  <c r="Y32" i="41"/>
  <c r="W32" i="41"/>
  <c r="V32" i="41"/>
  <c r="M32" i="41"/>
  <c r="J32" i="41"/>
  <c r="H32" i="41"/>
  <c r="G32" i="41"/>
  <c r="C32" i="41"/>
  <c r="A32" i="41"/>
  <c r="AQ31" i="41"/>
  <c r="AN31" i="41"/>
  <c r="AL31" i="41"/>
  <c r="AK31" i="41"/>
  <c r="AB31" i="41"/>
  <c r="Y31" i="41"/>
  <c r="W31" i="41"/>
  <c r="V31" i="41"/>
  <c r="M31" i="41"/>
  <c r="J31" i="41"/>
  <c r="H31" i="41"/>
  <c r="G31" i="41"/>
  <c r="C31" i="41"/>
  <c r="A31" i="41"/>
  <c r="AL30" i="41"/>
  <c r="AK30" i="41"/>
  <c r="W30" i="41"/>
  <c r="V30" i="41"/>
  <c r="H30" i="41"/>
  <c r="G30" i="41"/>
  <c r="BA29" i="41"/>
  <c r="AZ29" i="41"/>
  <c r="AY29" i="41"/>
  <c r="AX29" i="41"/>
  <c r="AW29" i="41"/>
  <c r="BA28" i="41"/>
  <c r="AZ28" i="41"/>
  <c r="BA27" i="41"/>
  <c r="AZ27" i="41"/>
  <c r="BA26" i="41"/>
  <c r="AZ26" i="41"/>
  <c r="BA25" i="41"/>
  <c r="AZ25" i="41"/>
  <c r="BA24" i="41"/>
  <c r="AZ24" i="41"/>
  <c r="BA23" i="41"/>
  <c r="AZ23" i="41"/>
  <c r="AQ23" i="41"/>
  <c r="AP23" i="41"/>
  <c r="AB23" i="41"/>
  <c r="AA23" i="41"/>
  <c r="M23" i="41"/>
  <c r="L23" i="41"/>
  <c r="BA22" i="41"/>
  <c r="AZ22" i="41"/>
  <c r="AQ22" i="41"/>
  <c r="AP22" i="41"/>
  <c r="AJ22" i="41"/>
  <c r="AB22" i="41"/>
  <c r="AA22" i="41"/>
  <c r="U22" i="41"/>
  <c r="M22" i="41"/>
  <c r="L22" i="41"/>
  <c r="BA21" i="41"/>
  <c r="AZ21" i="41"/>
  <c r="AQ21" i="41"/>
  <c r="AP21" i="41"/>
  <c r="AJ21" i="41"/>
  <c r="AB21" i="41"/>
  <c r="AA21" i="41"/>
  <c r="U21" i="41"/>
  <c r="M21" i="41"/>
  <c r="L21" i="41"/>
  <c r="F21" i="41"/>
  <c r="BA20" i="41"/>
  <c r="AZ20" i="41"/>
  <c r="AQ20" i="41"/>
  <c r="AP20" i="41"/>
  <c r="AJ20" i="41"/>
  <c r="AB20" i="41"/>
  <c r="AA20" i="41"/>
  <c r="U20" i="41"/>
  <c r="M20" i="41"/>
  <c r="L20" i="41"/>
  <c r="BA19" i="41"/>
  <c r="AZ19" i="41"/>
  <c r="AQ19" i="41"/>
  <c r="AP19" i="41"/>
  <c r="AJ19" i="41"/>
  <c r="AB19" i="41"/>
  <c r="AA19" i="41"/>
  <c r="U19" i="41"/>
  <c r="M19" i="41"/>
  <c r="L19" i="41"/>
  <c r="F19" i="41"/>
  <c r="BA18" i="41"/>
  <c r="AZ18" i="41"/>
  <c r="AQ18" i="41"/>
  <c r="AP18" i="41"/>
  <c r="AJ18" i="41"/>
  <c r="AB18" i="41"/>
  <c r="AA18" i="41"/>
  <c r="U18" i="41"/>
  <c r="M18" i="41"/>
  <c r="L18" i="41"/>
  <c r="F18" i="41"/>
  <c r="BA17" i="41"/>
  <c r="AZ17" i="41"/>
  <c r="AQ17" i="41"/>
  <c r="AP17" i="41"/>
  <c r="AJ17" i="41"/>
  <c r="AB17" i="41"/>
  <c r="AA17" i="41"/>
  <c r="U17" i="41"/>
  <c r="M17" i="41"/>
  <c r="L17" i="41"/>
  <c r="F17" i="41"/>
  <c r="BA16" i="41"/>
  <c r="AZ16" i="41"/>
  <c r="AQ16" i="41"/>
  <c r="AP16" i="41"/>
  <c r="AJ16" i="41"/>
  <c r="AB16" i="41"/>
  <c r="AA16" i="41"/>
  <c r="U16" i="41"/>
  <c r="L16" i="41"/>
  <c r="F16" i="41"/>
  <c r="BA15" i="41"/>
  <c r="AZ15" i="41"/>
  <c r="AQ15" i="41"/>
  <c r="AP15" i="41"/>
  <c r="AJ15" i="41"/>
  <c r="AB15" i="41"/>
  <c r="AA15" i="41"/>
  <c r="U15" i="41"/>
  <c r="L15" i="41"/>
  <c r="F15" i="41"/>
  <c r="BA14" i="41"/>
  <c r="AZ14" i="41"/>
  <c r="AQ14" i="41"/>
  <c r="AP14" i="41"/>
  <c r="AJ14" i="41"/>
  <c r="AB14" i="41"/>
  <c r="AA14" i="41"/>
  <c r="U14" i="41"/>
  <c r="BA13" i="41"/>
  <c r="AZ13" i="41"/>
  <c r="BA12" i="41"/>
  <c r="AZ12" i="41"/>
  <c r="BA11" i="41"/>
  <c r="AZ11" i="41"/>
  <c r="BA10" i="41"/>
  <c r="AZ10" i="41"/>
  <c r="BA9" i="41"/>
  <c r="AZ9" i="41"/>
  <c r="AQ58" i="40"/>
  <c r="AN58" i="40"/>
  <c r="AL58" i="40"/>
  <c r="AK58" i="40"/>
  <c r="AB58" i="40"/>
  <c r="Y58" i="40"/>
  <c r="W58" i="40"/>
  <c r="V58" i="40"/>
  <c r="M58" i="40"/>
  <c r="J58" i="40"/>
  <c r="H58" i="40"/>
  <c r="G58" i="40"/>
  <c r="AQ57" i="40"/>
  <c r="AN57" i="40"/>
  <c r="AL57" i="40"/>
  <c r="AK57" i="40"/>
  <c r="AB57" i="40"/>
  <c r="Y57" i="40"/>
  <c r="W57" i="40"/>
  <c r="V57" i="40"/>
  <c r="M57" i="40"/>
  <c r="J57" i="40"/>
  <c r="H57" i="40"/>
  <c r="G57" i="40"/>
  <c r="AQ56" i="40"/>
  <c r="AN56" i="40"/>
  <c r="AL56" i="40"/>
  <c r="AK56" i="40"/>
  <c r="AB56" i="40"/>
  <c r="Y56" i="40"/>
  <c r="W56" i="40"/>
  <c r="V56" i="40"/>
  <c r="M56" i="40"/>
  <c r="J56" i="40"/>
  <c r="H56" i="40"/>
  <c r="G56" i="40"/>
  <c r="AQ55" i="40"/>
  <c r="AN55" i="40"/>
  <c r="AL55" i="40"/>
  <c r="AK55" i="40"/>
  <c r="AB55" i="40"/>
  <c r="Y55" i="40"/>
  <c r="W55" i="40"/>
  <c r="V55" i="40"/>
  <c r="M55" i="40"/>
  <c r="J55" i="40"/>
  <c r="H55" i="40"/>
  <c r="G55" i="40"/>
  <c r="AQ54" i="40"/>
  <c r="AN54" i="40"/>
  <c r="AL54" i="40"/>
  <c r="AK54" i="40"/>
  <c r="AB54" i="40"/>
  <c r="Y54" i="40"/>
  <c r="W54" i="40"/>
  <c r="V54" i="40"/>
  <c r="M54" i="40"/>
  <c r="J54" i="40"/>
  <c r="H54" i="40"/>
  <c r="G54" i="40"/>
  <c r="AQ53" i="40"/>
  <c r="AN53" i="40"/>
  <c r="AL53" i="40"/>
  <c r="AK53" i="40"/>
  <c r="AB53" i="40"/>
  <c r="Y53" i="40"/>
  <c r="W53" i="40"/>
  <c r="V53" i="40"/>
  <c r="M53" i="40"/>
  <c r="J53" i="40"/>
  <c r="H53" i="40"/>
  <c r="G53" i="40"/>
  <c r="AQ52" i="40"/>
  <c r="AN52" i="40"/>
  <c r="AL52" i="40"/>
  <c r="AK52" i="40"/>
  <c r="AB52" i="40"/>
  <c r="Y52" i="40"/>
  <c r="W52" i="40"/>
  <c r="V52" i="40"/>
  <c r="M52" i="40"/>
  <c r="J52" i="40"/>
  <c r="H52" i="40"/>
  <c r="G52" i="40"/>
  <c r="AQ51" i="40"/>
  <c r="AN51" i="40"/>
  <c r="AL51" i="40"/>
  <c r="AK51" i="40"/>
  <c r="AB51" i="40"/>
  <c r="Y51" i="40"/>
  <c r="W51" i="40"/>
  <c r="V51" i="40"/>
  <c r="M51" i="40"/>
  <c r="J51" i="40"/>
  <c r="H51" i="40"/>
  <c r="G51" i="40"/>
  <c r="AQ50" i="40"/>
  <c r="AN50" i="40"/>
  <c r="AL50" i="40"/>
  <c r="AK50" i="40"/>
  <c r="AB50" i="40"/>
  <c r="Y50" i="40"/>
  <c r="W50" i="40"/>
  <c r="V50" i="40"/>
  <c r="M50" i="40"/>
  <c r="J50" i="40"/>
  <c r="H50" i="40"/>
  <c r="G50" i="40"/>
  <c r="AQ49" i="40"/>
  <c r="AN49" i="40"/>
  <c r="AL49" i="40"/>
  <c r="AK49" i="40"/>
  <c r="AB49" i="40"/>
  <c r="Y49" i="40"/>
  <c r="W49" i="40"/>
  <c r="V49" i="40"/>
  <c r="M49" i="40"/>
  <c r="J49" i="40"/>
  <c r="H49" i="40"/>
  <c r="G49" i="40"/>
  <c r="AQ48" i="40"/>
  <c r="AN48" i="40"/>
  <c r="AL48" i="40"/>
  <c r="AK48" i="40"/>
  <c r="AB48" i="40"/>
  <c r="Y48" i="40"/>
  <c r="W48" i="40"/>
  <c r="V48" i="40"/>
  <c r="M48" i="40"/>
  <c r="J48" i="40"/>
  <c r="H48" i="40"/>
  <c r="G48" i="40"/>
  <c r="AQ47" i="40"/>
  <c r="AN47" i="40"/>
  <c r="AL47" i="40"/>
  <c r="AK47" i="40"/>
  <c r="AB47" i="40"/>
  <c r="Y47" i="40"/>
  <c r="W47" i="40"/>
  <c r="V47" i="40"/>
  <c r="M47" i="40"/>
  <c r="J47" i="40"/>
  <c r="H47" i="40"/>
  <c r="G47" i="40"/>
  <c r="AQ46" i="40"/>
  <c r="AN46" i="40"/>
  <c r="AL46" i="40"/>
  <c r="AK46" i="40"/>
  <c r="AB46" i="40"/>
  <c r="Y46" i="40"/>
  <c r="W46" i="40"/>
  <c r="V46" i="40"/>
  <c r="M46" i="40"/>
  <c r="J46" i="40"/>
  <c r="H46" i="40"/>
  <c r="G46" i="40"/>
  <c r="AQ45" i="40"/>
  <c r="AN45" i="40"/>
  <c r="AL45" i="40"/>
  <c r="AK45" i="40"/>
  <c r="AB45" i="40"/>
  <c r="Y45" i="40"/>
  <c r="W45" i="40"/>
  <c r="V45" i="40"/>
  <c r="M45" i="40"/>
  <c r="J45" i="40"/>
  <c r="H45" i="40"/>
  <c r="G45" i="40"/>
  <c r="AQ44" i="40"/>
  <c r="AN44" i="40"/>
  <c r="AL44" i="40"/>
  <c r="AK44" i="40"/>
  <c r="AB44" i="40"/>
  <c r="Y44" i="40"/>
  <c r="W44" i="40"/>
  <c r="V44" i="40"/>
  <c r="M44" i="40"/>
  <c r="J44" i="40"/>
  <c r="H44" i="40"/>
  <c r="G44" i="40"/>
  <c r="C44" i="40"/>
  <c r="A44" i="40"/>
  <c r="AQ43" i="40"/>
  <c r="AN43" i="40"/>
  <c r="AL43" i="40"/>
  <c r="AK43" i="40"/>
  <c r="AB43" i="40"/>
  <c r="Y43" i="40"/>
  <c r="W43" i="40"/>
  <c r="V43" i="40"/>
  <c r="M43" i="40"/>
  <c r="J43" i="40"/>
  <c r="H43" i="40"/>
  <c r="G43" i="40"/>
  <c r="C43" i="40"/>
  <c r="A43" i="40"/>
  <c r="AQ42" i="40"/>
  <c r="AN42" i="40"/>
  <c r="AL42" i="40"/>
  <c r="AK42" i="40"/>
  <c r="AB42" i="40"/>
  <c r="Y42" i="40"/>
  <c r="W42" i="40"/>
  <c r="V42" i="40"/>
  <c r="M42" i="40"/>
  <c r="J42" i="40"/>
  <c r="H42" i="40"/>
  <c r="G42" i="40"/>
  <c r="C42" i="40"/>
  <c r="A42" i="40"/>
  <c r="AQ41" i="40"/>
  <c r="AN41" i="40"/>
  <c r="AL41" i="40"/>
  <c r="AK41" i="40"/>
  <c r="AB41" i="40"/>
  <c r="Y41" i="40"/>
  <c r="W41" i="40"/>
  <c r="V41" i="40"/>
  <c r="M41" i="40"/>
  <c r="J41" i="40"/>
  <c r="H41" i="40"/>
  <c r="G41" i="40"/>
  <c r="C41" i="40"/>
  <c r="A41" i="40"/>
  <c r="AQ40" i="40"/>
  <c r="AN40" i="40"/>
  <c r="AL40" i="40"/>
  <c r="AK40" i="40"/>
  <c r="AB40" i="40"/>
  <c r="Y40" i="40"/>
  <c r="W40" i="40"/>
  <c r="V40" i="40"/>
  <c r="M40" i="40"/>
  <c r="J40" i="40"/>
  <c r="H40" i="40"/>
  <c r="G40" i="40"/>
  <c r="C40" i="40"/>
  <c r="A40" i="40"/>
  <c r="AQ39" i="40"/>
  <c r="AN39" i="40"/>
  <c r="AL39" i="40"/>
  <c r="AK39" i="40"/>
  <c r="AB39" i="40"/>
  <c r="Y39" i="40"/>
  <c r="W39" i="40"/>
  <c r="V39" i="40"/>
  <c r="M39" i="40"/>
  <c r="J39" i="40"/>
  <c r="H39" i="40"/>
  <c r="G39" i="40"/>
  <c r="C39" i="40"/>
  <c r="A39" i="40"/>
  <c r="AQ38" i="40"/>
  <c r="AN38" i="40"/>
  <c r="AL38" i="40"/>
  <c r="AK38" i="40"/>
  <c r="AB38" i="40"/>
  <c r="Y38" i="40"/>
  <c r="W38" i="40"/>
  <c r="V38" i="40"/>
  <c r="M38" i="40"/>
  <c r="J38" i="40"/>
  <c r="H38" i="40"/>
  <c r="G38" i="40"/>
  <c r="C38" i="40"/>
  <c r="A38" i="40"/>
  <c r="AQ37" i="40"/>
  <c r="AN37" i="40"/>
  <c r="AL37" i="40"/>
  <c r="AK37" i="40"/>
  <c r="AB37" i="40"/>
  <c r="Y37" i="40"/>
  <c r="W37" i="40"/>
  <c r="V37" i="40"/>
  <c r="M37" i="40"/>
  <c r="J37" i="40"/>
  <c r="H37" i="40"/>
  <c r="G37" i="40"/>
  <c r="C37" i="40"/>
  <c r="A37" i="40"/>
  <c r="AQ36" i="40"/>
  <c r="AN36" i="40"/>
  <c r="AL36" i="40"/>
  <c r="AK36" i="40"/>
  <c r="AB36" i="40"/>
  <c r="Y36" i="40"/>
  <c r="W36" i="40"/>
  <c r="V36" i="40"/>
  <c r="M36" i="40"/>
  <c r="J36" i="40"/>
  <c r="H36" i="40"/>
  <c r="G36" i="40"/>
  <c r="C36" i="40"/>
  <c r="A36" i="40"/>
  <c r="AQ35" i="40"/>
  <c r="AN35" i="40"/>
  <c r="AL35" i="40"/>
  <c r="AK35" i="40"/>
  <c r="AB35" i="40"/>
  <c r="Y35" i="40"/>
  <c r="W35" i="40"/>
  <c r="V35" i="40"/>
  <c r="M35" i="40"/>
  <c r="J35" i="40"/>
  <c r="H35" i="40"/>
  <c r="G35" i="40"/>
  <c r="C35" i="40"/>
  <c r="A35" i="40"/>
  <c r="AQ34" i="40"/>
  <c r="AN34" i="40"/>
  <c r="AL34" i="40"/>
  <c r="AK34" i="40"/>
  <c r="AB34" i="40"/>
  <c r="Y34" i="40"/>
  <c r="W34" i="40"/>
  <c r="V34" i="40"/>
  <c r="M34" i="40"/>
  <c r="J34" i="40"/>
  <c r="H34" i="40"/>
  <c r="G34" i="40"/>
  <c r="C34" i="40"/>
  <c r="A34" i="40"/>
  <c r="AQ33" i="40"/>
  <c r="AN33" i="40"/>
  <c r="AL33" i="40"/>
  <c r="AK33" i="40"/>
  <c r="AB33" i="40"/>
  <c r="Y33" i="40"/>
  <c r="W33" i="40"/>
  <c r="V33" i="40"/>
  <c r="M33" i="40"/>
  <c r="J33" i="40"/>
  <c r="H33" i="40"/>
  <c r="G33" i="40"/>
  <c r="C33" i="40"/>
  <c r="A33" i="40"/>
  <c r="AQ32" i="40"/>
  <c r="AN32" i="40"/>
  <c r="AL32" i="40"/>
  <c r="AK32" i="40"/>
  <c r="AB32" i="40"/>
  <c r="Y32" i="40"/>
  <c r="W32" i="40"/>
  <c r="V32" i="40"/>
  <c r="M32" i="40"/>
  <c r="J32" i="40"/>
  <c r="H32" i="40"/>
  <c r="G32" i="40"/>
  <c r="C32" i="40"/>
  <c r="A32" i="40"/>
  <c r="AQ31" i="40"/>
  <c r="AN31" i="40"/>
  <c r="AL31" i="40"/>
  <c r="AK31" i="40"/>
  <c r="AB31" i="40"/>
  <c r="Y31" i="40"/>
  <c r="W31" i="40"/>
  <c r="V31" i="40"/>
  <c r="M31" i="40"/>
  <c r="J31" i="40"/>
  <c r="H31" i="40"/>
  <c r="G31" i="40"/>
  <c r="C31" i="40"/>
  <c r="A31" i="40"/>
  <c r="AL30" i="40"/>
  <c r="AK30" i="40"/>
  <c r="W30" i="40"/>
  <c r="V30" i="40"/>
  <c r="H30" i="40"/>
  <c r="G30" i="40"/>
  <c r="BA29" i="40"/>
  <c r="AZ29" i="40"/>
  <c r="AY29" i="40"/>
  <c r="AX29" i="40"/>
  <c r="AW29" i="40"/>
  <c r="BA28" i="40"/>
  <c r="AZ28" i="40"/>
  <c r="BA27" i="40"/>
  <c r="AZ27" i="40"/>
  <c r="BA26" i="40"/>
  <c r="AZ26" i="40"/>
  <c r="BA25" i="40"/>
  <c r="AZ25" i="40"/>
  <c r="BA24" i="40"/>
  <c r="AZ24" i="40"/>
  <c r="BA23" i="40"/>
  <c r="AZ23" i="40"/>
  <c r="AQ23" i="40"/>
  <c r="AP23" i="40"/>
  <c r="AB23" i="40"/>
  <c r="AA23" i="40"/>
  <c r="M23" i="40"/>
  <c r="L23" i="40"/>
  <c r="BA22" i="40"/>
  <c r="AZ22" i="40"/>
  <c r="AQ22" i="40"/>
  <c r="AP22" i="40"/>
  <c r="AJ22" i="40"/>
  <c r="AB22" i="40"/>
  <c r="AA22" i="40"/>
  <c r="U22" i="40"/>
  <c r="M22" i="40"/>
  <c r="L22" i="40"/>
  <c r="BA21" i="40"/>
  <c r="AZ21" i="40"/>
  <c r="AQ21" i="40"/>
  <c r="AP21" i="40"/>
  <c r="AJ21" i="40"/>
  <c r="AB21" i="40"/>
  <c r="AA21" i="40"/>
  <c r="U21" i="40"/>
  <c r="M21" i="40"/>
  <c r="L21" i="40"/>
  <c r="F21" i="40"/>
  <c r="BA20" i="40"/>
  <c r="AZ20" i="40"/>
  <c r="AQ20" i="40"/>
  <c r="AP20" i="40"/>
  <c r="AJ20" i="40"/>
  <c r="AB20" i="40"/>
  <c r="AA20" i="40"/>
  <c r="U20" i="40"/>
  <c r="M20" i="40"/>
  <c r="L20" i="40"/>
  <c r="BA19" i="40"/>
  <c r="AZ19" i="40"/>
  <c r="AQ19" i="40"/>
  <c r="AP19" i="40"/>
  <c r="AJ19" i="40"/>
  <c r="AB19" i="40"/>
  <c r="AA19" i="40"/>
  <c r="U19" i="40"/>
  <c r="M19" i="40"/>
  <c r="L19" i="40"/>
  <c r="F19" i="40"/>
  <c r="BA18" i="40"/>
  <c r="AZ18" i="40"/>
  <c r="AQ18" i="40"/>
  <c r="AP18" i="40"/>
  <c r="AJ18" i="40"/>
  <c r="AB18" i="40"/>
  <c r="AA18" i="40"/>
  <c r="U18" i="40"/>
  <c r="M18" i="40"/>
  <c r="L18" i="40"/>
  <c r="F18" i="40"/>
  <c r="BA17" i="40"/>
  <c r="AZ17" i="40"/>
  <c r="AQ17" i="40"/>
  <c r="AP17" i="40"/>
  <c r="AJ17" i="40"/>
  <c r="AB17" i="40"/>
  <c r="AA17" i="40"/>
  <c r="U17" i="40"/>
  <c r="M17" i="40"/>
  <c r="L17" i="40"/>
  <c r="F17" i="40"/>
  <c r="BA16" i="40"/>
  <c r="AZ16" i="40"/>
  <c r="AQ16" i="40"/>
  <c r="AP16" i="40"/>
  <c r="AJ16" i="40"/>
  <c r="AB16" i="40"/>
  <c r="AA16" i="40"/>
  <c r="U16" i="40"/>
  <c r="L16" i="40"/>
  <c r="F16" i="40"/>
  <c r="BA15" i="40"/>
  <c r="AZ15" i="40"/>
  <c r="AQ15" i="40"/>
  <c r="AP15" i="40"/>
  <c r="AJ15" i="40"/>
  <c r="AB15" i="40"/>
  <c r="AA15" i="40"/>
  <c r="U15" i="40"/>
  <c r="L15" i="40"/>
  <c r="F15" i="40"/>
  <c r="BA14" i="40"/>
  <c r="AZ14" i="40"/>
  <c r="AQ14" i="40"/>
  <c r="AP14" i="40"/>
  <c r="AJ14" i="40"/>
  <c r="AB14" i="40"/>
  <c r="AA14" i="40"/>
  <c r="U14" i="40"/>
  <c r="BA13" i="40"/>
  <c r="AZ13" i="40"/>
  <c r="BA12" i="40"/>
  <c r="AZ12" i="40"/>
  <c r="BA11" i="40"/>
  <c r="AZ11" i="40"/>
  <c r="BA10" i="40"/>
  <c r="AZ10" i="40"/>
  <c r="BA9" i="40"/>
  <c r="AZ9" i="40"/>
  <c r="AL5" i="40"/>
  <c r="W5" i="40"/>
  <c r="AL4" i="40"/>
  <c r="W4" i="40"/>
  <c r="H4" i="40"/>
  <c r="AL2" i="40"/>
  <c r="W2" i="40"/>
  <c r="H2" i="40"/>
  <c r="AN58" i="39"/>
  <c r="AL58" i="39"/>
  <c r="AK58" i="39"/>
  <c r="AB58" i="39"/>
  <c r="Y58" i="39"/>
  <c r="W58" i="39"/>
  <c r="M58" i="39"/>
  <c r="J58" i="39"/>
  <c r="H58" i="39"/>
  <c r="G58" i="39"/>
  <c r="AN57" i="39"/>
  <c r="AL57" i="39"/>
  <c r="AK57" i="39"/>
  <c r="AB57" i="39"/>
  <c r="Y57" i="39"/>
  <c r="W57" i="39"/>
  <c r="M57" i="39"/>
  <c r="J57" i="39"/>
  <c r="H57" i="39"/>
  <c r="G57" i="39"/>
  <c r="AN56" i="39"/>
  <c r="AL56" i="39"/>
  <c r="AK56" i="39"/>
  <c r="AB56" i="39"/>
  <c r="Y56" i="39"/>
  <c r="W56" i="39"/>
  <c r="M56" i="39"/>
  <c r="J56" i="39"/>
  <c r="H56" i="39"/>
  <c r="G56" i="39"/>
  <c r="AN55" i="39"/>
  <c r="AL55" i="39"/>
  <c r="AK55" i="39"/>
  <c r="AB55" i="39"/>
  <c r="Y55" i="39"/>
  <c r="W55" i="39"/>
  <c r="M55" i="39"/>
  <c r="J55" i="39"/>
  <c r="H55" i="39"/>
  <c r="G55" i="39"/>
  <c r="AN54" i="39"/>
  <c r="AL54" i="39"/>
  <c r="AK54" i="39"/>
  <c r="AB54" i="39"/>
  <c r="Y54" i="39"/>
  <c r="W54" i="39"/>
  <c r="M54" i="39"/>
  <c r="J54" i="39"/>
  <c r="H54" i="39"/>
  <c r="G54" i="39"/>
  <c r="AN53" i="39"/>
  <c r="AL53" i="39"/>
  <c r="AK53" i="39"/>
  <c r="AB53" i="39"/>
  <c r="Y53" i="39"/>
  <c r="W53" i="39"/>
  <c r="M53" i="39"/>
  <c r="J53" i="39"/>
  <c r="H53" i="39"/>
  <c r="G53" i="39"/>
  <c r="AN52" i="39"/>
  <c r="AL52" i="39"/>
  <c r="AK52" i="39"/>
  <c r="AB52" i="39"/>
  <c r="Y52" i="39"/>
  <c r="W52" i="39"/>
  <c r="M52" i="39"/>
  <c r="J52" i="39"/>
  <c r="H52" i="39"/>
  <c r="G52" i="39"/>
  <c r="AN51" i="39"/>
  <c r="AL51" i="39"/>
  <c r="AK51" i="39"/>
  <c r="AB51" i="39"/>
  <c r="Y51" i="39"/>
  <c r="W51" i="39"/>
  <c r="M51" i="39"/>
  <c r="J51" i="39"/>
  <c r="H51" i="39"/>
  <c r="G51" i="39"/>
  <c r="AN50" i="39"/>
  <c r="AL50" i="39"/>
  <c r="AK50" i="39"/>
  <c r="AB50" i="39"/>
  <c r="Y50" i="39"/>
  <c r="W50" i="39"/>
  <c r="M50" i="39"/>
  <c r="J50" i="39"/>
  <c r="H50" i="39"/>
  <c r="G50" i="39"/>
  <c r="AN49" i="39"/>
  <c r="AL49" i="39"/>
  <c r="AK49" i="39"/>
  <c r="AB49" i="39"/>
  <c r="Y49" i="39"/>
  <c r="W49" i="39"/>
  <c r="M49" i="39"/>
  <c r="J49" i="39"/>
  <c r="H49" i="39"/>
  <c r="G49" i="39"/>
  <c r="AN48" i="39"/>
  <c r="AL48" i="39"/>
  <c r="AK48" i="39"/>
  <c r="AB48" i="39"/>
  <c r="Y48" i="39"/>
  <c r="W48" i="39"/>
  <c r="M48" i="39"/>
  <c r="J48" i="39"/>
  <c r="H48" i="39"/>
  <c r="G48" i="39"/>
  <c r="AN47" i="39"/>
  <c r="AL47" i="39"/>
  <c r="AK47" i="39"/>
  <c r="AB47" i="39"/>
  <c r="Y47" i="39"/>
  <c r="W47" i="39"/>
  <c r="M47" i="39"/>
  <c r="J47" i="39"/>
  <c r="H47" i="39"/>
  <c r="G47" i="39"/>
  <c r="AN46" i="39"/>
  <c r="AL46" i="39"/>
  <c r="AK46" i="39"/>
  <c r="AB46" i="39"/>
  <c r="Y46" i="39"/>
  <c r="W46" i="39"/>
  <c r="M46" i="39"/>
  <c r="J46" i="39"/>
  <c r="H46" i="39"/>
  <c r="G46" i="39"/>
  <c r="AN45" i="39"/>
  <c r="AL45" i="39"/>
  <c r="AK45" i="39"/>
  <c r="AB45" i="39"/>
  <c r="Y45" i="39"/>
  <c r="W45" i="39"/>
  <c r="M45" i="39"/>
  <c r="J45" i="39"/>
  <c r="H45" i="39"/>
  <c r="G45" i="39"/>
  <c r="AN44" i="39"/>
  <c r="AL44" i="39"/>
  <c r="AK44" i="39"/>
  <c r="AB44" i="39"/>
  <c r="Y44" i="39"/>
  <c r="W44" i="39"/>
  <c r="M44" i="39"/>
  <c r="J44" i="39"/>
  <c r="H44" i="39"/>
  <c r="G44" i="39"/>
  <c r="C44" i="39"/>
  <c r="A44" i="39"/>
  <c r="AN43" i="39"/>
  <c r="AL43" i="39"/>
  <c r="AK43" i="39"/>
  <c r="AB43" i="39"/>
  <c r="Y43" i="39"/>
  <c r="W43" i="39"/>
  <c r="M43" i="39"/>
  <c r="J43" i="39"/>
  <c r="H43" i="39"/>
  <c r="G43" i="39"/>
  <c r="C43" i="39"/>
  <c r="A43" i="39"/>
  <c r="AN42" i="39"/>
  <c r="AL42" i="39"/>
  <c r="AK42" i="39"/>
  <c r="AB42" i="39"/>
  <c r="Y42" i="39"/>
  <c r="W42" i="39"/>
  <c r="M42" i="39"/>
  <c r="J42" i="39"/>
  <c r="H42" i="39"/>
  <c r="G42" i="39"/>
  <c r="C42" i="39"/>
  <c r="A42" i="39"/>
  <c r="AN41" i="39"/>
  <c r="AL41" i="39"/>
  <c r="AK41" i="39"/>
  <c r="AB41" i="39"/>
  <c r="Y41" i="39"/>
  <c r="W41" i="39"/>
  <c r="M41" i="39"/>
  <c r="J41" i="39"/>
  <c r="H41" i="39"/>
  <c r="G41" i="39"/>
  <c r="C41" i="39"/>
  <c r="A41" i="39"/>
  <c r="AN40" i="39"/>
  <c r="AL40" i="39"/>
  <c r="AK40" i="39"/>
  <c r="AB40" i="39"/>
  <c r="Y40" i="39"/>
  <c r="W40" i="39"/>
  <c r="M40" i="39"/>
  <c r="J40" i="39"/>
  <c r="H40" i="39"/>
  <c r="G40" i="39"/>
  <c r="C40" i="39"/>
  <c r="A40" i="39"/>
  <c r="AN39" i="39"/>
  <c r="AL39" i="39"/>
  <c r="AK39" i="39"/>
  <c r="AB39" i="39"/>
  <c r="Y39" i="39"/>
  <c r="W39" i="39"/>
  <c r="M39" i="39"/>
  <c r="J39" i="39"/>
  <c r="H39" i="39"/>
  <c r="G39" i="39"/>
  <c r="C39" i="39"/>
  <c r="A39" i="39"/>
  <c r="AN38" i="39"/>
  <c r="AL38" i="39"/>
  <c r="AK38" i="39"/>
  <c r="AB38" i="39"/>
  <c r="Y38" i="39"/>
  <c r="W38" i="39"/>
  <c r="M38" i="39"/>
  <c r="J38" i="39"/>
  <c r="H38" i="39"/>
  <c r="G38" i="39"/>
  <c r="C38" i="39"/>
  <c r="A38" i="39"/>
  <c r="AN37" i="39"/>
  <c r="AL37" i="39"/>
  <c r="AK37" i="39"/>
  <c r="AB37" i="39"/>
  <c r="Y37" i="39"/>
  <c r="W37" i="39"/>
  <c r="M37" i="39"/>
  <c r="J37" i="39"/>
  <c r="H37" i="39"/>
  <c r="G37" i="39"/>
  <c r="C37" i="39"/>
  <c r="A37" i="39"/>
  <c r="AN36" i="39"/>
  <c r="AL36" i="39"/>
  <c r="AK36" i="39"/>
  <c r="AB36" i="39"/>
  <c r="Y36" i="39"/>
  <c r="W36" i="39"/>
  <c r="M36" i="39"/>
  <c r="J36" i="39"/>
  <c r="H36" i="39"/>
  <c r="G36" i="39"/>
  <c r="C36" i="39"/>
  <c r="A36" i="39"/>
  <c r="AN35" i="39"/>
  <c r="AL35" i="39"/>
  <c r="AK35" i="39"/>
  <c r="AB35" i="39"/>
  <c r="Y35" i="39"/>
  <c r="W35" i="39"/>
  <c r="M35" i="39"/>
  <c r="J35" i="39"/>
  <c r="H35" i="39"/>
  <c r="G35" i="39"/>
  <c r="C35" i="39"/>
  <c r="A35" i="39"/>
  <c r="AN34" i="39"/>
  <c r="AL34" i="39"/>
  <c r="AK34" i="39"/>
  <c r="AB34" i="39"/>
  <c r="Y34" i="39"/>
  <c r="W34" i="39"/>
  <c r="M34" i="39"/>
  <c r="J34" i="39"/>
  <c r="H34" i="39"/>
  <c r="G34" i="39"/>
  <c r="C34" i="39"/>
  <c r="A34" i="39"/>
  <c r="AN33" i="39"/>
  <c r="AL33" i="39"/>
  <c r="AK33" i="39"/>
  <c r="AB33" i="39"/>
  <c r="Y33" i="39"/>
  <c r="W33" i="39"/>
  <c r="M33" i="39"/>
  <c r="J33" i="39"/>
  <c r="H33" i="39"/>
  <c r="G33" i="39"/>
  <c r="C33" i="39"/>
  <c r="A33" i="39"/>
  <c r="AN32" i="39"/>
  <c r="AL32" i="39"/>
  <c r="AK32" i="39"/>
  <c r="AB32" i="39"/>
  <c r="Y32" i="39"/>
  <c r="W32" i="39"/>
  <c r="M32" i="39"/>
  <c r="J32" i="39"/>
  <c r="H32" i="39"/>
  <c r="G32" i="39"/>
  <c r="C32" i="39"/>
  <c r="A32" i="39"/>
  <c r="AN31" i="39"/>
  <c r="AL31" i="39"/>
  <c r="AK31" i="39"/>
  <c r="AB31" i="39"/>
  <c r="Y31" i="39"/>
  <c r="W31" i="39"/>
  <c r="M31" i="39"/>
  <c r="J31" i="39"/>
  <c r="H31" i="39"/>
  <c r="G31" i="39"/>
  <c r="C31" i="39"/>
  <c r="A31" i="39"/>
  <c r="AL30" i="39"/>
  <c r="AK30" i="39"/>
  <c r="W30" i="39"/>
  <c r="H30" i="39"/>
  <c r="G30" i="39"/>
  <c r="BA29" i="39"/>
  <c r="AZ29" i="39"/>
  <c r="AY29" i="39"/>
  <c r="AX29" i="39"/>
  <c r="AW29" i="39"/>
  <c r="BA28" i="39"/>
  <c r="AZ28" i="39"/>
  <c r="BA27" i="39"/>
  <c r="AZ27" i="39"/>
  <c r="BA26" i="39"/>
  <c r="AZ26" i="39"/>
  <c r="BA25" i="39"/>
  <c r="AZ25" i="39"/>
  <c r="BA24" i="39"/>
  <c r="AZ24" i="39"/>
  <c r="BA23" i="39"/>
  <c r="AZ23" i="39"/>
  <c r="AQ23" i="39"/>
  <c r="AP23" i="39"/>
  <c r="AB23" i="39"/>
  <c r="AA23" i="39"/>
  <c r="M23" i="39"/>
  <c r="L23" i="39"/>
  <c r="BA22" i="39"/>
  <c r="AZ22" i="39"/>
  <c r="AQ22" i="39"/>
  <c r="AP22" i="39"/>
  <c r="AJ22" i="39"/>
  <c r="AB22" i="39"/>
  <c r="AA22" i="39"/>
  <c r="U22" i="39"/>
  <c r="BA21" i="39"/>
  <c r="AZ21" i="39"/>
  <c r="AQ21" i="39"/>
  <c r="AP21" i="39"/>
  <c r="AJ21" i="39"/>
  <c r="AB21" i="39"/>
  <c r="AA21" i="39"/>
  <c r="U21" i="39"/>
  <c r="M21" i="39"/>
  <c r="L21" i="39"/>
  <c r="F21" i="39"/>
  <c r="BA20" i="39"/>
  <c r="AZ20" i="39"/>
  <c r="AQ20" i="39"/>
  <c r="AP20" i="39"/>
  <c r="AJ20" i="39"/>
  <c r="AB20" i="39"/>
  <c r="AA20" i="39"/>
  <c r="U20" i="39"/>
  <c r="M20" i="39"/>
  <c r="L20" i="39"/>
  <c r="BA19" i="39"/>
  <c r="AZ19" i="39"/>
  <c r="AQ19" i="39"/>
  <c r="AP19" i="39"/>
  <c r="AJ19" i="39"/>
  <c r="AB19" i="39"/>
  <c r="AA19" i="39"/>
  <c r="U19" i="39"/>
  <c r="M19" i="39"/>
  <c r="L19" i="39"/>
  <c r="BA18" i="39"/>
  <c r="AZ18" i="39"/>
  <c r="AQ18" i="39"/>
  <c r="AP18" i="39"/>
  <c r="AJ18" i="39"/>
  <c r="AB18" i="39"/>
  <c r="AA18" i="39"/>
  <c r="U18" i="39"/>
  <c r="M18" i="39"/>
  <c r="L18" i="39"/>
  <c r="F18" i="39"/>
  <c r="BA17" i="39"/>
  <c r="AZ17" i="39"/>
  <c r="AQ17" i="39"/>
  <c r="AP17" i="39"/>
  <c r="AJ17" i="39"/>
  <c r="AB17" i="39"/>
  <c r="AA17" i="39"/>
  <c r="U17" i="39"/>
  <c r="M17" i="39"/>
  <c r="L17" i="39"/>
  <c r="F17" i="39"/>
  <c r="BA16" i="39"/>
  <c r="AZ16" i="39"/>
  <c r="AQ16" i="39"/>
  <c r="AP16" i="39"/>
  <c r="AJ16" i="39"/>
  <c r="AB16" i="39"/>
  <c r="AA16" i="39"/>
  <c r="U16" i="39"/>
  <c r="L16" i="39"/>
  <c r="F16" i="39"/>
  <c r="BA15" i="39"/>
  <c r="AZ15" i="39"/>
  <c r="AQ15" i="39"/>
  <c r="AP15" i="39"/>
  <c r="AJ15" i="39"/>
  <c r="AB15" i="39"/>
  <c r="AA15" i="39"/>
  <c r="U15" i="39"/>
  <c r="L15" i="39"/>
  <c r="F15" i="39"/>
  <c r="BA14" i="39"/>
  <c r="AZ14" i="39"/>
  <c r="AQ14" i="39"/>
  <c r="AP14" i="39"/>
  <c r="AJ14" i="39"/>
  <c r="AB14" i="39"/>
  <c r="AA14" i="39"/>
  <c r="BA13" i="39"/>
  <c r="AZ13" i="39"/>
  <c r="BA12" i="39"/>
  <c r="AZ12" i="39"/>
  <c r="BA11" i="39"/>
  <c r="AZ11" i="39"/>
  <c r="AI11" i="39"/>
  <c r="T11" i="39"/>
  <c r="E11" i="39"/>
  <c r="BA10" i="39"/>
  <c r="AZ10" i="39"/>
  <c r="AP10" i="39"/>
  <c r="AI10" i="39"/>
  <c r="AA10" i="39"/>
  <c r="T10" i="39"/>
  <c r="L10" i="39"/>
  <c r="E10" i="39"/>
  <c r="BA9" i="39"/>
  <c r="AZ9" i="39"/>
  <c r="AP9" i="39"/>
  <c r="AI9" i="39"/>
  <c r="AA9" i="39"/>
  <c r="T9" i="39"/>
  <c r="E9" i="39"/>
  <c r="AQ5" i="39"/>
  <c r="AL5" i="39"/>
  <c r="AB5" i="39"/>
  <c r="W5" i="39"/>
  <c r="AQ4" i="39"/>
  <c r="AL4" i="39"/>
  <c r="AB4" i="39"/>
  <c r="W4" i="39"/>
  <c r="H4" i="39"/>
  <c r="H3" i="39"/>
  <c r="AL2" i="39"/>
  <c r="W2" i="39"/>
  <c r="H2" i="39"/>
  <c r="T108" i="32"/>
  <c r="R108" i="32"/>
  <c r="P108" i="32"/>
  <c r="T107" i="32"/>
  <c r="R107" i="32"/>
  <c r="P107" i="32"/>
  <c r="T106" i="32"/>
  <c r="R106" i="32"/>
  <c r="P106" i="32"/>
  <c r="T105" i="32"/>
  <c r="R105" i="32"/>
  <c r="P105" i="32"/>
  <c r="T104" i="32"/>
  <c r="R104" i="32"/>
  <c r="P104" i="32"/>
  <c r="AD103" i="32"/>
  <c r="AC103" i="32"/>
  <c r="T103" i="32"/>
  <c r="R103" i="32"/>
  <c r="P103" i="32"/>
  <c r="AD102" i="32"/>
  <c r="AC102" i="32"/>
  <c r="T102" i="32"/>
  <c r="R102" i="32"/>
  <c r="P102" i="32"/>
  <c r="H97" i="32"/>
  <c r="E97" i="32"/>
  <c r="K96" i="32"/>
  <c r="K93" i="32"/>
  <c r="AC92" i="32"/>
  <c r="K92" i="32"/>
  <c r="AC91" i="32"/>
  <c r="K91" i="32"/>
  <c r="AC90" i="32"/>
  <c r="AC89" i="32"/>
  <c r="K89" i="32"/>
  <c r="BJ64" i="32"/>
  <c r="BJ63" i="32"/>
  <c r="BJ62" i="32"/>
  <c r="BJ60" i="32"/>
  <c r="BM58" i="32"/>
  <c r="BM57" i="32"/>
  <c r="BK57" i="32"/>
  <c r="BJ57" i="32"/>
  <c r="BK53" i="32"/>
  <c r="BJ53" i="32"/>
  <c r="BI53" i="32"/>
  <c r="BK52" i="32"/>
  <c r="BJ52" i="32"/>
  <c r="BI52" i="32"/>
  <c r="BK51" i="32"/>
  <c r="BJ51" i="32"/>
  <c r="BI51" i="32"/>
  <c r="BK43" i="32"/>
  <c r="BI43" i="32"/>
  <c r="H22" i="32"/>
  <c r="E22" i="32"/>
  <c r="K21" i="32"/>
  <c r="K18" i="32"/>
  <c r="AC17" i="32"/>
  <c r="K17" i="32"/>
  <c r="AC16" i="32"/>
  <c r="K16" i="32"/>
  <c r="AC15" i="32"/>
  <c r="K14" i="32"/>
  <c r="AE27" i="38"/>
  <c r="Z27" i="38"/>
  <c r="U27" i="38"/>
  <c r="AE26" i="38"/>
  <c r="Z26" i="38"/>
  <c r="U26" i="38"/>
  <c r="AE25" i="38"/>
  <c r="AA25" i="38"/>
  <c r="Y25" i="38"/>
  <c r="U23" i="38"/>
  <c r="E23" i="38"/>
  <c r="U22" i="38"/>
  <c r="E22" i="38"/>
  <c r="AF21" i="38"/>
  <c r="U21" i="38"/>
  <c r="AM20" i="38"/>
  <c r="U20" i="38"/>
  <c r="E20" i="38"/>
  <c r="U19" i="38"/>
  <c r="AF18" i="38"/>
  <c r="U18" i="38"/>
  <c r="U16" i="38"/>
  <c r="AF12" i="38"/>
  <c r="AD12" i="38"/>
  <c r="AA12" i="38"/>
  <c r="Y12" i="38"/>
  <c r="W12" i="38"/>
  <c r="P12" i="38"/>
  <c r="N12" i="38"/>
  <c r="L12" i="38"/>
  <c r="J12" i="38"/>
  <c r="H12" i="38"/>
  <c r="F12" i="38"/>
  <c r="M8" i="38"/>
  <c r="J8" i="38"/>
  <c r="AF49" i="36"/>
  <c r="BX38" i="36"/>
  <c r="BW38" i="36"/>
  <c r="BR38" i="36"/>
  <c r="BQ38" i="36"/>
  <c r="BP38" i="36"/>
  <c r="BN38" i="36"/>
  <c r="BY37" i="36"/>
  <c r="BX37" i="36"/>
  <c r="BW37" i="36"/>
  <c r="BV37" i="36"/>
  <c r="BU37" i="36"/>
  <c r="BT37" i="36"/>
  <c r="BR37" i="36"/>
  <c r="BQ37" i="36"/>
  <c r="BP37" i="36"/>
  <c r="BO37" i="36"/>
  <c r="BN37" i="36"/>
  <c r="BM37" i="36"/>
  <c r="BL37" i="36"/>
  <c r="BY36" i="36"/>
  <c r="BX36" i="36"/>
  <c r="BW36" i="36"/>
  <c r="BV36" i="36"/>
  <c r="BU36" i="36"/>
  <c r="BT36" i="36"/>
  <c r="BR36" i="36"/>
  <c r="BQ36" i="36"/>
  <c r="BP36" i="36"/>
  <c r="BO36" i="36"/>
  <c r="BN36" i="36"/>
  <c r="BM36" i="36"/>
  <c r="BL36" i="36"/>
  <c r="BK36" i="36"/>
  <c r="BX35" i="36"/>
  <c r="BS35" i="36"/>
  <c r="BQ33" i="36"/>
  <c r="BT32" i="36"/>
  <c r="BS32" i="36"/>
  <c r="BR32" i="36"/>
  <c r="BQ32" i="36"/>
  <c r="BP32" i="36"/>
  <c r="BO32" i="36"/>
  <c r="BN32" i="36"/>
  <c r="BM32" i="36"/>
  <c r="BL32" i="36"/>
  <c r="BK32" i="36"/>
  <c r="BT31" i="36"/>
  <c r="BS31" i="36"/>
  <c r="BR31" i="36"/>
  <c r="BQ31" i="36"/>
  <c r="BP31" i="36"/>
  <c r="BO31" i="36"/>
  <c r="BN31" i="36"/>
  <c r="BM31" i="36"/>
  <c r="BL31" i="36"/>
  <c r="BK31" i="36"/>
  <c r="BL28" i="36"/>
  <c r="AF26" i="36"/>
  <c r="B26" i="36"/>
  <c r="A26" i="36"/>
  <c r="BW25" i="36"/>
  <c r="BW23" i="36"/>
  <c r="BI23" i="36"/>
  <c r="BI22" i="36"/>
  <c r="BH22" i="36"/>
  <c r="BI21" i="36"/>
  <c r="BH21" i="36"/>
  <c r="BI20" i="36"/>
  <c r="BH20" i="36"/>
  <c r="BI19" i="36"/>
  <c r="BH19" i="36"/>
  <c r="BI18" i="36"/>
  <c r="BH18" i="36"/>
  <c r="BI17" i="36"/>
  <c r="BH17" i="36"/>
  <c r="BI16" i="36"/>
  <c r="BH16" i="36"/>
  <c r="BI15" i="36"/>
  <c r="BH15" i="36"/>
  <c r="BI14" i="36"/>
  <c r="BH14" i="36"/>
  <c r="BI13" i="36"/>
  <c r="BH13" i="36"/>
  <c r="BI12" i="36"/>
  <c r="BH12" i="36"/>
  <c r="BI11" i="36"/>
  <c r="BH11" i="36"/>
  <c r="BI10" i="36"/>
  <c r="BH10" i="36"/>
  <c r="BI9" i="36"/>
  <c r="BH9" i="36"/>
  <c r="AF49" i="35"/>
  <c r="BX38" i="35"/>
  <c r="BW38" i="35"/>
  <c r="BR38" i="35"/>
  <c r="BQ38" i="35"/>
  <c r="BP38" i="35"/>
  <c r="BN38" i="35"/>
  <c r="BY37" i="35"/>
  <c r="BX37" i="35"/>
  <c r="BW37" i="35"/>
  <c r="BV37" i="35"/>
  <c r="BU37" i="35"/>
  <c r="BT37" i="35"/>
  <c r="BR37" i="35"/>
  <c r="BQ37" i="35"/>
  <c r="BP37" i="35"/>
  <c r="BO37" i="35"/>
  <c r="BN37" i="35"/>
  <c r="BM37" i="35"/>
  <c r="BL37" i="35"/>
  <c r="BY36" i="35"/>
  <c r="BX36" i="35"/>
  <c r="BW36" i="35"/>
  <c r="BV36" i="35"/>
  <c r="BU36" i="35"/>
  <c r="BT36" i="35"/>
  <c r="BR36" i="35"/>
  <c r="BQ36" i="35"/>
  <c r="BP36" i="35"/>
  <c r="BO36" i="35"/>
  <c r="BN36" i="35"/>
  <c r="BM36" i="35"/>
  <c r="BL36" i="35"/>
  <c r="BK36" i="35"/>
  <c r="BX35" i="35"/>
  <c r="BS35" i="35"/>
  <c r="BQ33" i="35"/>
  <c r="BT32" i="35"/>
  <c r="BS32" i="35"/>
  <c r="BR32" i="35"/>
  <c r="BQ32" i="35"/>
  <c r="BP32" i="35"/>
  <c r="BO32" i="35"/>
  <c r="BN32" i="35"/>
  <c r="BM32" i="35"/>
  <c r="BL32" i="35"/>
  <c r="BK32" i="35"/>
  <c r="BT31" i="35"/>
  <c r="BS31" i="35"/>
  <c r="BR31" i="35"/>
  <c r="BQ31" i="35"/>
  <c r="BP31" i="35"/>
  <c r="BO31" i="35"/>
  <c r="BN31" i="35"/>
  <c r="BM31" i="35"/>
  <c r="BL31" i="35"/>
  <c r="BK31" i="35"/>
  <c r="BL28" i="35"/>
  <c r="AF26" i="35"/>
  <c r="B26" i="35"/>
  <c r="A26" i="35"/>
  <c r="BW25" i="35"/>
  <c r="BL25" i="35"/>
  <c r="BL24" i="35"/>
  <c r="BW23" i="35"/>
  <c r="BI23" i="35"/>
  <c r="BI22" i="35"/>
  <c r="BH22" i="35"/>
  <c r="BI21" i="35"/>
  <c r="BH21" i="35"/>
  <c r="BI20" i="35"/>
  <c r="BH20" i="35"/>
  <c r="BI19" i="35"/>
  <c r="BH19" i="35"/>
  <c r="BI18" i="35"/>
  <c r="BH18" i="35"/>
  <c r="BI17" i="35"/>
  <c r="BH17" i="35"/>
  <c r="BI16" i="35"/>
  <c r="BH16" i="35"/>
  <c r="BI15" i="35"/>
  <c r="BH15" i="35"/>
  <c r="BI14" i="35"/>
  <c r="BH14" i="35"/>
  <c r="BI13" i="35"/>
  <c r="BH13" i="35"/>
  <c r="BI12" i="35"/>
  <c r="BH12" i="35"/>
  <c r="BI11" i="35"/>
  <c r="BH11" i="35"/>
  <c r="BI10" i="35"/>
  <c r="BH10" i="35"/>
  <c r="BI9" i="35"/>
  <c r="BH9" i="35"/>
  <c r="AF49" i="34"/>
  <c r="BX38" i="34"/>
  <c r="BW38" i="34"/>
  <c r="BR38" i="34"/>
  <c r="BQ38" i="34"/>
  <c r="BP38" i="34"/>
  <c r="BN38" i="34"/>
  <c r="BY37" i="34"/>
  <c r="BX37" i="34"/>
  <c r="BW37" i="34"/>
  <c r="BV37" i="34"/>
  <c r="BU37" i="34"/>
  <c r="BT37" i="34"/>
  <c r="BR37" i="34"/>
  <c r="BQ37" i="34"/>
  <c r="BP37" i="34"/>
  <c r="BO37" i="34"/>
  <c r="BN37" i="34"/>
  <c r="BM37" i="34"/>
  <c r="BL37" i="34"/>
  <c r="BY36" i="34"/>
  <c r="BX36" i="34"/>
  <c r="BW36" i="34"/>
  <c r="BV36" i="34"/>
  <c r="BU36" i="34"/>
  <c r="BT36" i="34"/>
  <c r="BR36" i="34"/>
  <c r="BQ36" i="34"/>
  <c r="BP36" i="34"/>
  <c r="BO36" i="34"/>
  <c r="BN36" i="34"/>
  <c r="BM36" i="34"/>
  <c r="BL36" i="34"/>
  <c r="BK36" i="34"/>
  <c r="BX35" i="34"/>
  <c r="BS35" i="34"/>
  <c r="BQ33" i="34"/>
  <c r="BT32" i="34"/>
  <c r="BS32" i="34"/>
  <c r="BR32" i="34"/>
  <c r="BQ32" i="34"/>
  <c r="BP32" i="34"/>
  <c r="BO32" i="34"/>
  <c r="BN32" i="34"/>
  <c r="BM32" i="34"/>
  <c r="BL32" i="34"/>
  <c r="BK32" i="34"/>
  <c r="BT31" i="34"/>
  <c r="BS31" i="34"/>
  <c r="BR31" i="34"/>
  <c r="BQ31" i="34"/>
  <c r="BP31" i="34"/>
  <c r="BO31" i="34"/>
  <c r="BN31" i="34"/>
  <c r="BM31" i="34"/>
  <c r="BL31" i="34"/>
  <c r="BK31" i="34"/>
  <c r="BL28" i="34"/>
  <c r="AF26" i="34"/>
  <c r="B26" i="34"/>
  <c r="A26" i="34"/>
  <c r="BW25" i="34"/>
  <c r="BL25" i="34"/>
  <c r="BL24" i="34"/>
  <c r="BW23" i="34"/>
  <c r="BI23" i="34"/>
  <c r="BI22" i="34"/>
  <c r="BH22" i="34"/>
  <c r="BI21" i="34"/>
  <c r="BH21" i="34"/>
  <c r="BI20" i="34"/>
  <c r="BH20" i="34"/>
  <c r="BI19" i="34"/>
  <c r="BH19" i="34"/>
  <c r="BI18" i="34"/>
  <c r="BH18" i="34"/>
  <c r="BI17" i="34"/>
  <c r="BH17" i="34"/>
  <c r="BI16" i="34"/>
  <c r="BH16" i="34"/>
  <c r="BI15" i="34"/>
  <c r="BH15" i="34"/>
  <c r="BI14" i="34"/>
  <c r="BH14" i="34"/>
  <c r="BI13" i="34"/>
  <c r="BH13" i="34"/>
  <c r="BI12" i="34"/>
  <c r="BH12" i="34"/>
  <c r="BI11" i="34"/>
  <c r="BH11" i="34"/>
  <c r="BI10" i="34"/>
  <c r="BH10" i="34"/>
  <c r="BI9" i="34"/>
  <c r="BH9" i="34"/>
  <c r="BK58" i="37"/>
  <c r="BJ58" i="37"/>
  <c r="BI58" i="37"/>
  <c r="BH58" i="37"/>
  <c r="BA58" i="37"/>
  <c r="AL58" i="37"/>
  <c r="W58" i="37"/>
  <c r="BK57" i="37"/>
  <c r="BJ57" i="37"/>
  <c r="BI57" i="37"/>
  <c r="BH57" i="37"/>
  <c r="BA57" i="37"/>
  <c r="AL57" i="37"/>
  <c r="W57" i="37"/>
  <c r="BK56" i="37"/>
  <c r="BJ56" i="37"/>
  <c r="BI56" i="37"/>
  <c r="BH56" i="37"/>
  <c r="BA56" i="37"/>
  <c r="AL56" i="37"/>
  <c r="W56" i="37"/>
  <c r="BK55" i="37"/>
  <c r="BJ55" i="37"/>
  <c r="BI55" i="37"/>
  <c r="BH55" i="37"/>
  <c r="BA55" i="37"/>
  <c r="AL55" i="37"/>
  <c r="W55" i="37"/>
  <c r="BK54" i="37"/>
  <c r="BJ54" i="37"/>
  <c r="BI54" i="37"/>
  <c r="BH54" i="37"/>
  <c r="BA54" i="37"/>
  <c r="AL54" i="37"/>
  <c r="W54" i="37"/>
  <c r="BK53" i="37"/>
  <c r="BJ53" i="37"/>
  <c r="BI53" i="37"/>
  <c r="BH53" i="37"/>
  <c r="BA53" i="37"/>
  <c r="AL53" i="37"/>
  <c r="W53" i="37"/>
  <c r="BK52" i="37"/>
  <c r="BJ52" i="37"/>
  <c r="BI52" i="37"/>
  <c r="BH52" i="37"/>
  <c r="BA52" i="37"/>
  <c r="AL52" i="37"/>
  <c r="W52" i="37"/>
  <c r="BK51" i="37"/>
  <c r="BJ51" i="37"/>
  <c r="BI51" i="37"/>
  <c r="BH51" i="37"/>
  <c r="BA51" i="37"/>
  <c r="AL51" i="37"/>
  <c r="W51" i="37"/>
  <c r="BK50" i="37"/>
  <c r="BJ50" i="37"/>
  <c r="BI50" i="37"/>
  <c r="BH50" i="37"/>
  <c r="BA50" i="37"/>
  <c r="AL50" i="37"/>
  <c r="W50" i="37"/>
  <c r="BK49" i="37"/>
  <c r="BJ49" i="37"/>
  <c r="BI49" i="37"/>
  <c r="BH49" i="37"/>
  <c r="BA49" i="37"/>
  <c r="AL49" i="37"/>
  <c r="W49" i="37"/>
  <c r="BK48" i="37"/>
  <c r="BJ48" i="37"/>
  <c r="BI48" i="37"/>
  <c r="BH48" i="37"/>
  <c r="BA48" i="37"/>
  <c r="AL48" i="37"/>
  <c r="W48" i="37"/>
  <c r="BK47" i="37"/>
  <c r="BJ47" i="37"/>
  <c r="BI47" i="37"/>
  <c r="BH47" i="37"/>
  <c r="BA47" i="37"/>
  <c r="AL47" i="37"/>
  <c r="W47" i="37"/>
  <c r="BK46" i="37"/>
  <c r="BJ46" i="37"/>
  <c r="BI46" i="37"/>
  <c r="BH46" i="37"/>
  <c r="BA46" i="37"/>
  <c r="AL46" i="37"/>
  <c r="W46" i="37"/>
  <c r="BK45" i="37"/>
  <c r="BJ45" i="37"/>
  <c r="BI45" i="37"/>
  <c r="BH45" i="37"/>
  <c r="BA45" i="37"/>
  <c r="AL45" i="37"/>
  <c r="W45" i="37"/>
  <c r="BK44" i="37"/>
  <c r="BJ44" i="37"/>
  <c r="BI44" i="37"/>
  <c r="BH44" i="37"/>
  <c r="BA44" i="37"/>
  <c r="AL44" i="37"/>
  <c r="W44" i="37"/>
  <c r="BK43" i="37"/>
  <c r="BJ43" i="37"/>
  <c r="BI43" i="37"/>
  <c r="BH43" i="37"/>
  <c r="BA43" i="37"/>
  <c r="AL43" i="37"/>
  <c r="W43" i="37"/>
  <c r="BK42" i="37"/>
  <c r="BJ42" i="37"/>
  <c r="BI42" i="37"/>
  <c r="BH42" i="37"/>
  <c r="BA42" i="37"/>
  <c r="AL42" i="37"/>
  <c r="W42" i="37"/>
  <c r="BK41" i="37"/>
  <c r="BJ41" i="37"/>
  <c r="BI41" i="37"/>
  <c r="BH41" i="37"/>
  <c r="BA41" i="37"/>
  <c r="AL41" i="37"/>
  <c r="W41" i="37"/>
  <c r="BK40" i="37"/>
  <c r="BJ40" i="37"/>
  <c r="BI40" i="37"/>
  <c r="BH40" i="37"/>
  <c r="BA40" i="37"/>
  <c r="AL40" i="37"/>
  <c r="W40" i="37"/>
  <c r="BK39" i="37"/>
  <c r="BJ39" i="37"/>
  <c r="BI39" i="37"/>
  <c r="BH39" i="37"/>
  <c r="BA39" i="37"/>
  <c r="AL39" i="37"/>
  <c r="W39" i="37"/>
  <c r="BK38" i="37"/>
  <c r="BJ38" i="37"/>
  <c r="BI38" i="37"/>
  <c r="BH38" i="37"/>
  <c r="BA38" i="37"/>
  <c r="AL38" i="37"/>
  <c r="W38" i="37"/>
  <c r="BK37" i="37"/>
  <c r="BJ37" i="37"/>
  <c r="BI37" i="37"/>
  <c r="BH37" i="37"/>
  <c r="BA37" i="37"/>
  <c r="AL37" i="37"/>
  <c r="W37" i="37"/>
  <c r="BK36" i="37"/>
  <c r="BJ36" i="37"/>
  <c r="BI36" i="37"/>
  <c r="BH36" i="37"/>
  <c r="BA36" i="37"/>
  <c r="AL36" i="37"/>
  <c r="W36" i="37"/>
  <c r="BK35" i="37"/>
  <c r="BJ35" i="37"/>
  <c r="BI35" i="37"/>
  <c r="BH35" i="37"/>
  <c r="BA35" i="37"/>
  <c r="AL35" i="37"/>
  <c r="W35" i="37"/>
  <c r="B35" i="37"/>
  <c r="A35" i="37"/>
  <c r="BK34" i="37"/>
  <c r="BJ34" i="37"/>
  <c r="BI34" i="37"/>
  <c r="BH34" i="37"/>
  <c r="BA34" i="37"/>
  <c r="AL34" i="37"/>
  <c r="W34" i="37"/>
  <c r="BK33" i="37"/>
  <c r="BJ33" i="37"/>
  <c r="BI33" i="37"/>
  <c r="BH33" i="37"/>
  <c r="BA33" i="37"/>
  <c r="AL33" i="37"/>
  <c r="W33" i="37"/>
  <c r="BK32" i="37"/>
  <c r="BJ32" i="37"/>
  <c r="BI32" i="37"/>
  <c r="BH32" i="37"/>
  <c r="BA32" i="37"/>
  <c r="AL32" i="37"/>
  <c r="W32" i="37"/>
  <c r="BK31" i="37"/>
  <c r="BJ31" i="37"/>
  <c r="BI31" i="37"/>
  <c r="BH31" i="37"/>
  <c r="BA31" i="37"/>
  <c r="AL31" i="37"/>
  <c r="W31" i="37"/>
  <c r="BK30" i="37"/>
  <c r="BJ30" i="37"/>
  <c r="BI30" i="37"/>
  <c r="BH30" i="37"/>
  <c r="BA30" i="37"/>
  <c r="AL30" i="37"/>
  <c r="W30" i="37"/>
  <c r="AT22" i="37"/>
  <c r="AH22" i="37"/>
  <c r="V22" i="37"/>
  <c r="AT21" i="37"/>
  <c r="AH21" i="37"/>
  <c r="V21" i="37"/>
  <c r="AT20" i="37"/>
  <c r="AH20" i="37"/>
  <c r="V20" i="37"/>
  <c r="L17" i="37"/>
  <c r="L16" i="37"/>
  <c r="L15" i="37"/>
  <c r="L14" i="37"/>
  <c r="AV8" i="37"/>
  <c r="L8" i="37"/>
  <c r="AV7" i="37"/>
  <c r="L7" i="37"/>
  <c r="AV6" i="37"/>
  <c r="L6" i="37"/>
  <c r="BK58" i="33"/>
  <c r="BJ58" i="33"/>
  <c r="BI58" i="33"/>
  <c r="BH58" i="33"/>
  <c r="AZ58" i="33"/>
  <c r="AH58" i="33"/>
  <c r="P58" i="33"/>
  <c r="BK57" i="33"/>
  <c r="BJ57" i="33"/>
  <c r="BI57" i="33"/>
  <c r="BH57" i="33"/>
  <c r="AZ57" i="33"/>
  <c r="AH57" i="33"/>
  <c r="P57" i="33"/>
  <c r="BK56" i="33"/>
  <c r="BJ56" i="33"/>
  <c r="BI56" i="33"/>
  <c r="BH56" i="33"/>
  <c r="AZ56" i="33"/>
  <c r="AH56" i="33"/>
  <c r="P56" i="33"/>
  <c r="BK55" i="33"/>
  <c r="BJ55" i="33"/>
  <c r="BI55" i="33"/>
  <c r="BH55" i="33"/>
  <c r="AZ55" i="33"/>
  <c r="AH55" i="33"/>
  <c r="P55" i="33"/>
  <c r="BK54" i="33"/>
  <c r="BJ54" i="33"/>
  <c r="BI54" i="33"/>
  <c r="BH54" i="33"/>
  <c r="AZ54" i="33"/>
  <c r="AH54" i="33"/>
  <c r="P54" i="33"/>
  <c r="BK53" i="33"/>
  <c r="BJ53" i="33"/>
  <c r="BI53" i="33"/>
  <c r="BH53" i="33"/>
  <c r="AZ53" i="33"/>
  <c r="AH53" i="33"/>
  <c r="P53" i="33"/>
  <c r="BK52" i="33"/>
  <c r="BJ52" i="33"/>
  <c r="BI52" i="33"/>
  <c r="BH52" i="33"/>
  <c r="AZ52" i="33"/>
  <c r="AH52" i="33"/>
  <c r="P52" i="33"/>
  <c r="BK51" i="33"/>
  <c r="BJ51" i="33"/>
  <c r="BI51" i="33"/>
  <c r="BH51" i="33"/>
  <c r="AZ51" i="33"/>
  <c r="AH51" i="33"/>
  <c r="P51" i="33"/>
  <c r="BK50" i="33"/>
  <c r="BJ50" i="33"/>
  <c r="BI50" i="33"/>
  <c r="BH50" i="33"/>
  <c r="AZ50" i="33"/>
  <c r="AH50" i="33"/>
  <c r="P50" i="33"/>
  <c r="BK49" i="33"/>
  <c r="BJ49" i="33"/>
  <c r="BI49" i="33"/>
  <c r="BH49" i="33"/>
  <c r="AZ49" i="33"/>
  <c r="AH49" i="33"/>
  <c r="P49" i="33"/>
  <c r="BK48" i="33"/>
  <c r="BJ48" i="33"/>
  <c r="BI48" i="33"/>
  <c r="BH48" i="33"/>
  <c r="AZ48" i="33"/>
  <c r="AH48" i="33"/>
  <c r="P48" i="33"/>
  <c r="BK47" i="33"/>
  <c r="BJ47" i="33"/>
  <c r="BI47" i="33"/>
  <c r="BH47" i="33"/>
  <c r="AZ47" i="33"/>
  <c r="AH47" i="33"/>
  <c r="P47" i="33"/>
  <c r="BK46" i="33"/>
  <c r="BJ46" i="33"/>
  <c r="BI46" i="33"/>
  <c r="BH46" i="33"/>
  <c r="AZ46" i="33"/>
  <c r="AH46" i="33"/>
  <c r="P46" i="33"/>
  <c r="BK45" i="33"/>
  <c r="BJ45" i="33"/>
  <c r="BI45" i="33"/>
  <c r="BH45" i="33"/>
  <c r="AZ45" i="33"/>
  <c r="AH45" i="33"/>
  <c r="P45" i="33"/>
  <c r="B43" i="33"/>
  <c r="A36" i="33"/>
  <c r="AZ35" i="33"/>
  <c r="AT35" i="33"/>
  <c r="AN35" i="33"/>
  <c r="AH35" i="33"/>
  <c r="AB35" i="33"/>
  <c r="V35" i="33"/>
  <c r="AZ34" i="33"/>
  <c r="AT34" i="33"/>
  <c r="AN34" i="33"/>
  <c r="AH34" i="33"/>
  <c r="AB34" i="33"/>
  <c r="V34" i="33"/>
  <c r="AZ33" i="33"/>
  <c r="AT33" i="33"/>
  <c r="AN33" i="33"/>
  <c r="AH33" i="33"/>
  <c r="AB33" i="33"/>
  <c r="V33" i="33"/>
  <c r="AZ30" i="33"/>
  <c r="AT30" i="33"/>
  <c r="AN30" i="33"/>
  <c r="AH30" i="33"/>
  <c r="AB30" i="33"/>
  <c r="V30" i="33"/>
  <c r="AZ29" i="33"/>
  <c r="AT29" i="33"/>
  <c r="AN29" i="33"/>
  <c r="AH29" i="33"/>
  <c r="AB29" i="33"/>
  <c r="V29" i="33"/>
  <c r="AZ28" i="33"/>
  <c r="AT28" i="33"/>
  <c r="AN28" i="33"/>
  <c r="AH28" i="33"/>
  <c r="AB28" i="33"/>
  <c r="V28" i="33"/>
  <c r="BN27" i="33"/>
  <c r="BM27" i="33"/>
  <c r="BL27" i="33"/>
  <c r="BK27" i="33"/>
  <c r="BJ27" i="33"/>
  <c r="AZ27" i="33"/>
  <c r="AT27" i="33"/>
  <c r="AN27" i="33"/>
  <c r="AH27" i="33"/>
  <c r="AB27" i="33"/>
  <c r="V27" i="33"/>
  <c r="BN26" i="33"/>
  <c r="BM26" i="33"/>
  <c r="AZ26" i="33"/>
  <c r="AT26" i="33"/>
  <c r="AN26" i="33"/>
  <c r="AH26" i="33"/>
  <c r="AB26" i="33"/>
  <c r="V26" i="33"/>
  <c r="BN25" i="33"/>
  <c r="BM25" i="33"/>
  <c r="BN24" i="33"/>
  <c r="BM24" i="33"/>
  <c r="BN23" i="33"/>
  <c r="BM23" i="33"/>
  <c r="BN22" i="33"/>
  <c r="BM22" i="33"/>
  <c r="AT22" i="33"/>
  <c r="AH22" i="33"/>
  <c r="V22" i="33"/>
  <c r="BN21" i="33"/>
  <c r="BM21" i="33"/>
  <c r="BN20" i="33"/>
  <c r="BM20" i="33"/>
  <c r="AT20" i="33"/>
  <c r="AH20" i="33"/>
  <c r="BN19" i="33"/>
  <c r="BM19" i="33"/>
  <c r="BN18" i="33"/>
  <c r="BM18" i="33"/>
  <c r="BN17" i="33"/>
  <c r="BM17" i="33"/>
  <c r="BN16" i="33"/>
  <c r="BM16" i="33"/>
  <c r="BN15" i="33"/>
  <c r="BM15" i="33"/>
  <c r="BN14" i="33"/>
  <c r="BM14" i="33"/>
  <c r="BN13" i="33"/>
  <c r="BM13" i="33"/>
  <c r="BN12" i="33"/>
  <c r="BM12" i="33"/>
  <c r="BN11" i="33"/>
  <c r="BM11" i="33"/>
  <c r="BN10" i="33"/>
  <c r="BM10" i="33"/>
  <c r="BN9" i="33"/>
  <c r="BM9" i="33"/>
  <c r="BN8" i="33"/>
  <c r="BM8" i="33"/>
  <c r="BN7" i="33"/>
  <c r="BM7" i="33"/>
  <c r="AJ61" i="31"/>
  <c r="AI61" i="31"/>
  <c r="AJ60" i="31"/>
  <c r="AI60" i="31"/>
  <c r="Y60" i="31"/>
  <c r="AJ59" i="31"/>
  <c r="AI59" i="31"/>
  <c r="AH59" i="31"/>
  <c r="Y59" i="31"/>
  <c r="AJ58" i="31"/>
  <c r="AI58" i="31"/>
  <c r="AH58" i="31"/>
  <c r="AJ57" i="31"/>
  <c r="AI57" i="31"/>
  <c r="Z56" i="31"/>
  <c r="Y56" i="31"/>
  <c r="X56" i="31"/>
  <c r="Z55" i="31"/>
  <c r="Y55" i="31"/>
  <c r="X55" i="31"/>
  <c r="AJ54" i="31"/>
  <c r="AI54" i="31"/>
  <c r="AL53" i="31"/>
  <c r="AK53" i="31"/>
  <c r="AJ53" i="31"/>
  <c r="AI53" i="31"/>
  <c r="AL52" i="31"/>
  <c r="AK52" i="31"/>
  <c r="AJ52" i="31"/>
  <c r="AI52" i="31"/>
  <c r="AL51" i="31"/>
  <c r="AI51" i="31"/>
  <c r="H22" i="31"/>
  <c r="E22" i="31"/>
  <c r="K21" i="31"/>
  <c r="AC18" i="31"/>
  <c r="AC93" i="32" s="1"/>
  <c r="AC18" i="32" s="1"/>
  <c r="K18" i="31"/>
  <c r="AC17" i="31"/>
  <c r="K17" i="31"/>
  <c r="AC16" i="31"/>
  <c r="K16" i="31"/>
  <c r="AC15" i="31"/>
  <c r="K15" i="31"/>
  <c r="K90" i="32" s="1"/>
  <c r="K15" i="32" s="1"/>
  <c r="K14" i="31"/>
  <c r="J85" i="29"/>
  <c r="I85" i="29"/>
  <c r="P84" i="29"/>
  <c r="M84" i="29"/>
  <c r="L84" i="29"/>
  <c r="J84" i="29"/>
  <c r="J82" i="29"/>
  <c r="I82" i="29"/>
  <c r="P81" i="29"/>
  <c r="M81" i="29"/>
  <c r="L81" i="29"/>
  <c r="J81" i="29"/>
  <c r="AS60" i="29"/>
  <c r="AR60" i="29"/>
  <c r="AQ60" i="29"/>
  <c r="AN60" i="29"/>
  <c r="AM60" i="29"/>
  <c r="AL60" i="29"/>
  <c r="AI60" i="29"/>
  <c r="AH60" i="29"/>
  <c r="AG60" i="29"/>
  <c r="AS59" i="29"/>
  <c r="AR59" i="29"/>
  <c r="AQ59" i="29"/>
  <c r="AN59" i="29"/>
  <c r="AM59" i="29"/>
  <c r="AL59" i="29"/>
  <c r="AI59" i="29"/>
  <c r="AH59" i="29"/>
  <c r="AG59" i="29"/>
  <c r="AS58" i="29"/>
  <c r="AR58" i="29"/>
  <c r="AQ58" i="29"/>
  <c r="AN58" i="29"/>
  <c r="AM58" i="29"/>
  <c r="AL58" i="29"/>
  <c r="AI58" i="29"/>
  <c r="AH58" i="29"/>
  <c r="AG58" i="29"/>
  <c r="AS57" i="29"/>
  <c r="AR57" i="29"/>
  <c r="AQ57" i="29"/>
  <c r="AN57" i="29"/>
  <c r="AM57" i="29"/>
  <c r="AL57" i="29"/>
  <c r="AI57" i="29"/>
  <c r="AH57" i="29"/>
  <c r="AG57" i="29"/>
  <c r="AS56" i="29"/>
  <c r="AR56" i="29"/>
  <c r="AQ56" i="29"/>
  <c r="AN56" i="29"/>
  <c r="AM56" i="29"/>
  <c r="AL56" i="29"/>
  <c r="AI56" i="29"/>
  <c r="AH56" i="29"/>
  <c r="AG56" i="29"/>
  <c r="AS55" i="29"/>
  <c r="AR55" i="29"/>
  <c r="AQ55" i="29"/>
  <c r="AN55" i="29"/>
  <c r="AM55" i="29"/>
  <c r="AL55" i="29"/>
  <c r="AI55" i="29"/>
  <c r="AH55" i="29"/>
  <c r="AG55" i="29"/>
  <c r="AS54" i="29"/>
  <c r="AR54" i="29"/>
  <c r="AQ54" i="29"/>
  <c r="AN54" i="29"/>
  <c r="AM54" i="29"/>
  <c r="AL54" i="29"/>
  <c r="AI54" i="29"/>
  <c r="AH54" i="29"/>
  <c r="AG54" i="29"/>
  <c r="AS53" i="29"/>
  <c r="AR53" i="29"/>
  <c r="AQ53" i="29"/>
  <c r="AN53" i="29"/>
  <c r="AM53" i="29"/>
  <c r="AL53" i="29"/>
  <c r="AI53" i="29"/>
  <c r="AH53" i="29"/>
  <c r="AG53" i="29"/>
  <c r="AS52" i="29"/>
  <c r="AR52" i="29"/>
  <c r="AQ52" i="29"/>
  <c r="AN52" i="29"/>
  <c r="AM52" i="29"/>
  <c r="AL52" i="29"/>
  <c r="AI52" i="29"/>
  <c r="AH52" i="29"/>
  <c r="AG52" i="29"/>
  <c r="AS51" i="29"/>
  <c r="AR51" i="29"/>
  <c r="AQ51" i="29"/>
  <c r="AN51" i="29"/>
  <c r="AM51" i="29"/>
  <c r="AL51" i="29"/>
  <c r="AI51" i="29"/>
  <c r="AH51" i="29"/>
  <c r="AG51" i="29"/>
  <c r="Q51" i="29"/>
  <c r="AS50" i="29"/>
  <c r="AR50" i="29"/>
  <c r="AQ50" i="29"/>
  <c r="AN50" i="29"/>
  <c r="AM50" i="29"/>
  <c r="AL50" i="29"/>
  <c r="AI50" i="29"/>
  <c r="AH50" i="29"/>
  <c r="AG50" i="29"/>
  <c r="Q50" i="29"/>
  <c r="AS49" i="29"/>
  <c r="AR49" i="29"/>
  <c r="AQ49" i="29"/>
  <c r="AN49" i="29"/>
  <c r="AM49" i="29"/>
  <c r="AL49" i="29"/>
  <c r="AI49" i="29"/>
  <c r="AH49" i="29"/>
  <c r="AG49" i="29"/>
  <c r="Q49" i="29"/>
  <c r="AS48" i="29"/>
  <c r="AR48" i="29"/>
  <c r="AQ48" i="29"/>
  <c r="AN48" i="29"/>
  <c r="AM48" i="29"/>
  <c r="AL48" i="29"/>
  <c r="AI48" i="29"/>
  <c r="AH48" i="29"/>
  <c r="AG48" i="29"/>
  <c r="Q48" i="29"/>
  <c r="AS47" i="29"/>
  <c r="AR47" i="29"/>
  <c r="AQ47" i="29"/>
  <c r="AN47" i="29"/>
  <c r="AM47" i="29"/>
  <c r="AL47" i="29"/>
  <c r="AI47" i="29"/>
  <c r="AH47" i="29"/>
  <c r="AG47" i="29"/>
  <c r="AS46" i="29"/>
  <c r="AR46" i="29"/>
  <c r="AQ46" i="29"/>
  <c r="AN46" i="29"/>
  <c r="AM46" i="29"/>
  <c r="AL46" i="29"/>
  <c r="AI46" i="29"/>
  <c r="AH46" i="29"/>
  <c r="AG46" i="29"/>
  <c r="T46" i="29"/>
  <c r="S46" i="29"/>
  <c r="R46" i="29"/>
  <c r="AS45" i="29"/>
  <c r="AR45" i="29"/>
  <c r="AQ45" i="29"/>
  <c r="AN45" i="29"/>
  <c r="AM45" i="29"/>
  <c r="AL45" i="29"/>
  <c r="AI45" i="29"/>
  <c r="AH45" i="29"/>
  <c r="AG45" i="29"/>
  <c r="T45" i="29"/>
  <c r="S45" i="29"/>
  <c r="R45" i="29"/>
  <c r="AS44" i="29"/>
  <c r="AR44" i="29"/>
  <c r="AQ44" i="29"/>
  <c r="AN44" i="29"/>
  <c r="AM44" i="29"/>
  <c r="AL44" i="29"/>
  <c r="AI44" i="29"/>
  <c r="AH44" i="29"/>
  <c r="AG44" i="29"/>
  <c r="T44" i="29"/>
  <c r="S44" i="29"/>
  <c r="R44" i="29"/>
  <c r="AS43" i="29"/>
  <c r="AR43" i="29"/>
  <c r="AQ43" i="29"/>
  <c r="AN43" i="29"/>
  <c r="AM43" i="29"/>
  <c r="AL43" i="29"/>
  <c r="AI43" i="29"/>
  <c r="AH43" i="29"/>
  <c r="AG43" i="29"/>
  <c r="T43" i="29"/>
  <c r="S43" i="29"/>
  <c r="R43" i="29"/>
  <c r="AS42" i="29"/>
  <c r="AR42" i="29"/>
  <c r="AQ42" i="29"/>
  <c r="AN42" i="29"/>
  <c r="AM42" i="29"/>
  <c r="AL42" i="29"/>
  <c r="AI42" i="29"/>
  <c r="AH42" i="29"/>
  <c r="AG42" i="29"/>
  <c r="T42" i="29"/>
  <c r="S42" i="29"/>
  <c r="R42" i="29"/>
  <c r="AS41" i="29"/>
  <c r="AR41" i="29"/>
  <c r="AQ41" i="29"/>
  <c r="AN41" i="29"/>
  <c r="AM41" i="29"/>
  <c r="AL41" i="29"/>
  <c r="AI41" i="29"/>
  <c r="AH41" i="29"/>
  <c r="AG41" i="29"/>
  <c r="AD41" i="29"/>
  <c r="AB41" i="29"/>
  <c r="Z41" i="29"/>
  <c r="T41" i="29"/>
  <c r="S41" i="29"/>
  <c r="R41" i="29"/>
  <c r="AS40" i="29"/>
  <c r="AR40" i="29"/>
  <c r="AQ40" i="29"/>
  <c r="AN40" i="29"/>
  <c r="AM40" i="29"/>
  <c r="AL40" i="29"/>
  <c r="AI40" i="29"/>
  <c r="AH40" i="29"/>
  <c r="AG40" i="29"/>
  <c r="AD40" i="29"/>
  <c r="AB40" i="29"/>
  <c r="Z40" i="29"/>
  <c r="T40" i="29"/>
  <c r="S40" i="29"/>
  <c r="R40" i="29"/>
  <c r="AS39" i="29"/>
  <c r="AR39" i="29"/>
  <c r="AQ39" i="29"/>
  <c r="AN39" i="29"/>
  <c r="AM39" i="29"/>
  <c r="AL39" i="29"/>
  <c r="AI39" i="29"/>
  <c r="AH39" i="29"/>
  <c r="AG39" i="29"/>
  <c r="AD39" i="29"/>
  <c r="AB39" i="29"/>
  <c r="Z39" i="29"/>
  <c r="T39" i="29"/>
  <c r="S39" i="29"/>
  <c r="R39" i="29"/>
  <c r="AR38" i="29"/>
  <c r="AQ38" i="29"/>
  <c r="AM38" i="29"/>
  <c r="AL38" i="29"/>
  <c r="AH38" i="29"/>
  <c r="AG38" i="29"/>
  <c r="AD38" i="29"/>
  <c r="AB38" i="29"/>
  <c r="Z38" i="29"/>
  <c r="T38" i="29"/>
  <c r="S38" i="29"/>
  <c r="R38" i="29"/>
  <c r="AD37" i="29"/>
  <c r="AB37" i="29"/>
  <c r="Z37" i="29"/>
  <c r="T37" i="29"/>
  <c r="S37" i="29"/>
  <c r="R37" i="29"/>
  <c r="T36" i="29"/>
  <c r="S36" i="29"/>
  <c r="R36" i="29"/>
  <c r="T35" i="29"/>
  <c r="S35" i="29"/>
  <c r="R35" i="29"/>
  <c r="T34" i="29"/>
  <c r="S34" i="29"/>
  <c r="R34" i="29"/>
  <c r="AR33" i="29"/>
  <c r="AQ33" i="29"/>
  <c r="AN33" i="29"/>
  <c r="AM33" i="29"/>
  <c r="AL33" i="29"/>
  <c r="AI33" i="29"/>
  <c r="AH33" i="29"/>
  <c r="AG33" i="29"/>
  <c r="T33" i="29"/>
  <c r="S33" i="29"/>
  <c r="R33" i="29"/>
  <c r="AS32" i="29"/>
  <c r="AR32" i="29"/>
  <c r="AQ32" i="29"/>
  <c r="AN32" i="29"/>
  <c r="AM32" i="29"/>
  <c r="AL32" i="29"/>
  <c r="AI32" i="29"/>
  <c r="AH32" i="29"/>
  <c r="AG32" i="29"/>
  <c r="T32" i="29"/>
  <c r="S32" i="29"/>
  <c r="R32" i="29"/>
  <c r="AS31" i="29"/>
  <c r="AR31" i="29"/>
  <c r="AQ31" i="29"/>
  <c r="AN31" i="29"/>
  <c r="AM31" i="29"/>
  <c r="AL31" i="29"/>
  <c r="AI31" i="29"/>
  <c r="AH31" i="29"/>
  <c r="AG31" i="29"/>
  <c r="AD31" i="29"/>
  <c r="AB31" i="29"/>
  <c r="Z31" i="29"/>
  <c r="T31" i="29"/>
  <c r="S31" i="29"/>
  <c r="R31" i="29"/>
  <c r="AS30" i="29"/>
  <c r="AR30" i="29"/>
  <c r="AQ30" i="29"/>
  <c r="AN30" i="29"/>
  <c r="AM30" i="29"/>
  <c r="AL30" i="29"/>
  <c r="AI30" i="29"/>
  <c r="AH30" i="29"/>
  <c r="AG30" i="29"/>
  <c r="AD30" i="29"/>
  <c r="AB30" i="29"/>
  <c r="Z30" i="29"/>
  <c r="T30" i="29"/>
  <c r="S30" i="29"/>
  <c r="R30" i="29"/>
  <c r="AS29" i="29"/>
  <c r="AR29" i="29"/>
  <c r="AQ29" i="29"/>
  <c r="AN29" i="29"/>
  <c r="AM29" i="29"/>
  <c r="AL29" i="29"/>
  <c r="AI29" i="29"/>
  <c r="AH29" i="29"/>
  <c r="AG29" i="29"/>
  <c r="AD29" i="29"/>
  <c r="AB29" i="29"/>
  <c r="Z29" i="29"/>
  <c r="AS28" i="29"/>
  <c r="AR28" i="29"/>
  <c r="AQ28" i="29"/>
  <c r="AN28" i="29"/>
  <c r="AM28" i="29"/>
  <c r="AL28" i="29"/>
  <c r="AI28" i="29"/>
  <c r="AH28" i="29"/>
  <c r="AG28" i="29"/>
  <c r="AD28" i="29"/>
  <c r="AB28" i="29"/>
  <c r="Z28" i="29"/>
  <c r="T28" i="29"/>
  <c r="S28" i="29"/>
  <c r="R28" i="29"/>
  <c r="AS27" i="29"/>
  <c r="AR27" i="29"/>
  <c r="AQ27" i="29"/>
  <c r="AN27" i="29"/>
  <c r="AM27" i="29"/>
  <c r="AL27" i="29"/>
  <c r="AI27" i="29"/>
  <c r="AH27" i="29"/>
  <c r="AG27" i="29"/>
  <c r="AD27" i="29"/>
  <c r="AB27" i="29"/>
  <c r="Z27" i="29"/>
  <c r="T27" i="29"/>
  <c r="S27" i="29"/>
  <c r="R27" i="29"/>
  <c r="AS26" i="29"/>
  <c r="AR26" i="29"/>
  <c r="AQ26" i="29"/>
  <c r="AN26" i="29"/>
  <c r="AM26" i="29"/>
  <c r="AL26" i="29"/>
  <c r="AI26" i="29"/>
  <c r="AH26" i="29"/>
  <c r="AG26" i="29"/>
  <c r="AS25" i="29"/>
  <c r="AR25" i="29"/>
  <c r="AQ25" i="29"/>
  <c r="AN25" i="29"/>
  <c r="AM25" i="29"/>
  <c r="AL25" i="29"/>
  <c r="AI25" i="29"/>
  <c r="AH25" i="29"/>
  <c r="AG25" i="29"/>
  <c r="R25" i="29"/>
  <c r="AS24" i="29"/>
  <c r="AR24" i="29"/>
  <c r="AQ24" i="29"/>
  <c r="AN24" i="29"/>
  <c r="AM24" i="29"/>
  <c r="AL24" i="29"/>
  <c r="AI24" i="29"/>
  <c r="AH24" i="29"/>
  <c r="AG24" i="29"/>
  <c r="AS23" i="29"/>
  <c r="AR23" i="29"/>
  <c r="AQ23" i="29"/>
  <c r="AN23" i="29"/>
  <c r="AM23" i="29"/>
  <c r="AL23" i="29"/>
  <c r="AI23" i="29"/>
  <c r="AH23" i="29"/>
  <c r="AG23" i="29"/>
  <c r="AS22" i="29"/>
  <c r="AR22" i="29"/>
  <c r="AQ22" i="29"/>
  <c r="AN22" i="29"/>
  <c r="AM22" i="29"/>
  <c r="AL22" i="29"/>
  <c r="AI22" i="29"/>
  <c r="AH22" i="29"/>
  <c r="AG22" i="29"/>
  <c r="AS21" i="29"/>
  <c r="AR21" i="29"/>
  <c r="AQ21" i="29"/>
  <c r="AN21" i="29"/>
  <c r="AM21" i="29"/>
  <c r="AL21" i="29"/>
  <c r="AI21" i="29"/>
  <c r="AH21" i="29"/>
  <c r="AG21" i="29"/>
  <c r="AS20" i="29"/>
  <c r="AR20" i="29"/>
  <c r="AQ20" i="29"/>
  <c r="AN20" i="29"/>
  <c r="AM20" i="29"/>
  <c r="AL20" i="29"/>
  <c r="AI20" i="29"/>
  <c r="AH20" i="29"/>
  <c r="AG20" i="29"/>
  <c r="AS19" i="29"/>
  <c r="AR19" i="29"/>
  <c r="AQ19" i="29"/>
  <c r="AN19" i="29"/>
  <c r="AM19" i="29"/>
  <c r="AL19" i="29"/>
  <c r="AI19" i="29"/>
  <c r="AH19" i="29"/>
  <c r="AG19" i="29"/>
  <c r="AS18" i="29"/>
  <c r="AR18" i="29"/>
  <c r="AQ18" i="29"/>
  <c r="AN18" i="29"/>
  <c r="AM18" i="29"/>
  <c r="AL18" i="29"/>
  <c r="AI18" i="29"/>
  <c r="AH18" i="29"/>
  <c r="AG18" i="29"/>
  <c r="H18" i="29"/>
  <c r="AS17" i="29"/>
  <c r="AR17" i="29"/>
  <c r="AQ17" i="29"/>
  <c r="AN17" i="29"/>
  <c r="AM17" i="29"/>
  <c r="AL17" i="29"/>
  <c r="AI17" i="29"/>
  <c r="AH17" i="29"/>
  <c r="AG17" i="29"/>
  <c r="AS16" i="29"/>
  <c r="AR16" i="29"/>
  <c r="AQ16" i="29"/>
  <c r="AN16" i="29"/>
  <c r="AM16" i="29"/>
  <c r="AL16" i="29"/>
  <c r="AI16" i="29"/>
  <c r="AH16" i="29"/>
  <c r="AG16" i="29"/>
  <c r="P16" i="29"/>
  <c r="H16" i="29"/>
  <c r="AS15" i="29"/>
  <c r="AR15" i="29"/>
  <c r="AQ15" i="29"/>
  <c r="AN15" i="29"/>
  <c r="AM15" i="29"/>
  <c r="AL15" i="29"/>
  <c r="AI15" i="29"/>
  <c r="AH15" i="29"/>
  <c r="AG15" i="29"/>
  <c r="P15" i="29"/>
  <c r="H15" i="29"/>
  <c r="AS14" i="29"/>
  <c r="AR14" i="29"/>
  <c r="AQ14" i="29"/>
  <c r="AN14" i="29"/>
  <c r="AM14" i="29"/>
  <c r="AL14" i="29"/>
  <c r="AI14" i="29"/>
  <c r="AH14" i="29"/>
  <c r="AG14" i="29"/>
  <c r="P14" i="29"/>
  <c r="H14" i="29"/>
  <c r="AS13" i="29"/>
  <c r="AR13" i="29"/>
  <c r="AQ13" i="29"/>
  <c r="AN13" i="29"/>
  <c r="AM13" i="29"/>
  <c r="AL13" i="29"/>
  <c r="AI13" i="29"/>
  <c r="AH13" i="29"/>
  <c r="AG13" i="29"/>
  <c r="H13" i="29"/>
  <c r="AV12" i="29"/>
  <c r="AU12" i="29"/>
  <c r="AS12" i="29"/>
  <c r="AR12" i="29"/>
  <c r="AQ12" i="29"/>
  <c r="AN12" i="29"/>
  <c r="AM12" i="29"/>
  <c r="AL12" i="29"/>
  <c r="AI12" i="29"/>
  <c r="AH12" i="29"/>
  <c r="AG12" i="29"/>
  <c r="H12" i="29"/>
  <c r="AV11" i="29"/>
  <c r="AU11" i="29"/>
  <c r="AR11" i="29"/>
  <c r="AQ11" i="29"/>
  <c r="AM11" i="29"/>
  <c r="AL11" i="29"/>
  <c r="AH11" i="29"/>
  <c r="AG11" i="29"/>
  <c r="P190" i="28"/>
  <c r="O190" i="28"/>
  <c r="M190" i="28"/>
  <c r="L190" i="28"/>
  <c r="K190" i="28"/>
  <c r="J190" i="28"/>
  <c r="H190" i="28"/>
  <c r="E190" i="28"/>
  <c r="C190" i="28"/>
  <c r="B190" i="28"/>
  <c r="P189" i="28"/>
  <c r="O189" i="28"/>
  <c r="M189" i="28"/>
  <c r="L189" i="28"/>
  <c r="K189" i="28"/>
  <c r="J189" i="28"/>
  <c r="H189" i="28"/>
  <c r="E189" i="28"/>
  <c r="C189" i="28"/>
  <c r="B189" i="28"/>
  <c r="P188" i="28"/>
  <c r="O188" i="28"/>
  <c r="M188" i="28"/>
  <c r="L188" i="28"/>
  <c r="K188" i="28"/>
  <c r="J188" i="28"/>
  <c r="H188" i="28"/>
  <c r="E188" i="28"/>
  <c r="C188" i="28"/>
  <c r="B188" i="28"/>
  <c r="P187" i="28"/>
  <c r="O187" i="28"/>
  <c r="M187" i="28"/>
  <c r="L187" i="28"/>
  <c r="K187" i="28"/>
  <c r="J187" i="28"/>
  <c r="H187" i="28"/>
  <c r="E187" i="28"/>
  <c r="C187" i="28"/>
  <c r="B187" i="28"/>
  <c r="P186" i="28"/>
  <c r="O186" i="28"/>
  <c r="M186" i="28"/>
  <c r="L186" i="28"/>
  <c r="K186" i="28"/>
  <c r="J186" i="28"/>
  <c r="H186" i="28"/>
  <c r="E186" i="28"/>
  <c r="C186" i="28"/>
  <c r="B186" i="28"/>
  <c r="P185" i="28"/>
  <c r="O185" i="28"/>
  <c r="M185" i="28"/>
  <c r="L185" i="28"/>
  <c r="K185" i="28"/>
  <c r="J185" i="28"/>
  <c r="H185" i="28"/>
  <c r="E185" i="28"/>
  <c r="C185" i="28"/>
  <c r="B185" i="28"/>
  <c r="P184" i="28"/>
  <c r="O184" i="28"/>
  <c r="M184" i="28"/>
  <c r="L184" i="28"/>
  <c r="K184" i="28"/>
  <c r="J184" i="28"/>
  <c r="H184" i="28"/>
  <c r="E184" i="28"/>
  <c r="C184" i="28"/>
  <c r="B184" i="28"/>
  <c r="P183" i="28"/>
  <c r="O183" i="28"/>
  <c r="M183" i="28"/>
  <c r="L183" i="28"/>
  <c r="K183" i="28"/>
  <c r="J183" i="28"/>
  <c r="H183" i="28"/>
  <c r="E183" i="28"/>
  <c r="C183" i="28"/>
  <c r="B183" i="28"/>
  <c r="P182" i="28"/>
  <c r="O182" i="28"/>
  <c r="M182" i="28"/>
  <c r="L182" i="28"/>
  <c r="K182" i="28"/>
  <c r="J182" i="28"/>
  <c r="H182" i="28"/>
  <c r="E182" i="28"/>
  <c r="C182" i="28"/>
  <c r="B182" i="28"/>
  <c r="P181" i="28"/>
  <c r="O181" i="28"/>
  <c r="M181" i="28"/>
  <c r="L181" i="28"/>
  <c r="K181" i="28"/>
  <c r="J181" i="28"/>
  <c r="H181" i="28"/>
  <c r="E181" i="28"/>
  <c r="C181" i="28"/>
  <c r="B181" i="28"/>
  <c r="P180" i="28"/>
  <c r="O180" i="28"/>
  <c r="M180" i="28"/>
  <c r="L180" i="28"/>
  <c r="K180" i="28"/>
  <c r="J180" i="28"/>
  <c r="H180" i="28"/>
  <c r="E180" i="28"/>
  <c r="C180" i="28"/>
  <c r="B180" i="28"/>
  <c r="P179" i="28"/>
  <c r="O179" i="28"/>
  <c r="M179" i="28"/>
  <c r="L179" i="28"/>
  <c r="K179" i="28"/>
  <c r="J179" i="28"/>
  <c r="H179" i="28"/>
  <c r="E179" i="28"/>
  <c r="C179" i="28"/>
  <c r="B179" i="28"/>
  <c r="P178" i="28"/>
  <c r="O178" i="28"/>
  <c r="M178" i="28"/>
  <c r="L178" i="28"/>
  <c r="K178" i="28"/>
  <c r="J178" i="28"/>
  <c r="H178" i="28"/>
  <c r="E178" i="28"/>
  <c r="C178" i="28"/>
  <c r="B178" i="28"/>
  <c r="P177" i="28"/>
  <c r="O177" i="28"/>
  <c r="M177" i="28"/>
  <c r="L177" i="28"/>
  <c r="K177" i="28"/>
  <c r="J177" i="28"/>
  <c r="H177" i="28"/>
  <c r="E177" i="28"/>
  <c r="C177" i="28"/>
  <c r="B177" i="28"/>
  <c r="P176" i="28"/>
  <c r="O176" i="28"/>
  <c r="M176" i="28"/>
  <c r="L176" i="28"/>
  <c r="K176" i="28"/>
  <c r="J176" i="28"/>
  <c r="H176" i="28"/>
  <c r="E176" i="28"/>
  <c r="C176" i="28"/>
  <c r="B176" i="28"/>
  <c r="P175" i="28"/>
  <c r="O175" i="28"/>
  <c r="M175" i="28"/>
  <c r="L175" i="28"/>
  <c r="K175" i="28"/>
  <c r="J175" i="28"/>
  <c r="H175" i="28"/>
  <c r="E175" i="28"/>
  <c r="C175" i="28"/>
  <c r="B175" i="28"/>
  <c r="P174" i="28"/>
  <c r="O174" i="28"/>
  <c r="M174" i="28"/>
  <c r="L174" i="28"/>
  <c r="K174" i="28"/>
  <c r="J174" i="28"/>
  <c r="H174" i="28"/>
  <c r="E174" i="28"/>
  <c r="C174" i="28"/>
  <c r="B174" i="28"/>
  <c r="P173" i="28"/>
  <c r="O173" i="28"/>
  <c r="M173" i="28"/>
  <c r="L173" i="28"/>
  <c r="K173" i="28"/>
  <c r="J173" i="28"/>
  <c r="H173" i="28"/>
  <c r="E173" i="28"/>
  <c r="C173" i="28"/>
  <c r="B173" i="28"/>
  <c r="P172" i="28"/>
  <c r="O172" i="28"/>
  <c r="M172" i="28"/>
  <c r="L172" i="28"/>
  <c r="K172" i="28"/>
  <c r="J172" i="28"/>
  <c r="H172" i="28"/>
  <c r="E172" i="28"/>
  <c r="C172" i="28"/>
  <c r="B172" i="28"/>
  <c r="P171" i="28"/>
  <c r="O171" i="28"/>
  <c r="M171" i="28"/>
  <c r="L171" i="28"/>
  <c r="K171" i="28"/>
  <c r="J171" i="28"/>
  <c r="H171" i="28"/>
  <c r="E171" i="28"/>
  <c r="C171" i="28"/>
  <c r="B171" i="28"/>
  <c r="P170" i="28"/>
  <c r="O170" i="28"/>
  <c r="M170" i="28"/>
  <c r="L170" i="28"/>
  <c r="K170" i="28"/>
  <c r="J170" i="28"/>
  <c r="H170" i="28"/>
  <c r="E170" i="28"/>
  <c r="C170" i="28"/>
  <c r="B170" i="28"/>
  <c r="U169" i="28"/>
  <c r="P169" i="28"/>
  <c r="O169" i="28"/>
  <c r="M169" i="28"/>
  <c r="L169" i="28"/>
  <c r="K169" i="28"/>
  <c r="J169" i="28"/>
  <c r="H169" i="28"/>
  <c r="E169" i="28"/>
  <c r="C169" i="28"/>
  <c r="B169" i="28"/>
  <c r="AA168" i="28"/>
  <c r="Z168" i="28"/>
  <c r="Y168" i="28"/>
  <c r="X168" i="28"/>
  <c r="W168" i="28"/>
  <c r="U168" i="28"/>
  <c r="P168" i="28"/>
  <c r="O168" i="28"/>
  <c r="M168" i="28"/>
  <c r="L168" i="28"/>
  <c r="K168" i="28"/>
  <c r="J168" i="28"/>
  <c r="H168" i="28"/>
  <c r="E168" i="28"/>
  <c r="C168" i="28"/>
  <c r="B168" i="28"/>
  <c r="AA167" i="28"/>
  <c r="Z167" i="28"/>
  <c r="Y167" i="28"/>
  <c r="X167" i="28"/>
  <c r="W167" i="28"/>
  <c r="U167" i="28"/>
  <c r="P167" i="28"/>
  <c r="O167" i="28"/>
  <c r="M167" i="28"/>
  <c r="L167" i="28"/>
  <c r="K167" i="28"/>
  <c r="J167" i="28"/>
  <c r="H167" i="28"/>
  <c r="E167" i="28"/>
  <c r="C167" i="28"/>
  <c r="B167" i="28"/>
  <c r="AA166" i="28"/>
  <c r="Z166" i="28"/>
  <c r="Y166" i="28"/>
  <c r="X166" i="28"/>
  <c r="W166" i="28"/>
  <c r="U166" i="28"/>
  <c r="P166" i="28"/>
  <c r="O166" i="28"/>
  <c r="M166" i="28"/>
  <c r="L166" i="28"/>
  <c r="K166" i="28"/>
  <c r="J166" i="28"/>
  <c r="H166" i="28"/>
  <c r="E166" i="28"/>
  <c r="C166" i="28"/>
  <c r="B166" i="28"/>
  <c r="AA165" i="28"/>
  <c r="Z165" i="28"/>
  <c r="Y165" i="28"/>
  <c r="X165" i="28"/>
  <c r="W165" i="28"/>
  <c r="U165" i="28"/>
  <c r="P165" i="28"/>
  <c r="O165" i="28"/>
  <c r="M165" i="28"/>
  <c r="L165" i="28"/>
  <c r="K165" i="28"/>
  <c r="J165" i="28"/>
  <c r="H165" i="28"/>
  <c r="E165" i="28"/>
  <c r="C165" i="28"/>
  <c r="B165" i="28"/>
  <c r="U164" i="28"/>
  <c r="P164" i="28"/>
  <c r="O164" i="28"/>
  <c r="M164" i="28"/>
  <c r="L164" i="28"/>
  <c r="K164" i="28"/>
  <c r="J164" i="28"/>
  <c r="H164" i="28"/>
  <c r="E164" i="28"/>
  <c r="C164" i="28"/>
  <c r="B164" i="28"/>
  <c r="AA163" i="28"/>
  <c r="Z163" i="28"/>
  <c r="Y163" i="28"/>
  <c r="X163" i="28"/>
  <c r="W163" i="28"/>
  <c r="U163" i="28"/>
  <c r="P163" i="28"/>
  <c r="O163" i="28"/>
  <c r="M163" i="28"/>
  <c r="L163" i="28"/>
  <c r="K163" i="28"/>
  <c r="J163" i="28"/>
  <c r="H163" i="28"/>
  <c r="E163" i="28"/>
  <c r="C163" i="28"/>
  <c r="B163" i="28"/>
  <c r="P162" i="28"/>
  <c r="O162" i="28"/>
  <c r="M162" i="28"/>
  <c r="L162" i="28"/>
  <c r="K162" i="28"/>
  <c r="J162" i="28"/>
  <c r="H162" i="28"/>
  <c r="E162" i="28"/>
  <c r="C162" i="28"/>
  <c r="B162" i="28"/>
  <c r="P161" i="28"/>
  <c r="O161" i="28"/>
  <c r="M161" i="28"/>
  <c r="L161" i="28"/>
  <c r="K161" i="28"/>
  <c r="J161" i="28"/>
  <c r="H161" i="28"/>
  <c r="E161" i="28"/>
  <c r="C161" i="28"/>
  <c r="B161" i="28"/>
  <c r="P160" i="28"/>
  <c r="O160" i="28"/>
  <c r="M160" i="28"/>
  <c r="L160" i="28"/>
  <c r="K160" i="28"/>
  <c r="J160" i="28"/>
  <c r="H160" i="28"/>
  <c r="E160" i="28"/>
  <c r="C160" i="28"/>
  <c r="B160" i="28"/>
  <c r="P159" i="28"/>
  <c r="O159" i="28"/>
  <c r="M159" i="28"/>
  <c r="L159" i="28"/>
  <c r="E159" i="28"/>
  <c r="C159" i="28"/>
  <c r="B159" i="28"/>
  <c r="E152" i="28"/>
  <c r="C152" i="28"/>
  <c r="O151" i="28"/>
  <c r="G151" i="28"/>
  <c r="G150" i="28"/>
  <c r="O149" i="28"/>
  <c r="G149" i="28"/>
  <c r="O148" i="28"/>
  <c r="G148" i="28"/>
  <c r="O147" i="28"/>
  <c r="G147" i="28"/>
  <c r="O145" i="28"/>
  <c r="E145" i="28"/>
  <c r="T144" i="28"/>
  <c r="E144" i="28"/>
  <c r="T143" i="28"/>
  <c r="O143" i="28"/>
  <c r="E143" i="28"/>
  <c r="T142" i="28"/>
  <c r="P139" i="28"/>
  <c r="K139" i="28"/>
  <c r="P138" i="28"/>
  <c r="K138" i="28"/>
  <c r="K137" i="28"/>
  <c r="K136" i="28"/>
  <c r="P117" i="28"/>
  <c r="O117" i="28"/>
  <c r="M117" i="28"/>
  <c r="L117" i="28"/>
  <c r="K117" i="28"/>
  <c r="J117" i="28"/>
  <c r="H117" i="28"/>
  <c r="E117" i="28"/>
  <c r="C117" i="28"/>
  <c r="B117" i="28"/>
  <c r="P116" i="28"/>
  <c r="O116" i="28"/>
  <c r="M116" i="28"/>
  <c r="L116" i="28"/>
  <c r="K116" i="28"/>
  <c r="J116" i="28"/>
  <c r="H116" i="28"/>
  <c r="E116" i="28"/>
  <c r="C116" i="28"/>
  <c r="B116" i="28"/>
  <c r="P115" i="28"/>
  <c r="O115" i="28"/>
  <c r="M115" i="28"/>
  <c r="L115" i="28"/>
  <c r="K115" i="28"/>
  <c r="J115" i="28"/>
  <c r="H115" i="28"/>
  <c r="E115" i="28"/>
  <c r="C115" i="28"/>
  <c r="B115" i="28"/>
  <c r="P114" i="28"/>
  <c r="O114" i="28"/>
  <c r="M114" i="28"/>
  <c r="L114" i="28"/>
  <c r="K114" i="28"/>
  <c r="J114" i="28"/>
  <c r="H114" i="28"/>
  <c r="E114" i="28"/>
  <c r="C114" i="28"/>
  <c r="B114" i="28"/>
  <c r="P113" i="28"/>
  <c r="O113" i="28"/>
  <c r="M113" i="28"/>
  <c r="L113" i="28"/>
  <c r="K113" i="28"/>
  <c r="J113" i="28"/>
  <c r="H113" i="28"/>
  <c r="E113" i="28"/>
  <c r="C113" i="28"/>
  <c r="B113" i="28"/>
  <c r="P112" i="28"/>
  <c r="O112" i="28"/>
  <c r="M112" i="28"/>
  <c r="L112" i="28"/>
  <c r="K112" i="28"/>
  <c r="J112" i="28"/>
  <c r="H112" i="28"/>
  <c r="E112" i="28"/>
  <c r="C112" i="28"/>
  <c r="B112" i="28"/>
  <c r="P111" i="28"/>
  <c r="O111" i="28"/>
  <c r="M111" i="28"/>
  <c r="L111" i="28"/>
  <c r="K111" i="28"/>
  <c r="J111" i="28"/>
  <c r="H111" i="28"/>
  <c r="E111" i="28"/>
  <c r="C111" i="28"/>
  <c r="B111" i="28"/>
  <c r="P110" i="28"/>
  <c r="O110" i="28"/>
  <c r="M110" i="28"/>
  <c r="L110" i="28"/>
  <c r="K110" i="28"/>
  <c r="J110" i="28"/>
  <c r="H110" i="28"/>
  <c r="E110" i="28"/>
  <c r="C110" i="28"/>
  <c r="B110" i="28"/>
  <c r="P109" i="28"/>
  <c r="O109" i="28"/>
  <c r="M109" i="28"/>
  <c r="L109" i="28"/>
  <c r="K109" i="28"/>
  <c r="J109" i="28"/>
  <c r="H109" i="28"/>
  <c r="E109" i="28"/>
  <c r="C109" i="28"/>
  <c r="B109" i="28"/>
  <c r="P108" i="28"/>
  <c r="O108" i="28"/>
  <c r="M108" i="28"/>
  <c r="L108" i="28"/>
  <c r="K108" i="28"/>
  <c r="J108" i="28"/>
  <c r="H108" i="28"/>
  <c r="E108" i="28"/>
  <c r="C108" i="28"/>
  <c r="B108" i="28"/>
  <c r="P107" i="28"/>
  <c r="O107" i="28"/>
  <c r="M107" i="28"/>
  <c r="L107" i="28"/>
  <c r="K107" i="28"/>
  <c r="J107" i="28"/>
  <c r="H107" i="28"/>
  <c r="E107" i="28"/>
  <c r="C107" i="28"/>
  <c r="B107" i="28"/>
  <c r="P106" i="28"/>
  <c r="O106" i="28"/>
  <c r="M106" i="28"/>
  <c r="L106" i="28"/>
  <c r="K106" i="28"/>
  <c r="J106" i="28"/>
  <c r="H106" i="28"/>
  <c r="E106" i="28"/>
  <c r="C106" i="28"/>
  <c r="B106" i="28"/>
  <c r="P105" i="28"/>
  <c r="O105" i="28"/>
  <c r="M105" i="28"/>
  <c r="L105" i="28"/>
  <c r="K105" i="28"/>
  <c r="J105" i="28"/>
  <c r="H105" i="28"/>
  <c r="E105" i="28"/>
  <c r="C105" i="28"/>
  <c r="B105" i="28"/>
  <c r="P104" i="28"/>
  <c r="O104" i="28"/>
  <c r="M104" i="28"/>
  <c r="L104" i="28"/>
  <c r="K104" i="28"/>
  <c r="J104" i="28"/>
  <c r="H104" i="28"/>
  <c r="E104" i="28"/>
  <c r="C104" i="28"/>
  <c r="B104" i="28"/>
  <c r="P103" i="28"/>
  <c r="O103" i="28"/>
  <c r="M103" i="28"/>
  <c r="L103" i="28"/>
  <c r="K103" i="28"/>
  <c r="J103" i="28"/>
  <c r="H103" i="28"/>
  <c r="E103" i="28"/>
  <c r="C103" i="28"/>
  <c r="B103" i="28"/>
  <c r="U102" i="28"/>
  <c r="P102" i="28"/>
  <c r="O102" i="28"/>
  <c r="M102" i="28"/>
  <c r="L102" i="28"/>
  <c r="K102" i="28"/>
  <c r="J102" i="28"/>
  <c r="H102" i="28"/>
  <c r="E102" i="28"/>
  <c r="C102" i="28"/>
  <c r="B102" i="28"/>
  <c r="AA101" i="28"/>
  <c r="Z101" i="28"/>
  <c r="Y101" i="28"/>
  <c r="X101" i="28"/>
  <c r="W101" i="28"/>
  <c r="U101" i="28"/>
  <c r="P101" i="28"/>
  <c r="O101" i="28"/>
  <c r="M101" i="28"/>
  <c r="L101" i="28"/>
  <c r="K101" i="28"/>
  <c r="J101" i="28"/>
  <c r="H101" i="28"/>
  <c r="E101" i="28"/>
  <c r="C101" i="28"/>
  <c r="B101" i="28"/>
  <c r="AA100" i="28"/>
  <c r="Z100" i="28"/>
  <c r="Y100" i="28"/>
  <c r="X100" i="28"/>
  <c r="W100" i="28"/>
  <c r="U100" i="28"/>
  <c r="P100" i="28"/>
  <c r="O100" i="28"/>
  <c r="M100" i="28"/>
  <c r="L100" i="28"/>
  <c r="K100" i="28"/>
  <c r="J100" i="28"/>
  <c r="H100" i="28"/>
  <c r="E100" i="28"/>
  <c r="C100" i="28"/>
  <c r="B100" i="28"/>
  <c r="AA99" i="28"/>
  <c r="Z99" i="28"/>
  <c r="Y99" i="28"/>
  <c r="X99" i="28"/>
  <c r="W99" i="28"/>
  <c r="U99" i="28"/>
  <c r="P99" i="28"/>
  <c r="O99" i="28"/>
  <c r="M99" i="28"/>
  <c r="L99" i="28"/>
  <c r="K99" i="28"/>
  <c r="J99" i="28"/>
  <c r="H99" i="28"/>
  <c r="E99" i="28"/>
  <c r="C99" i="28"/>
  <c r="B99" i="28"/>
  <c r="AA98" i="28"/>
  <c r="Z98" i="28"/>
  <c r="Y98" i="28"/>
  <c r="X98" i="28"/>
  <c r="W98" i="28"/>
  <c r="U98" i="28"/>
  <c r="P98" i="28"/>
  <c r="O98" i="28"/>
  <c r="M98" i="28"/>
  <c r="L98" i="28"/>
  <c r="K98" i="28"/>
  <c r="J98" i="28"/>
  <c r="H98" i="28"/>
  <c r="E98" i="28"/>
  <c r="C98" i="28"/>
  <c r="B98" i="28"/>
  <c r="U97" i="28"/>
  <c r="P97" i="28"/>
  <c r="O97" i="28"/>
  <c r="M97" i="28"/>
  <c r="L97" i="28"/>
  <c r="K97" i="28"/>
  <c r="J97" i="28"/>
  <c r="H97" i="28"/>
  <c r="E97" i="28"/>
  <c r="C97" i="28"/>
  <c r="B97" i="28"/>
  <c r="AA96" i="28"/>
  <c r="Z96" i="28"/>
  <c r="Y96" i="28"/>
  <c r="X96" i="28"/>
  <c r="W96" i="28"/>
  <c r="U96" i="28"/>
  <c r="P96" i="28"/>
  <c r="O96" i="28"/>
  <c r="M96" i="28"/>
  <c r="L96" i="28"/>
  <c r="K96" i="28"/>
  <c r="J96" i="28"/>
  <c r="H96" i="28"/>
  <c r="E96" i="28"/>
  <c r="C96" i="28"/>
  <c r="B96" i="28"/>
  <c r="P95" i="28"/>
  <c r="O95" i="28"/>
  <c r="M95" i="28"/>
  <c r="L95" i="28"/>
  <c r="K95" i="28"/>
  <c r="J95" i="28"/>
  <c r="H95" i="28"/>
  <c r="E95" i="28"/>
  <c r="C95" i="28"/>
  <c r="B95" i="28"/>
  <c r="P94" i="28"/>
  <c r="O94" i="28"/>
  <c r="M94" i="28"/>
  <c r="L94" i="28"/>
  <c r="K94" i="28"/>
  <c r="J94" i="28"/>
  <c r="H94" i="28"/>
  <c r="E94" i="28"/>
  <c r="C94" i="28"/>
  <c r="B94" i="28"/>
  <c r="P93" i="28"/>
  <c r="O93" i="28"/>
  <c r="M93" i="28"/>
  <c r="L93" i="28"/>
  <c r="K93" i="28"/>
  <c r="J93" i="28"/>
  <c r="H93" i="28"/>
  <c r="E93" i="28"/>
  <c r="C93" i="28"/>
  <c r="B93" i="28"/>
  <c r="P92" i="28"/>
  <c r="O92" i="28"/>
  <c r="M92" i="28"/>
  <c r="L92" i="28"/>
  <c r="E92" i="28"/>
  <c r="C92" i="28"/>
  <c r="B92" i="28"/>
  <c r="E85" i="28"/>
  <c r="C85" i="28"/>
  <c r="O84" i="28"/>
  <c r="G84" i="28"/>
  <c r="G83" i="28"/>
  <c r="O82" i="28"/>
  <c r="G82" i="28"/>
  <c r="O81" i="28"/>
  <c r="G81" i="28"/>
  <c r="O80" i="28"/>
  <c r="G80" i="28"/>
  <c r="O78" i="28"/>
  <c r="E78" i="28"/>
  <c r="T77" i="28"/>
  <c r="E77" i="28"/>
  <c r="T76" i="28"/>
  <c r="O76" i="28"/>
  <c r="E76" i="28"/>
  <c r="T75" i="28"/>
  <c r="P72" i="28"/>
  <c r="K72" i="28"/>
  <c r="P71" i="28"/>
  <c r="K71" i="28"/>
  <c r="K70" i="28"/>
  <c r="K69" i="28"/>
  <c r="P51" i="28"/>
  <c r="O51" i="28"/>
  <c r="M51" i="28"/>
  <c r="L51" i="28"/>
  <c r="K51" i="28"/>
  <c r="J51" i="28"/>
  <c r="H51" i="28"/>
  <c r="E51" i="28"/>
  <c r="C51" i="28"/>
  <c r="B51" i="28"/>
  <c r="P50" i="28"/>
  <c r="O50" i="28"/>
  <c r="M50" i="28"/>
  <c r="L50" i="28"/>
  <c r="K50" i="28"/>
  <c r="J50" i="28"/>
  <c r="H50" i="28"/>
  <c r="E50" i="28"/>
  <c r="C50" i="28"/>
  <c r="B50" i="28"/>
  <c r="P49" i="28"/>
  <c r="O49" i="28"/>
  <c r="M49" i="28"/>
  <c r="L49" i="28"/>
  <c r="K49" i="28"/>
  <c r="J49" i="28"/>
  <c r="H49" i="28"/>
  <c r="E49" i="28"/>
  <c r="C49" i="28"/>
  <c r="B49" i="28"/>
  <c r="P48" i="28"/>
  <c r="O48" i="28"/>
  <c r="M48" i="28"/>
  <c r="L48" i="28"/>
  <c r="K48" i="28"/>
  <c r="J48" i="28"/>
  <c r="H48" i="28"/>
  <c r="E48" i="28"/>
  <c r="C48" i="28"/>
  <c r="B48" i="28"/>
  <c r="P47" i="28"/>
  <c r="O47" i="28"/>
  <c r="M47" i="28"/>
  <c r="L47" i="28"/>
  <c r="K47" i="28"/>
  <c r="J47" i="28"/>
  <c r="H47" i="28"/>
  <c r="E47" i="28"/>
  <c r="C47" i="28"/>
  <c r="B47" i="28"/>
  <c r="P46" i="28"/>
  <c r="O46" i="28"/>
  <c r="M46" i="28"/>
  <c r="L46" i="28"/>
  <c r="K46" i="28"/>
  <c r="J46" i="28"/>
  <c r="H46" i="28"/>
  <c r="E46" i="28"/>
  <c r="C46" i="28"/>
  <c r="B46" i="28"/>
  <c r="P45" i="28"/>
  <c r="O45" i="28"/>
  <c r="M45" i="28"/>
  <c r="L45" i="28"/>
  <c r="K45" i="28"/>
  <c r="J45" i="28"/>
  <c r="H45" i="28"/>
  <c r="E45" i="28"/>
  <c r="C45" i="28"/>
  <c r="B45" i="28"/>
  <c r="P44" i="28"/>
  <c r="O44" i="28"/>
  <c r="M44" i="28"/>
  <c r="L44" i="28"/>
  <c r="K44" i="28"/>
  <c r="J44" i="28"/>
  <c r="H44" i="28"/>
  <c r="E44" i="28"/>
  <c r="C44" i="28"/>
  <c r="B44" i="28"/>
  <c r="P43" i="28"/>
  <c r="O43" i="28"/>
  <c r="M43" i="28"/>
  <c r="L43" i="28"/>
  <c r="K43" i="28"/>
  <c r="J43" i="28"/>
  <c r="H43" i="28"/>
  <c r="E43" i="28"/>
  <c r="C43" i="28"/>
  <c r="B43" i="28"/>
  <c r="P42" i="28"/>
  <c r="O42" i="28"/>
  <c r="M42" i="28"/>
  <c r="L42" i="28"/>
  <c r="K42" i="28"/>
  <c r="J42" i="28"/>
  <c r="H42" i="28"/>
  <c r="E42" i="28"/>
  <c r="C42" i="28"/>
  <c r="B42" i="28"/>
  <c r="P41" i="28"/>
  <c r="O41" i="28"/>
  <c r="M41" i="28"/>
  <c r="L41" i="28"/>
  <c r="K41" i="28"/>
  <c r="J41" i="28"/>
  <c r="H41" i="28"/>
  <c r="E41" i="28"/>
  <c r="C41" i="28"/>
  <c r="B41" i="28"/>
  <c r="P40" i="28"/>
  <c r="O40" i="28"/>
  <c r="M40" i="28"/>
  <c r="L40" i="28"/>
  <c r="K40" i="28"/>
  <c r="J40" i="28"/>
  <c r="H40" i="28"/>
  <c r="E40" i="28"/>
  <c r="C40" i="28"/>
  <c r="B40" i="28"/>
  <c r="P39" i="28"/>
  <c r="O39" i="28"/>
  <c r="M39" i="28"/>
  <c r="L39" i="28"/>
  <c r="K39" i="28"/>
  <c r="J39" i="28"/>
  <c r="H39" i="28"/>
  <c r="E39" i="28"/>
  <c r="C39" i="28"/>
  <c r="B39" i="28"/>
  <c r="P38" i="28"/>
  <c r="O38" i="28"/>
  <c r="M38" i="28"/>
  <c r="L38" i="28"/>
  <c r="K38" i="28"/>
  <c r="J38" i="28"/>
  <c r="H38" i="28"/>
  <c r="E38" i="28"/>
  <c r="C38" i="28"/>
  <c r="B38" i="28"/>
  <c r="P37" i="28"/>
  <c r="O37" i="28"/>
  <c r="M37" i="28"/>
  <c r="L37" i="28"/>
  <c r="K37" i="28"/>
  <c r="J37" i="28"/>
  <c r="H37" i="28"/>
  <c r="E37" i="28"/>
  <c r="C37" i="28"/>
  <c r="B37" i="28"/>
  <c r="P36" i="28"/>
  <c r="O36" i="28"/>
  <c r="M36" i="28"/>
  <c r="L36" i="28"/>
  <c r="K36" i="28"/>
  <c r="J36" i="28"/>
  <c r="H36" i="28"/>
  <c r="E36" i="28"/>
  <c r="C36" i="28"/>
  <c r="B36" i="28"/>
  <c r="U35" i="28"/>
  <c r="P35" i="28"/>
  <c r="O35" i="28"/>
  <c r="M35" i="28"/>
  <c r="L35" i="28"/>
  <c r="K35" i="28"/>
  <c r="J35" i="28"/>
  <c r="H35" i="28"/>
  <c r="E35" i="28"/>
  <c r="C35" i="28"/>
  <c r="B35" i="28"/>
  <c r="AA34" i="28"/>
  <c r="Z34" i="28"/>
  <c r="Y34" i="28"/>
  <c r="X34" i="28"/>
  <c r="W34" i="28"/>
  <c r="U34" i="28"/>
  <c r="P34" i="28"/>
  <c r="O34" i="28"/>
  <c r="M34" i="28"/>
  <c r="L34" i="28"/>
  <c r="K34" i="28"/>
  <c r="J34" i="28"/>
  <c r="H34" i="28"/>
  <c r="E34" i="28"/>
  <c r="C34" i="28"/>
  <c r="B34" i="28"/>
  <c r="AA33" i="28"/>
  <c r="Z33" i="28"/>
  <c r="Y33" i="28"/>
  <c r="X33" i="28"/>
  <c r="W33" i="28"/>
  <c r="U33" i="28"/>
  <c r="P33" i="28"/>
  <c r="O33" i="28"/>
  <c r="M33" i="28"/>
  <c r="L33" i="28"/>
  <c r="K33" i="28"/>
  <c r="J33" i="28"/>
  <c r="H33" i="28"/>
  <c r="E33" i="28"/>
  <c r="C33" i="28"/>
  <c r="B33" i="28"/>
  <c r="AA32" i="28"/>
  <c r="Z32" i="28"/>
  <c r="Y32" i="28"/>
  <c r="X32" i="28"/>
  <c r="W32" i="28"/>
  <c r="U32" i="28"/>
  <c r="P32" i="28"/>
  <c r="O32" i="28"/>
  <c r="M32" i="28"/>
  <c r="L32" i="28"/>
  <c r="K32" i="28"/>
  <c r="J32" i="28"/>
  <c r="H32" i="28"/>
  <c r="E32" i="28"/>
  <c r="C32" i="28"/>
  <c r="B32" i="28"/>
  <c r="AA31" i="28"/>
  <c r="Z31" i="28"/>
  <c r="Y31" i="28"/>
  <c r="X31" i="28"/>
  <c r="W31" i="28"/>
  <c r="U31" i="28"/>
  <c r="P31" i="28"/>
  <c r="O31" i="28"/>
  <c r="M31" i="28"/>
  <c r="L31" i="28"/>
  <c r="K31" i="28"/>
  <c r="J31" i="28"/>
  <c r="H31" i="28"/>
  <c r="E31" i="28"/>
  <c r="C31" i="28"/>
  <c r="B31" i="28"/>
  <c r="U30" i="28"/>
  <c r="P30" i="28"/>
  <c r="O30" i="28"/>
  <c r="M30" i="28"/>
  <c r="L30" i="28"/>
  <c r="K30" i="28"/>
  <c r="J30" i="28"/>
  <c r="H30" i="28"/>
  <c r="E30" i="28"/>
  <c r="C30" i="28"/>
  <c r="B30" i="28"/>
  <c r="AA29" i="28"/>
  <c r="Z29" i="28"/>
  <c r="Y29" i="28"/>
  <c r="X29" i="28"/>
  <c r="W29" i="28"/>
  <c r="U29" i="28"/>
  <c r="P29" i="28"/>
  <c r="O29" i="28"/>
  <c r="M29" i="28"/>
  <c r="L29" i="28"/>
  <c r="K29" i="28"/>
  <c r="J29" i="28"/>
  <c r="H29" i="28"/>
  <c r="E29" i="28"/>
  <c r="C29" i="28"/>
  <c r="B29" i="28"/>
  <c r="P28" i="28"/>
  <c r="O28" i="28"/>
  <c r="M28" i="28"/>
  <c r="L28" i="28"/>
  <c r="K28" i="28"/>
  <c r="J28" i="28"/>
  <c r="H28" i="28"/>
  <c r="E28" i="28"/>
  <c r="C28" i="28"/>
  <c r="B28" i="28"/>
  <c r="P27" i="28"/>
  <c r="O27" i="28"/>
  <c r="M27" i="28"/>
  <c r="L27" i="28"/>
  <c r="K27" i="28"/>
  <c r="J27" i="28"/>
  <c r="H27" i="28"/>
  <c r="E27" i="28"/>
  <c r="C27" i="28"/>
  <c r="B27" i="28"/>
  <c r="P26" i="28"/>
  <c r="O26" i="28"/>
  <c r="M26" i="28"/>
  <c r="L26" i="28"/>
  <c r="K26" i="28"/>
  <c r="J26" i="28"/>
  <c r="H26" i="28"/>
  <c r="E26" i="28"/>
  <c r="C26" i="28"/>
  <c r="B26" i="28"/>
  <c r="P25" i="28"/>
  <c r="O25" i="28"/>
  <c r="M25" i="28"/>
  <c r="L25" i="28"/>
  <c r="E25" i="28"/>
  <c r="E18" i="28"/>
  <c r="C18" i="28"/>
  <c r="G17" i="28"/>
  <c r="G16" i="28"/>
  <c r="O15" i="28"/>
  <c r="G15" i="28"/>
  <c r="O14" i="28"/>
  <c r="G14" i="28"/>
  <c r="O13" i="28"/>
  <c r="G13" i="28"/>
  <c r="O11" i="28"/>
  <c r="E11" i="28"/>
  <c r="T10" i="28"/>
  <c r="E10" i="28"/>
  <c r="T9" i="28"/>
  <c r="O9" i="28"/>
  <c r="E9" i="28"/>
  <c r="T8" i="28"/>
  <c r="P5" i="28"/>
  <c r="K5" i="28"/>
  <c r="K4" i="28"/>
  <c r="K2" i="28"/>
  <c r="R191" i="27"/>
  <c r="Q191" i="27"/>
  <c r="R190" i="27"/>
  <c r="L190" i="27"/>
  <c r="K190" i="27"/>
  <c r="R189" i="27"/>
  <c r="L189" i="27"/>
  <c r="K189" i="27"/>
  <c r="U188" i="27"/>
  <c r="L188" i="27"/>
  <c r="K188" i="27"/>
  <c r="F187" i="27"/>
  <c r="U186" i="27"/>
  <c r="F186" i="27"/>
  <c r="U185" i="27"/>
  <c r="R185" i="27"/>
  <c r="Q185" i="27"/>
  <c r="R184" i="27"/>
  <c r="U183" i="27"/>
  <c r="U182" i="27"/>
  <c r="U181" i="27"/>
  <c r="R180" i="27" a="1"/>
  <c r="U179" i="27"/>
  <c r="U178" i="27"/>
  <c r="U176" i="27"/>
  <c r="T176" i="27"/>
  <c r="U174" i="27"/>
  <c r="S173" i="27"/>
  <c r="S172" i="27"/>
  <c r="S171" i="27"/>
  <c r="S170" i="27"/>
  <c r="S169" i="27"/>
  <c r="M166" i="27"/>
  <c r="K166" i="27"/>
  <c r="I166" i="27"/>
  <c r="G166" i="27"/>
  <c r="D166" i="27"/>
  <c r="M165" i="27"/>
  <c r="K165" i="27"/>
  <c r="I165" i="27"/>
  <c r="G165" i="27"/>
  <c r="D165" i="27"/>
  <c r="M164" i="27"/>
  <c r="K164" i="27"/>
  <c r="I164" i="27"/>
  <c r="G164" i="27"/>
  <c r="D164" i="27"/>
  <c r="M163" i="27"/>
  <c r="K163" i="27"/>
  <c r="I163" i="27"/>
  <c r="G163" i="27"/>
  <c r="D163" i="27"/>
  <c r="M162" i="27"/>
  <c r="K162" i="27"/>
  <c r="I162" i="27"/>
  <c r="G162" i="27"/>
  <c r="D162" i="27"/>
  <c r="M161" i="27"/>
  <c r="K161" i="27"/>
  <c r="I161" i="27"/>
  <c r="G161" i="27"/>
  <c r="D161" i="27"/>
  <c r="M160" i="27"/>
  <c r="K160" i="27"/>
  <c r="I160" i="27"/>
  <c r="G160" i="27"/>
  <c r="D160" i="27"/>
  <c r="M159" i="27"/>
  <c r="K159" i="27"/>
  <c r="I159" i="27"/>
  <c r="G159" i="27"/>
  <c r="D159" i="27"/>
  <c r="M158" i="27"/>
  <c r="K158" i="27"/>
  <c r="I158" i="27"/>
  <c r="G158" i="27"/>
  <c r="D158" i="27"/>
  <c r="M157" i="27"/>
  <c r="K157" i="27"/>
  <c r="I157" i="27"/>
  <c r="G157" i="27"/>
  <c r="D157" i="27"/>
  <c r="M156" i="27"/>
  <c r="K156" i="27"/>
  <c r="I156" i="27"/>
  <c r="G156" i="27"/>
  <c r="D156" i="27"/>
  <c r="M155" i="27"/>
  <c r="K155" i="27"/>
  <c r="I155" i="27"/>
  <c r="G155" i="27"/>
  <c r="D155" i="27"/>
  <c r="M154" i="27"/>
  <c r="K154" i="27"/>
  <c r="I154" i="27"/>
  <c r="G154" i="27"/>
  <c r="D154" i="27"/>
  <c r="M153" i="27"/>
  <c r="J153" i="27"/>
  <c r="G153" i="27"/>
  <c r="B153" i="27"/>
  <c r="D148" i="27"/>
  <c r="B148" i="27"/>
  <c r="F147" i="27"/>
  <c r="F146" i="27"/>
  <c r="D139" i="27"/>
  <c r="D138" i="27"/>
  <c r="M137" i="27"/>
  <c r="D137" i="27"/>
  <c r="M133" i="27"/>
  <c r="I133" i="27"/>
  <c r="I132" i="27"/>
  <c r="I130" i="27"/>
  <c r="R127" i="27"/>
  <c r="Q127" i="27"/>
  <c r="R126" i="27"/>
  <c r="L126" i="27"/>
  <c r="K126" i="27"/>
  <c r="R125" i="27"/>
  <c r="L125" i="27"/>
  <c r="K125" i="27"/>
  <c r="U124" i="27"/>
  <c r="L124" i="27"/>
  <c r="K124" i="27"/>
  <c r="F123" i="27"/>
  <c r="U122" i="27"/>
  <c r="F122" i="27"/>
  <c r="U121" i="27"/>
  <c r="R121" i="27"/>
  <c r="Q121" i="27"/>
  <c r="R120" i="27"/>
  <c r="U119" i="27"/>
  <c r="U118" i="27"/>
  <c r="U117" i="27"/>
  <c r="R116" i="27" a="1"/>
  <c r="U115" i="27"/>
  <c r="U114" i="27"/>
  <c r="U112" i="27"/>
  <c r="T112" i="27"/>
  <c r="U110" i="27"/>
  <c r="S109" i="27"/>
  <c r="S108" i="27"/>
  <c r="S107" i="27"/>
  <c r="S106" i="27"/>
  <c r="S105" i="27"/>
  <c r="M102" i="27"/>
  <c r="K102" i="27"/>
  <c r="I102" i="27"/>
  <c r="G102" i="27"/>
  <c r="D102" i="27"/>
  <c r="M101" i="27"/>
  <c r="K101" i="27"/>
  <c r="I101" i="27"/>
  <c r="G101" i="27"/>
  <c r="D101" i="27"/>
  <c r="M100" i="27"/>
  <c r="K100" i="27"/>
  <c r="I100" i="27"/>
  <c r="G100" i="27"/>
  <c r="D100" i="27"/>
  <c r="M99" i="27"/>
  <c r="K99" i="27"/>
  <c r="I99" i="27"/>
  <c r="G99" i="27"/>
  <c r="D99" i="27"/>
  <c r="M98" i="27"/>
  <c r="K98" i="27"/>
  <c r="I98" i="27"/>
  <c r="G98" i="27"/>
  <c r="D98" i="27"/>
  <c r="M97" i="27"/>
  <c r="K97" i="27"/>
  <c r="I97" i="27"/>
  <c r="G97" i="27"/>
  <c r="D97" i="27"/>
  <c r="M96" i="27"/>
  <c r="K96" i="27"/>
  <c r="I96" i="27"/>
  <c r="G96" i="27"/>
  <c r="D96" i="27"/>
  <c r="M95" i="27"/>
  <c r="K95" i="27"/>
  <c r="I95" i="27"/>
  <c r="G95" i="27"/>
  <c r="D95" i="27"/>
  <c r="M94" i="27"/>
  <c r="K94" i="27"/>
  <c r="I94" i="27"/>
  <c r="G94" i="27"/>
  <c r="D94" i="27"/>
  <c r="M93" i="27"/>
  <c r="K93" i="27"/>
  <c r="I93" i="27"/>
  <c r="G93" i="27"/>
  <c r="D93" i="27"/>
  <c r="M92" i="27"/>
  <c r="K92" i="27"/>
  <c r="I92" i="27"/>
  <c r="G92" i="27"/>
  <c r="M91" i="27"/>
  <c r="K91" i="27"/>
  <c r="I91" i="27"/>
  <c r="G91" i="27"/>
  <c r="M90" i="27"/>
  <c r="K90" i="27"/>
  <c r="I90" i="27"/>
  <c r="G90" i="27"/>
  <c r="M89" i="27"/>
  <c r="J89" i="27"/>
  <c r="G89" i="27"/>
  <c r="B89" i="27"/>
  <c r="D84" i="27"/>
  <c r="B84" i="27"/>
  <c r="F83" i="27"/>
  <c r="F82" i="27"/>
  <c r="F81" i="27"/>
  <c r="F80" i="27"/>
  <c r="F79" i="27"/>
  <c r="D75" i="27"/>
  <c r="D74" i="27"/>
  <c r="M73" i="27"/>
  <c r="D73" i="27"/>
  <c r="M69" i="27"/>
  <c r="I69" i="27"/>
  <c r="I68" i="27"/>
  <c r="I66" i="27"/>
  <c r="R63" i="27"/>
  <c r="Q63" i="27"/>
  <c r="R62" i="27"/>
  <c r="L62" i="27"/>
  <c r="K62" i="27"/>
  <c r="R61" i="27"/>
  <c r="L61" i="27"/>
  <c r="K61" i="27"/>
  <c r="U60" i="27"/>
  <c r="L60" i="27"/>
  <c r="K60" i="27"/>
  <c r="F59" i="27"/>
  <c r="U58" i="27"/>
  <c r="F58" i="27"/>
  <c r="U57" i="27"/>
  <c r="R57" i="27"/>
  <c r="Q57" i="27"/>
  <c r="R56" i="27"/>
  <c r="U55" i="27"/>
  <c r="U54" i="27"/>
  <c r="U53" i="27"/>
  <c r="R52" i="27" a="1"/>
  <c r="U51" i="27"/>
  <c r="U50" i="27"/>
  <c r="U48" i="27"/>
  <c r="T48" i="27"/>
  <c r="U46" i="27"/>
  <c r="S45" i="27"/>
  <c r="S44" i="27"/>
  <c r="S43" i="27"/>
  <c r="S42" i="27"/>
  <c r="S41" i="27"/>
  <c r="M38" i="27"/>
  <c r="K38" i="27"/>
  <c r="I38" i="27"/>
  <c r="G38" i="27"/>
  <c r="D38" i="27"/>
  <c r="M37" i="27"/>
  <c r="K37" i="27"/>
  <c r="I37" i="27"/>
  <c r="G37" i="27"/>
  <c r="D37" i="27"/>
  <c r="M36" i="27"/>
  <c r="K36" i="27"/>
  <c r="I36" i="27"/>
  <c r="G36" i="27"/>
  <c r="D36" i="27"/>
  <c r="M35" i="27"/>
  <c r="K35" i="27"/>
  <c r="I35" i="27"/>
  <c r="G35" i="27"/>
  <c r="D35" i="27"/>
  <c r="M34" i="27"/>
  <c r="K34" i="27"/>
  <c r="I34" i="27"/>
  <c r="G34" i="27"/>
  <c r="D34" i="27"/>
  <c r="M33" i="27"/>
  <c r="K33" i="27"/>
  <c r="I33" i="27"/>
  <c r="G33" i="27"/>
  <c r="D33" i="27"/>
  <c r="M32" i="27"/>
  <c r="K32" i="27"/>
  <c r="I32" i="27"/>
  <c r="G32" i="27"/>
  <c r="D32" i="27"/>
  <c r="M31" i="27"/>
  <c r="K31" i="27"/>
  <c r="I31" i="27"/>
  <c r="G31" i="27"/>
  <c r="D31" i="27"/>
  <c r="M30" i="27"/>
  <c r="K30" i="27"/>
  <c r="I30" i="27"/>
  <c r="G30" i="27"/>
  <c r="D30" i="27"/>
  <c r="M29" i="27"/>
  <c r="K29" i="27"/>
  <c r="I29" i="27"/>
  <c r="G29" i="27"/>
  <c r="M28" i="27"/>
  <c r="K28" i="27"/>
  <c r="I28" i="27"/>
  <c r="G28" i="27"/>
  <c r="M27" i="27"/>
  <c r="K27" i="27"/>
  <c r="I27" i="27"/>
  <c r="G27" i="27"/>
  <c r="M26" i="27"/>
  <c r="K26" i="27"/>
  <c r="I26" i="27"/>
  <c r="G26" i="27"/>
  <c r="M25" i="27"/>
  <c r="J25" i="27"/>
  <c r="G25" i="27"/>
  <c r="B25" i="27"/>
  <c r="F19" i="27"/>
  <c r="F18" i="27"/>
  <c r="D11" i="27"/>
  <c r="D10" i="27"/>
  <c r="M9" i="27"/>
  <c r="D9" i="27"/>
  <c r="M5" i="27"/>
  <c r="I5" i="27"/>
  <c r="M4" i="27"/>
  <c r="M68" i="27" s="1"/>
  <c r="M132" i="27" s="1"/>
  <c r="I4" i="27"/>
  <c r="I3" i="27"/>
  <c r="I67" i="27" s="1"/>
  <c r="I131" i="27" s="1"/>
  <c r="I2" i="27"/>
  <c r="U191" i="26"/>
  <c r="T191" i="26"/>
  <c r="U190" i="26"/>
  <c r="T190" i="26"/>
  <c r="U189" i="26"/>
  <c r="T189" i="26"/>
  <c r="U188" i="26"/>
  <c r="T188" i="26"/>
  <c r="U187" i="26"/>
  <c r="T187" i="26"/>
  <c r="T186" i="26"/>
  <c r="G186" i="26"/>
  <c r="F186" i="26"/>
  <c r="F176" i="26"/>
  <c r="F175" i="26"/>
  <c r="F173" i="26"/>
  <c r="D173" i="26"/>
  <c r="D165" i="26"/>
  <c r="D164" i="26"/>
  <c r="N163" i="26"/>
  <c r="D163" i="26"/>
  <c r="P159" i="26"/>
  <c r="J159" i="26"/>
  <c r="J158" i="26"/>
  <c r="J156" i="26"/>
  <c r="U114" i="26"/>
  <c r="T114" i="26"/>
  <c r="U113" i="26"/>
  <c r="T113" i="26"/>
  <c r="U112" i="26"/>
  <c r="T112" i="26"/>
  <c r="U111" i="26"/>
  <c r="T111" i="26"/>
  <c r="U110" i="26"/>
  <c r="T110" i="26"/>
  <c r="T109" i="26"/>
  <c r="G109" i="26"/>
  <c r="F109" i="26"/>
  <c r="F99" i="26"/>
  <c r="F98" i="26"/>
  <c r="F96" i="26"/>
  <c r="D96" i="26"/>
  <c r="D88" i="26"/>
  <c r="D87" i="26"/>
  <c r="N86" i="26"/>
  <c r="D86" i="26"/>
  <c r="P82" i="26"/>
  <c r="J82" i="26"/>
  <c r="J81" i="26"/>
  <c r="J79" i="26"/>
  <c r="G43" i="26"/>
  <c r="F43" i="26"/>
  <c r="G41" i="26"/>
  <c r="F41" i="26"/>
  <c r="J40" i="26"/>
  <c r="H40" i="26"/>
  <c r="G39" i="26"/>
  <c r="F39" i="26"/>
  <c r="U38" i="26"/>
  <c r="T38" i="26"/>
  <c r="J38" i="26"/>
  <c r="H38" i="26"/>
  <c r="U37" i="26"/>
  <c r="T37" i="26"/>
  <c r="G37" i="26"/>
  <c r="F37" i="26"/>
  <c r="U36" i="26"/>
  <c r="T36" i="26"/>
  <c r="J36" i="26"/>
  <c r="H36" i="26"/>
  <c r="U35" i="26"/>
  <c r="T35" i="26"/>
  <c r="G35" i="26"/>
  <c r="F35" i="26"/>
  <c r="U34" i="26"/>
  <c r="T34" i="26"/>
  <c r="J34" i="26"/>
  <c r="U33" i="26"/>
  <c r="T33" i="26"/>
  <c r="G33" i="26"/>
  <c r="F33" i="26"/>
  <c r="T32" i="26"/>
  <c r="O23" i="26"/>
  <c r="O22" i="26"/>
  <c r="F22" i="26"/>
  <c r="F21" i="26"/>
  <c r="O20" i="26"/>
  <c r="F19" i="26"/>
  <c r="D19" i="26"/>
  <c r="D11" i="26"/>
  <c r="D10" i="26"/>
  <c r="N9" i="26"/>
  <c r="D9" i="26"/>
  <c r="P5" i="26"/>
  <c r="J5" i="26"/>
  <c r="P4" i="26"/>
  <c r="J4" i="26"/>
  <c r="J3" i="26"/>
  <c r="J2" i="26"/>
  <c r="R56" i="25"/>
  <c r="R54" i="25"/>
  <c r="O54" i="25"/>
  <c r="N54" i="25"/>
  <c r="M54" i="25"/>
  <c r="R51" i="25"/>
  <c r="O51" i="25"/>
  <c r="N51" i="25"/>
  <c r="M51" i="25"/>
  <c r="L51" i="25"/>
  <c r="J51" i="25"/>
  <c r="H51" i="25"/>
  <c r="E51" i="25"/>
  <c r="K50" i="25"/>
  <c r="H50" i="25"/>
  <c r="E50" i="25"/>
  <c r="R48" i="25"/>
  <c r="O48" i="25"/>
  <c r="N48" i="25"/>
  <c r="M48" i="25"/>
  <c r="L48" i="25"/>
  <c r="J48" i="25"/>
  <c r="H48" i="25"/>
  <c r="E48" i="25"/>
  <c r="K47" i="25"/>
  <c r="H47" i="25"/>
  <c r="E47" i="25"/>
  <c r="R45" i="25"/>
  <c r="O45" i="25"/>
  <c r="N45" i="25"/>
  <c r="M45" i="25"/>
  <c r="L45" i="25"/>
  <c r="J45" i="25"/>
  <c r="H45" i="25"/>
  <c r="E45" i="25"/>
  <c r="K44" i="25"/>
  <c r="H44" i="25"/>
  <c r="E44" i="25"/>
  <c r="R42" i="25"/>
  <c r="O42" i="25"/>
  <c r="N42" i="25"/>
  <c r="M42" i="25"/>
  <c r="L42" i="25"/>
  <c r="J42" i="25"/>
  <c r="H42" i="25"/>
  <c r="E42" i="25"/>
  <c r="K41" i="25"/>
  <c r="H41" i="25"/>
  <c r="E41" i="25"/>
  <c r="R39" i="25"/>
  <c r="O39" i="25"/>
  <c r="N39" i="25"/>
  <c r="M39" i="25"/>
  <c r="L39" i="25"/>
  <c r="J39" i="25"/>
  <c r="H39" i="25"/>
  <c r="E39" i="25"/>
  <c r="K38" i="25"/>
  <c r="H38" i="25"/>
  <c r="E38" i="25"/>
  <c r="Q31" i="25"/>
  <c r="H25" i="25"/>
  <c r="E20" i="25"/>
  <c r="H19" i="25"/>
  <c r="Q16" i="25"/>
  <c r="H16" i="25"/>
  <c r="Q15" i="25"/>
  <c r="H15" i="25"/>
  <c r="Q14" i="25"/>
  <c r="H14" i="25"/>
  <c r="H13" i="25"/>
  <c r="H12" i="25"/>
  <c r="AG78" i="19"/>
  <c r="AF78" i="19"/>
  <c r="AE78" i="19"/>
  <c r="AE76" i="19"/>
  <c r="AG75" i="19"/>
  <c r="AF75" i="19"/>
  <c r="AE75" i="19"/>
  <c r="AG74" i="19"/>
  <c r="AF74" i="19"/>
  <c r="AE74" i="19"/>
  <c r="AG73" i="19"/>
  <c r="AF73" i="19"/>
  <c r="AE73" i="19"/>
  <c r="AG72" i="19"/>
  <c r="AF72" i="19"/>
  <c r="AE72" i="19"/>
  <c r="AG67" i="19"/>
  <c r="AF67" i="19"/>
  <c r="AE67" i="19"/>
  <c r="AE65" i="19"/>
  <c r="AG64" i="19"/>
  <c r="AF64" i="19"/>
  <c r="AE64" i="19"/>
  <c r="AG62" i="19"/>
  <c r="AF62" i="19"/>
  <c r="AE62" i="19"/>
  <c r="AG61" i="19"/>
  <c r="AF61" i="19"/>
  <c r="AE61" i="19"/>
  <c r="AG60" i="19"/>
  <c r="AF60" i="19"/>
  <c r="AG58" i="19"/>
  <c r="AF58" i="19"/>
  <c r="AG56" i="19"/>
  <c r="AF56" i="19"/>
  <c r="AG52" i="19"/>
  <c r="AF52" i="19"/>
  <c r="AB52" i="19"/>
  <c r="AG51" i="19"/>
  <c r="AF51" i="19"/>
  <c r="AD51" i="19"/>
  <c r="AB51" i="19"/>
  <c r="AA51" i="19"/>
  <c r="AD50" i="19"/>
  <c r="AB50" i="19"/>
  <c r="AA50" i="19"/>
  <c r="AB49" i="19"/>
  <c r="AA49" i="19"/>
  <c r="AB48" i="19"/>
  <c r="AG47" i="19"/>
  <c r="AF47" i="19"/>
  <c r="AE47" i="19"/>
  <c r="AM46" i="19"/>
  <c r="AM44" i="19"/>
  <c r="AG44" i="19"/>
  <c r="AF44" i="19"/>
  <c r="AE44" i="19"/>
  <c r="AA44" i="19"/>
  <c r="AG43" i="19"/>
  <c r="AF43" i="19"/>
  <c r="AE43" i="19"/>
  <c r="AA43" i="19"/>
  <c r="AG42" i="19"/>
  <c r="AF42" i="19"/>
  <c r="AE42" i="19"/>
  <c r="AA42" i="19"/>
  <c r="AM41" i="19"/>
  <c r="AG41" i="19"/>
  <c r="AF41" i="19"/>
  <c r="AE41" i="19"/>
  <c r="AA41" i="19"/>
  <c r="AG40" i="19"/>
  <c r="AF40" i="19"/>
  <c r="AE40" i="19"/>
  <c r="AA40" i="19"/>
  <c r="AM39" i="19"/>
  <c r="AG39" i="19"/>
  <c r="AF39" i="19"/>
  <c r="AE39" i="19"/>
  <c r="AA39" i="19"/>
  <c r="Q39" i="19"/>
  <c r="O39" i="19"/>
  <c r="M39" i="19"/>
  <c r="AG38" i="19"/>
  <c r="AF38" i="19"/>
  <c r="AE38" i="19"/>
  <c r="AA38" i="19"/>
  <c r="Q38" i="19"/>
  <c r="O38" i="19"/>
  <c r="M38" i="19"/>
  <c r="AM37" i="19"/>
  <c r="AG37" i="19"/>
  <c r="AF37" i="19"/>
  <c r="AE37" i="19"/>
  <c r="AA37" i="19"/>
  <c r="Q37" i="19"/>
  <c r="O37" i="19"/>
  <c r="M37" i="19"/>
  <c r="AG36" i="19"/>
  <c r="AF36" i="19"/>
  <c r="AE36" i="19"/>
  <c r="AA36" i="19"/>
  <c r="Q36" i="19"/>
  <c r="O36" i="19"/>
  <c r="M36" i="19"/>
  <c r="AG35" i="19"/>
  <c r="AF35" i="19"/>
  <c r="AE35" i="19"/>
  <c r="AA35" i="19"/>
  <c r="AG34" i="19"/>
  <c r="AF34" i="19"/>
  <c r="AE34" i="19"/>
  <c r="AA34" i="19"/>
  <c r="Q34" i="19"/>
  <c r="O34" i="19"/>
  <c r="M34" i="19"/>
  <c r="AG33" i="19"/>
  <c r="AF33" i="19"/>
  <c r="AE33" i="19"/>
  <c r="AA33" i="19"/>
  <c r="Q33" i="19"/>
  <c r="O33" i="19"/>
  <c r="M33" i="19"/>
  <c r="AG32" i="19"/>
  <c r="AF32" i="19"/>
  <c r="AE32" i="19"/>
  <c r="AA32" i="19"/>
  <c r="AG31" i="19"/>
  <c r="AF31" i="19"/>
  <c r="AE31" i="19"/>
  <c r="AA31" i="19"/>
  <c r="Q31" i="19"/>
  <c r="O31" i="19"/>
  <c r="M31" i="19"/>
  <c r="AG30" i="19"/>
  <c r="AF30" i="19"/>
  <c r="AE30" i="19"/>
  <c r="AA30" i="19"/>
  <c r="Q30" i="19"/>
  <c r="O30" i="19"/>
  <c r="M30" i="19"/>
  <c r="AG29" i="19"/>
  <c r="AF29" i="19"/>
  <c r="AE29" i="19"/>
  <c r="AA29" i="19"/>
  <c r="Q29" i="19"/>
  <c r="O29" i="19"/>
  <c r="M29" i="19"/>
  <c r="AG28" i="19"/>
  <c r="AF28" i="19"/>
  <c r="AE28" i="19"/>
  <c r="AA28" i="19"/>
  <c r="AG27" i="19"/>
  <c r="AF27" i="19"/>
  <c r="AE27" i="19"/>
  <c r="AA27" i="19"/>
  <c r="Q27" i="19"/>
  <c r="O27" i="19"/>
  <c r="M27" i="19"/>
  <c r="AG26" i="19"/>
  <c r="AF26" i="19"/>
  <c r="AE26" i="19"/>
  <c r="AA26" i="19"/>
  <c r="Q26" i="19"/>
  <c r="O26" i="19"/>
  <c r="M26" i="19"/>
  <c r="AG25" i="19"/>
  <c r="AF25" i="19"/>
  <c r="AE25" i="19"/>
  <c r="AA25" i="19"/>
  <c r="Q25" i="19"/>
  <c r="O25" i="19"/>
  <c r="M25" i="19"/>
  <c r="AG24" i="19"/>
  <c r="AF24" i="19"/>
  <c r="AE24" i="19"/>
  <c r="AA24" i="19"/>
  <c r="Q24" i="19"/>
  <c r="O24" i="19"/>
  <c r="M24" i="19"/>
  <c r="AG23" i="19"/>
  <c r="AF23" i="19"/>
  <c r="AE23" i="19"/>
  <c r="AA23" i="19"/>
  <c r="Q23" i="19"/>
  <c r="O23" i="19"/>
  <c r="M23" i="19"/>
  <c r="AG22" i="19"/>
  <c r="AF22" i="19"/>
  <c r="AE22" i="19"/>
  <c r="AA22" i="19"/>
  <c r="AG21" i="19"/>
  <c r="AF21" i="19"/>
  <c r="AE21" i="19"/>
  <c r="AA21" i="19"/>
  <c r="AG20" i="19"/>
  <c r="AF20" i="19"/>
  <c r="AE20" i="19"/>
  <c r="AA20" i="19"/>
  <c r="F20" i="19"/>
  <c r="D20" i="19"/>
  <c r="AG19" i="19"/>
  <c r="AF19" i="19"/>
  <c r="AE19" i="19"/>
  <c r="AA19" i="19"/>
  <c r="I19" i="19"/>
  <c r="AG18" i="19"/>
  <c r="AF18" i="19"/>
  <c r="AE18" i="19"/>
  <c r="AA18" i="19"/>
  <c r="AG17" i="19"/>
  <c r="AF17" i="19"/>
  <c r="AE17" i="19"/>
  <c r="AA17" i="19"/>
  <c r="AG16" i="19"/>
  <c r="AF16" i="19"/>
  <c r="AE16" i="19"/>
  <c r="AA16" i="19"/>
  <c r="U16" i="19"/>
  <c r="I16" i="19"/>
  <c r="AG15" i="19"/>
  <c r="AF15" i="19"/>
  <c r="AE15" i="19"/>
  <c r="AA15" i="19"/>
  <c r="U15" i="19"/>
  <c r="I15" i="19"/>
  <c r="AG14" i="19"/>
  <c r="AF14" i="19"/>
  <c r="AE14" i="19"/>
  <c r="AA14" i="19"/>
  <c r="U14" i="19"/>
  <c r="I14" i="19"/>
  <c r="AG13" i="19"/>
  <c r="AF13" i="19"/>
  <c r="AE13" i="19"/>
  <c r="AD13" i="19" a="1"/>
  <c r="AC13" i="19" a="1"/>
  <c r="AB13" i="19" a="1"/>
  <c r="I13" i="19"/>
  <c r="AG12" i="19"/>
  <c r="AF12" i="19"/>
  <c r="AE12" i="19"/>
  <c r="I12" i="19"/>
  <c r="AC5" i="19"/>
  <c r="AC4" i="19"/>
  <c r="AL83" i="23"/>
  <c r="AJ83" i="23"/>
  <c r="AI83" i="23"/>
  <c r="AE83" i="23"/>
  <c r="AD83" i="23"/>
  <c r="AA83" i="23"/>
  <c r="Y83" i="23"/>
  <c r="AL82" i="23"/>
  <c r="AJ82" i="23"/>
  <c r="AI82" i="23"/>
  <c r="AE82" i="23"/>
  <c r="AD82" i="23"/>
  <c r="AA82" i="23"/>
  <c r="Y82" i="23"/>
  <c r="AL81" i="23"/>
  <c r="AJ81" i="23"/>
  <c r="AI81" i="23"/>
  <c r="AE81" i="23"/>
  <c r="AD81" i="23"/>
  <c r="AA81" i="23"/>
  <c r="Y81" i="23"/>
  <c r="AL80" i="23"/>
  <c r="AJ80" i="23"/>
  <c r="AI80" i="23"/>
  <c r="AE80" i="23"/>
  <c r="AD80" i="23"/>
  <c r="AA80" i="23"/>
  <c r="Y80" i="23"/>
  <c r="AL79" i="23"/>
  <c r="AJ79" i="23"/>
  <c r="AI79" i="23"/>
  <c r="AE79" i="23"/>
  <c r="AD79" i="23"/>
  <c r="AA79" i="23"/>
  <c r="Y79" i="23"/>
  <c r="AL78" i="23"/>
  <c r="AJ78" i="23"/>
  <c r="AI78" i="23"/>
  <c r="AE78" i="23"/>
  <c r="AD78" i="23"/>
  <c r="AA78" i="23"/>
  <c r="Y78" i="23"/>
  <c r="AL77" i="23"/>
  <c r="AJ77" i="23"/>
  <c r="AI77" i="23"/>
  <c r="AE77" i="23"/>
  <c r="AD77" i="23"/>
  <c r="AA77" i="23"/>
  <c r="Y77" i="23"/>
  <c r="AL76" i="23"/>
  <c r="AJ76" i="23"/>
  <c r="AI76" i="23"/>
  <c r="AE76" i="23"/>
  <c r="AD76" i="23"/>
  <c r="AA76" i="23"/>
  <c r="Y76" i="23"/>
  <c r="AL75" i="23"/>
  <c r="AJ75" i="23"/>
  <c r="AI75" i="23"/>
  <c r="AE75" i="23"/>
  <c r="AD75" i="23"/>
  <c r="AA75" i="23"/>
  <c r="Y75" i="23"/>
  <c r="AL74" i="23"/>
  <c r="AJ74" i="23"/>
  <c r="AI74" i="23"/>
  <c r="AE74" i="23"/>
  <c r="AD74" i="23"/>
  <c r="AA74" i="23"/>
  <c r="Y74" i="23"/>
  <c r="AL73" i="23"/>
  <c r="AJ73" i="23"/>
  <c r="AI73" i="23"/>
  <c r="AE73" i="23"/>
  <c r="AD73" i="23"/>
  <c r="AA73" i="23"/>
  <c r="Y73" i="23"/>
  <c r="AL72" i="23"/>
  <c r="AJ72" i="23"/>
  <c r="AI72" i="23"/>
  <c r="AE72" i="23"/>
  <c r="AD72" i="23"/>
  <c r="AA72" i="23"/>
  <c r="Y72" i="23"/>
  <c r="AL71" i="23"/>
  <c r="AJ71" i="23"/>
  <c r="AI71" i="23"/>
  <c r="AE71" i="23"/>
  <c r="AD71" i="23"/>
  <c r="AA71" i="23"/>
  <c r="Y71" i="23"/>
  <c r="AL70" i="23"/>
  <c r="AJ70" i="23"/>
  <c r="AI70" i="23"/>
  <c r="AE70" i="23"/>
  <c r="AD70" i="23"/>
  <c r="AA70" i="23"/>
  <c r="Y70" i="23"/>
  <c r="AL69" i="23"/>
  <c r="AJ69" i="23"/>
  <c r="AI69" i="23"/>
  <c r="AE69" i="23"/>
  <c r="AD69" i="23"/>
  <c r="AA69" i="23"/>
  <c r="Y69" i="23"/>
  <c r="AL68" i="23"/>
  <c r="AJ68" i="23"/>
  <c r="AI68" i="23"/>
  <c r="AE68" i="23"/>
  <c r="AD68" i="23"/>
  <c r="AA68" i="23"/>
  <c r="Y68" i="23"/>
  <c r="AL67" i="23"/>
  <c r="AJ67" i="23"/>
  <c r="AI67" i="23"/>
  <c r="AE67" i="23"/>
  <c r="AD67" i="23"/>
  <c r="AA67" i="23"/>
  <c r="Y67" i="23"/>
  <c r="AL66" i="23"/>
  <c r="AJ66" i="23"/>
  <c r="AI66" i="23"/>
  <c r="AE66" i="23"/>
  <c r="AD66" i="23"/>
  <c r="AA66" i="23"/>
  <c r="Y66" i="23"/>
  <c r="AL65" i="23"/>
  <c r="AJ65" i="23"/>
  <c r="AI65" i="23"/>
  <c r="AE65" i="23"/>
  <c r="AD65" i="23"/>
  <c r="AA65" i="23"/>
  <c r="Y65" i="23"/>
  <c r="AL64" i="23"/>
  <c r="AJ64" i="23"/>
  <c r="AI64" i="23"/>
  <c r="AE64" i="23"/>
  <c r="AD64" i="23"/>
  <c r="AA64" i="23"/>
  <c r="Y64" i="23"/>
  <c r="AL63" i="23"/>
  <c r="AJ63" i="23"/>
  <c r="AI63" i="23"/>
  <c r="AE63" i="23"/>
  <c r="AD63" i="23"/>
  <c r="AA63" i="23"/>
  <c r="Y63" i="23"/>
  <c r="AL62" i="23"/>
  <c r="AJ62" i="23"/>
  <c r="AI62" i="23"/>
  <c r="AE62" i="23"/>
  <c r="AD62" i="23"/>
  <c r="AA62" i="23"/>
  <c r="Y62" i="23"/>
  <c r="AL61" i="23"/>
  <c r="AJ61" i="23"/>
  <c r="AI61" i="23"/>
  <c r="AE61" i="23"/>
  <c r="AD61" i="23"/>
  <c r="AA61" i="23"/>
  <c r="Y61" i="23"/>
  <c r="AL60" i="23"/>
  <c r="AJ60" i="23"/>
  <c r="AI60" i="23"/>
  <c r="AG60" i="23" a="1"/>
  <c r="AE60" i="23"/>
  <c r="AD60" i="23"/>
  <c r="AA60" i="23"/>
  <c r="Y60" i="23"/>
  <c r="AL59" i="23"/>
  <c r="AJ59" i="23"/>
  <c r="AI59" i="23"/>
  <c r="AE59" i="23"/>
  <c r="AD59" i="23"/>
  <c r="Y59" i="23"/>
  <c r="AD52" i="23"/>
  <c r="AD50" i="23"/>
  <c r="AM49" i="23"/>
  <c r="AG49" i="23"/>
  <c r="AD48" i="23"/>
  <c r="AG47" i="23"/>
  <c r="AL42" i="23"/>
  <c r="AJ42" i="23"/>
  <c r="AI42" i="23"/>
  <c r="AE42" i="23"/>
  <c r="AD42" i="23"/>
  <c r="AA42" i="23"/>
  <c r="Y42" i="23"/>
  <c r="AL41" i="23"/>
  <c r="AJ41" i="23"/>
  <c r="AI41" i="23"/>
  <c r="AE41" i="23"/>
  <c r="AD41" i="23"/>
  <c r="AA41" i="23"/>
  <c r="Y41" i="23"/>
  <c r="AL40" i="23"/>
  <c r="AJ40" i="23"/>
  <c r="AI40" i="23"/>
  <c r="AE40" i="23"/>
  <c r="AD40" i="23"/>
  <c r="AA40" i="23"/>
  <c r="Y40" i="23"/>
  <c r="AL39" i="23"/>
  <c r="AJ39" i="23"/>
  <c r="AI39" i="23"/>
  <c r="AE39" i="23"/>
  <c r="AD39" i="23"/>
  <c r="AA39" i="23"/>
  <c r="Y39" i="23"/>
  <c r="AL38" i="23"/>
  <c r="AJ38" i="23"/>
  <c r="AI38" i="23"/>
  <c r="AE38" i="23"/>
  <c r="AD38" i="23"/>
  <c r="AA38" i="23"/>
  <c r="Y38" i="23"/>
  <c r="AP37" i="23"/>
  <c r="AL37" i="23"/>
  <c r="AJ37" i="23"/>
  <c r="AI37" i="23"/>
  <c r="AE37" i="23"/>
  <c r="AD37" i="23"/>
  <c r="AA37" i="23"/>
  <c r="Y37" i="23"/>
  <c r="AL36" i="23"/>
  <c r="AJ36" i="23"/>
  <c r="AI36" i="23"/>
  <c r="AE36" i="23"/>
  <c r="AD36" i="23"/>
  <c r="AA36" i="23"/>
  <c r="Y36" i="23"/>
  <c r="AL35" i="23"/>
  <c r="AJ35" i="23"/>
  <c r="AI35" i="23"/>
  <c r="AE35" i="23"/>
  <c r="AD35" i="23"/>
  <c r="AA35" i="23"/>
  <c r="Y35" i="23"/>
  <c r="AP34" i="23"/>
  <c r="AL34" i="23"/>
  <c r="AJ34" i="23"/>
  <c r="AI34" i="23"/>
  <c r="AE34" i="23"/>
  <c r="AD34" i="23"/>
  <c r="AA34" i="23"/>
  <c r="Y34" i="23"/>
  <c r="AL33" i="23"/>
  <c r="AJ33" i="23"/>
  <c r="AI33" i="23"/>
  <c r="AE33" i="23"/>
  <c r="AD33" i="23"/>
  <c r="AA33" i="23"/>
  <c r="Y33" i="23"/>
  <c r="P33" i="23"/>
  <c r="O33" i="23"/>
  <c r="AL32" i="23"/>
  <c r="AJ32" i="23"/>
  <c r="AI32" i="23"/>
  <c r="AE32" i="23"/>
  <c r="AD32" i="23"/>
  <c r="AA32" i="23"/>
  <c r="Y32" i="23"/>
  <c r="P32" i="23"/>
  <c r="O32" i="23"/>
  <c r="AL31" i="23"/>
  <c r="AJ31" i="23"/>
  <c r="AI31" i="23"/>
  <c r="AE31" i="23"/>
  <c r="AD31" i="23"/>
  <c r="AA31" i="23"/>
  <c r="Y31" i="23"/>
  <c r="P31" i="23"/>
  <c r="O31" i="23"/>
  <c r="AL30" i="23"/>
  <c r="AJ30" i="23"/>
  <c r="AI30" i="23"/>
  <c r="AE30" i="23"/>
  <c r="AD30" i="23"/>
  <c r="AA30" i="23"/>
  <c r="Y30" i="23"/>
  <c r="P30" i="23"/>
  <c r="O30" i="23"/>
  <c r="AL29" i="23"/>
  <c r="AJ29" i="23"/>
  <c r="AI29" i="23"/>
  <c r="AE29" i="23"/>
  <c r="AD29" i="23"/>
  <c r="AA29" i="23"/>
  <c r="Y29" i="23"/>
  <c r="P29" i="23"/>
  <c r="O29" i="23"/>
  <c r="G29" i="23"/>
  <c r="AL28" i="23"/>
  <c r="AJ28" i="23"/>
  <c r="AI28" i="23"/>
  <c r="AE28" i="23"/>
  <c r="AD28" i="23"/>
  <c r="AA28" i="23"/>
  <c r="Y28" i="23"/>
  <c r="P28" i="23"/>
  <c r="O28" i="23"/>
  <c r="H28" i="23"/>
  <c r="G28" i="23"/>
  <c r="AL27" i="23"/>
  <c r="AJ27" i="23"/>
  <c r="AI27" i="23"/>
  <c r="AE27" i="23"/>
  <c r="AD27" i="23"/>
  <c r="AA27" i="23"/>
  <c r="Y27" i="23"/>
  <c r="P27" i="23"/>
  <c r="O27" i="23"/>
  <c r="H27" i="23"/>
  <c r="G27" i="23"/>
  <c r="AL26" i="23"/>
  <c r="AJ26" i="23"/>
  <c r="AI26" i="23"/>
  <c r="AE26" i="23"/>
  <c r="AD26" i="23"/>
  <c r="AA26" i="23"/>
  <c r="Y26" i="23"/>
  <c r="P26" i="23"/>
  <c r="O26" i="23"/>
  <c r="BQ25" i="23"/>
  <c r="BP25" i="23"/>
  <c r="BO25" i="23"/>
  <c r="BM25" i="23"/>
  <c r="BL25" i="23"/>
  <c r="BK25" i="23"/>
  <c r="AL25" i="23"/>
  <c r="AJ25" i="23"/>
  <c r="AI25" i="23"/>
  <c r="AE25" i="23"/>
  <c r="AD25" i="23"/>
  <c r="AA25" i="23"/>
  <c r="Y25" i="23"/>
  <c r="P25" i="23"/>
  <c r="O25" i="23"/>
  <c r="BQ24" i="23"/>
  <c r="BP24" i="23"/>
  <c r="BO24" i="23"/>
  <c r="BM24" i="23"/>
  <c r="BL24" i="23"/>
  <c r="BK24" i="23"/>
  <c r="AL24" i="23"/>
  <c r="AJ24" i="23"/>
  <c r="AI24" i="23"/>
  <c r="AE24" i="23"/>
  <c r="AD24" i="23"/>
  <c r="AA24" i="23"/>
  <c r="Y24" i="23"/>
  <c r="BQ23" i="23"/>
  <c r="BP23" i="23"/>
  <c r="BO23" i="23"/>
  <c r="BM23" i="23"/>
  <c r="BL23" i="23"/>
  <c r="BK23" i="23"/>
  <c r="AL23" i="23"/>
  <c r="AJ23" i="23"/>
  <c r="AI23" i="23"/>
  <c r="AE23" i="23"/>
  <c r="AD23" i="23"/>
  <c r="AA23" i="23"/>
  <c r="Y23" i="23"/>
  <c r="BQ22" i="23"/>
  <c r="BP22" i="23"/>
  <c r="BO22" i="23"/>
  <c r="BM22" i="23"/>
  <c r="BL22" i="23"/>
  <c r="BK22" i="23"/>
  <c r="AL22" i="23"/>
  <c r="AJ22" i="23"/>
  <c r="AI22" i="23"/>
  <c r="AE22" i="23"/>
  <c r="AD22" i="23"/>
  <c r="AA22" i="23"/>
  <c r="Y22" i="23"/>
  <c r="D22" i="23"/>
  <c r="C22" i="23"/>
  <c r="BQ21" i="23"/>
  <c r="BP21" i="23"/>
  <c r="BO21" i="23"/>
  <c r="BM21" i="23"/>
  <c r="BL21" i="23"/>
  <c r="BK21" i="23"/>
  <c r="AL21" i="23"/>
  <c r="AJ21" i="23"/>
  <c r="AI21" i="23"/>
  <c r="AE21" i="23"/>
  <c r="AD21" i="23"/>
  <c r="AA21" i="23"/>
  <c r="Y21" i="23"/>
  <c r="G21" i="23"/>
  <c r="BQ20" i="23"/>
  <c r="BP20" i="23"/>
  <c r="BO20" i="23"/>
  <c r="BM20" i="23"/>
  <c r="BL20" i="23"/>
  <c r="BK20" i="23"/>
  <c r="AL20" i="23"/>
  <c r="AJ20" i="23"/>
  <c r="AI20" i="23"/>
  <c r="AE20" i="23"/>
  <c r="AD20" i="23"/>
  <c r="AA20" i="23"/>
  <c r="Y20" i="23"/>
  <c r="BQ19" i="23"/>
  <c r="BP19" i="23"/>
  <c r="BO19" i="23"/>
  <c r="BM19" i="23"/>
  <c r="BL19" i="23"/>
  <c r="BK19" i="23"/>
  <c r="AL19" i="23"/>
  <c r="AJ19" i="23"/>
  <c r="AI19" i="23"/>
  <c r="AG19" i="23" a="1"/>
  <c r="AE19" i="23"/>
  <c r="AD19" i="23"/>
  <c r="AA19" i="23"/>
  <c r="Y19" i="23"/>
  <c r="BQ18" i="23"/>
  <c r="BP18" i="23"/>
  <c r="BO18" i="23"/>
  <c r="BM18" i="23"/>
  <c r="BL18" i="23"/>
  <c r="BK18" i="23"/>
  <c r="AL18" i="23"/>
  <c r="AJ18" i="23"/>
  <c r="AI18" i="23"/>
  <c r="AE18" i="23"/>
  <c r="AD18" i="23"/>
  <c r="Y18" i="23"/>
  <c r="G18" i="23"/>
  <c r="BQ17" i="23"/>
  <c r="BP17" i="23"/>
  <c r="BO17" i="23"/>
  <c r="BM17" i="23"/>
  <c r="BL17" i="23"/>
  <c r="BK17" i="23"/>
  <c r="O17" i="23"/>
  <c r="G17" i="23"/>
  <c r="BQ16" i="23"/>
  <c r="BP16" i="23"/>
  <c r="BO16" i="23"/>
  <c r="BM16" i="23"/>
  <c r="BL16" i="23"/>
  <c r="BK16" i="23"/>
  <c r="O16" i="23"/>
  <c r="G16" i="23"/>
  <c r="BQ15" i="23"/>
  <c r="BP15" i="23"/>
  <c r="BO15" i="23"/>
  <c r="BM15" i="23"/>
  <c r="BL15" i="23"/>
  <c r="BK15" i="23"/>
  <c r="O15" i="23"/>
  <c r="G15" i="23"/>
  <c r="BQ14" i="23"/>
  <c r="BP14" i="23"/>
  <c r="BO14" i="23"/>
  <c r="BM14" i="23"/>
  <c r="BL14" i="23"/>
  <c r="BK14" i="23"/>
  <c r="G14" i="23"/>
  <c r="BQ13" i="23"/>
  <c r="BP13" i="23"/>
  <c r="BO13" i="23"/>
  <c r="BM13" i="23"/>
  <c r="BL13" i="23"/>
  <c r="BK13" i="23"/>
  <c r="BQ12" i="23"/>
  <c r="BP12" i="23"/>
  <c r="BO12" i="23"/>
  <c r="BM12" i="23"/>
  <c r="BL12" i="23"/>
  <c r="BK12" i="23"/>
  <c r="AD12" i="23"/>
  <c r="BQ11" i="23"/>
  <c r="BP11" i="23"/>
  <c r="BO11" i="23"/>
  <c r="BM11" i="23"/>
  <c r="BL11" i="23"/>
  <c r="BK11" i="23"/>
  <c r="W11" i="23" a="1"/>
  <c r="V11" i="23" a="1"/>
  <c r="BQ10" i="23"/>
  <c r="BP10" i="23"/>
  <c r="BO10" i="23"/>
  <c r="BM10" i="23"/>
  <c r="BL10" i="23"/>
  <c r="BK10" i="23"/>
  <c r="AD10" i="23"/>
  <c r="BQ9" i="23"/>
  <c r="BP9" i="23"/>
  <c r="BO9" i="23"/>
  <c r="BM9" i="23"/>
  <c r="BL9" i="23"/>
  <c r="BK9" i="23"/>
  <c r="BQ8" i="23"/>
  <c r="BP8" i="23"/>
  <c r="BO8" i="23"/>
  <c r="BM8" i="23"/>
  <c r="BL8" i="23"/>
  <c r="BK8" i="23"/>
  <c r="AZ8" i="23"/>
  <c r="AG8" i="23"/>
  <c r="BQ7" i="23"/>
  <c r="BP7" i="23"/>
  <c r="BO7" i="23"/>
  <c r="BM7" i="23"/>
  <c r="BL7" i="23"/>
  <c r="BK7" i="23"/>
  <c r="AZ7" i="23"/>
  <c r="AD7" i="23"/>
  <c r="BQ6" i="23"/>
  <c r="BP6" i="23"/>
  <c r="BO6" i="23"/>
  <c r="BM6" i="23"/>
  <c r="BL6" i="23"/>
  <c r="BK6" i="23"/>
  <c r="BF6" i="23"/>
  <c r="BD6" i="23"/>
  <c r="AG6" i="23"/>
  <c r="BQ5" i="23"/>
  <c r="BP5" i="23"/>
  <c r="BO5" i="23"/>
  <c r="BM5" i="23"/>
  <c r="BL5" i="23"/>
  <c r="BK5" i="23"/>
  <c r="BF5" i="23"/>
  <c r="BD5" i="23"/>
  <c r="BQ4" i="23"/>
  <c r="BP4" i="23"/>
  <c r="BO4" i="23"/>
  <c r="BM4" i="23"/>
  <c r="BL4" i="23"/>
  <c r="BK4" i="23"/>
  <c r="BF4" i="23"/>
  <c r="BD4" i="23"/>
  <c r="BP3" i="23"/>
  <c r="BO3" i="23"/>
  <c r="BL3" i="23"/>
  <c r="BK3" i="23"/>
  <c r="BF3" i="23"/>
  <c r="BD3" i="23"/>
  <c r="K37" i="5"/>
  <c r="J37" i="5"/>
  <c r="I37" i="5"/>
  <c r="K35" i="5"/>
  <c r="J35" i="5"/>
  <c r="I35" i="5"/>
  <c r="K34" i="5"/>
  <c r="J34" i="5"/>
  <c r="I34" i="5"/>
  <c r="K33" i="5"/>
  <c r="J33" i="5"/>
  <c r="I33" i="5"/>
  <c r="K31" i="5"/>
  <c r="J31" i="5"/>
  <c r="I31" i="5"/>
  <c r="K30" i="5"/>
  <c r="J30" i="5"/>
  <c r="I30" i="5"/>
  <c r="K29" i="5"/>
  <c r="J29" i="5"/>
  <c r="I29" i="5"/>
  <c r="F22" i="5"/>
  <c r="E22" i="5"/>
  <c r="H21" i="5"/>
  <c r="H18" i="5"/>
  <c r="Q17" i="5"/>
  <c r="H17" i="5"/>
  <c r="Q16" i="5"/>
  <c r="H16" i="5"/>
  <c r="Q15" i="5"/>
  <c r="H15" i="5"/>
  <c r="H14" i="5"/>
  <c r="I153" i="22"/>
  <c r="E153" i="22"/>
  <c r="B153" i="22"/>
  <c r="I152" i="22"/>
  <c r="E152" i="22"/>
  <c r="B152" i="22"/>
  <c r="I151" i="22"/>
  <c r="E151" i="22"/>
  <c r="B151" i="22"/>
  <c r="E150" i="22"/>
  <c r="B150" i="22"/>
  <c r="E149" i="22"/>
  <c r="B149" i="22"/>
  <c r="B148" i="22"/>
  <c r="B147" i="22"/>
  <c r="E137" i="22"/>
  <c r="E138" i="22" s="1"/>
  <c r="E139" i="22" s="1"/>
  <c r="E140" i="22" s="1"/>
  <c r="E141" i="22" s="1"/>
  <c r="E142" i="22" s="1"/>
  <c r="E143" i="22" s="1"/>
  <c r="E144" i="22" s="1"/>
  <c r="E145" i="22" s="1"/>
  <c r="E146" i="22" s="1"/>
  <c r="E147" i="22" s="1"/>
  <c r="E148" i="22" s="1"/>
  <c r="O128" i="22"/>
  <c r="N128" i="22"/>
  <c r="L128" i="22"/>
  <c r="V121" i="22" a="1"/>
  <c r="U121" i="22" a="1"/>
  <c r="F120" i="22" s="1" a="1"/>
  <c r="T121" i="22" a="1"/>
  <c r="C120" i="22" s="1" a="1"/>
  <c r="R116" i="22"/>
  <c r="Q116" i="22"/>
  <c r="P116" i="22"/>
  <c r="N108" i="22"/>
  <c r="K108" i="22"/>
  <c r="N107" i="22"/>
  <c r="K107" i="22"/>
  <c r="N106" i="22"/>
  <c r="K106" i="22"/>
  <c r="N104" i="22"/>
  <c r="K104" i="22"/>
  <c r="I104" i="22"/>
  <c r="N103" i="22"/>
  <c r="K103" i="22"/>
  <c r="N102" i="22"/>
  <c r="K102" i="22"/>
  <c r="N97" i="22"/>
  <c r="E97" i="22"/>
  <c r="E96" i="22"/>
  <c r="E95" i="22"/>
  <c r="E94" i="22"/>
  <c r="O69" i="22"/>
  <c r="N69" i="22"/>
  <c r="P69" i="22" s="1"/>
  <c r="Q69" i="22" s="1"/>
  <c r="R69" i="22" s="1"/>
  <c r="I69" i="22"/>
  <c r="H69" i="22"/>
  <c r="J69" i="22" s="1"/>
  <c r="K69" i="22" s="1"/>
  <c r="L69" i="22" s="1"/>
  <c r="C69" i="22"/>
  <c r="B69" i="22"/>
  <c r="D69" i="22" s="1"/>
  <c r="E69" i="22" s="1"/>
  <c r="F69" i="22" s="1"/>
  <c r="O68" i="22"/>
  <c r="N68" i="22"/>
  <c r="P68" i="22" s="1"/>
  <c r="Q68" i="22" s="1"/>
  <c r="R68" i="22" s="1"/>
  <c r="I68" i="22"/>
  <c r="H68" i="22"/>
  <c r="J68" i="22" s="1"/>
  <c r="K68" i="22" s="1"/>
  <c r="L68" i="22" s="1"/>
  <c r="C68" i="22"/>
  <c r="B68" i="22"/>
  <c r="D68" i="22" s="1"/>
  <c r="E68" i="22" s="1"/>
  <c r="F68" i="22" s="1"/>
  <c r="O67" i="22"/>
  <c r="N67" i="22"/>
  <c r="P67" i="22" s="1"/>
  <c r="Q67" i="22" s="1"/>
  <c r="R67" i="22" s="1"/>
  <c r="I67" i="22"/>
  <c r="H67" i="22"/>
  <c r="J67" i="22" s="1"/>
  <c r="K67" i="22" s="1"/>
  <c r="L67" i="22" s="1"/>
  <c r="C67" i="22"/>
  <c r="B67" i="22"/>
  <c r="D67" i="22" s="1"/>
  <c r="E67" i="22" s="1"/>
  <c r="F67" i="22" s="1"/>
  <c r="I66" i="22"/>
  <c r="H66" i="22"/>
  <c r="J66" i="22" s="1"/>
  <c r="K66" i="22" s="1"/>
  <c r="L66" i="22" s="1"/>
  <c r="C66" i="22"/>
  <c r="B66" i="22"/>
  <c r="D66" i="22" s="1"/>
  <c r="E66" i="22" s="1"/>
  <c r="F66" i="22" s="1"/>
  <c r="I65" i="22"/>
  <c r="H65" i="22"/>
  <c r="J65" i="22" s="1"/>
  <c r="K65" i="22" s="1"/>
  <c r="L65" i="22" s="1"/>
  <c r="C65" i="22"/>
  <c r="B65" i="22"/>
  <c r="D65" i="22" s="1"/>
  <c r="E65" i="22" s="1"/>
  <c r="F65" i="22" s="1"/>
  <c r="I64" i="22"/>
  <c r="C64" i="22"/>
  <c r="B64" i="22"/>
  <c r="D64" i="22" s="1"/>
  <c r="E64" i="22" s="1"/>
  <c r="F64" i="22" s="1"/>
  <c r="I63" i="22"/>
  <c r="C63" i="22"/>
  <c r="B63" i="22"/>
  <c r="D63" i="22" s="1"/>
  <c r="E63" i="22" s="1"/>
  <c r="F63" i="22" s="1"/>
  <c r="I62" i="22"/>
  <c r="C62" i="22"/>
  <c r="I61" i="22"/>
  <c r="C61" i="22"/>
  <c r="I60" i="22"/>
  <c r="C60" i="22"/>
  <c r="I59" i="22"/>
  <c r="C59" i="22"/>
  <c r="I58" i="22"/>
  <c r="C58" i="22"/>
  <c r="I57" i="22"/>
  <c r="C57" i="22"/>
  <c r="I56" i="22"/>
  <c r="C56" i="22"/>
  <c r="I55" i="22"/>
  <c r="C55" i="22"/>
  <c r="I54" i="22"/>
  <c r="C54" i="22"/>
  <c r="I53" i="22"/>
  <c r="C53" i="22"/>
  <c r="I52" i="22"/>
  <c r="C52" i="22"/>
  <c r="I51" i="22"/>
  <c r="C51" i="22"/>
  <c r="I50" i="22"/>
  <c r="C50" i="22"/>
  <c r="I49" i="22"/>
  <c r="C49" i="22"/>
  <c r="I48" i="22"/>
  <c r="C48" i="22"/>
  <c r="I47" i="22"/>
  <c r="C47" i="22"/>
  <c r="I46" i="22"/>
  <c r="C46" i="22"/>
  <c r="I45" i="22"/>
  <c r="C45" i="22"/>
  <c r="I44" i="22"/>
  <c r="H44" i="22"/>
  <c r="C44" i="22"/>
  <c r="I43" i="22"/>
  <c r="C43" i="22"/>
  <c r="I42" i="22"/>
  <c r="C42" i="22"/>
  <c r="B42" i="22"/>
  <c r="I41" i="22"/>
  <c r="C41" i="22"/>
  <c r="B41" i="22"/>
  <c r="D41" i="22" s="1"/>
  <c r="E41" i="22" s="1"/>
  <c r="F41" i="22" s="1"/>
  <c r="I40" i="22"/>
  <c r="C40" i="22"/>
  <c r="I39" i="22"/>
  <c r="C39" i="22"/>
  <c r="I38" i="22"/>
  <c r="C38" i="22"/>
  <c r="Q36" i="22"/>
  <c r="P36" i="22"/>
  <c r="K36" i="22"/>
  <c r="J36" i="22"/>
  <c r="E36" i="22"/>
  <c r="D36" i="22"/>
  <c r="K26" i="22"/>
  <c r="J26" i="22"/>
  <c r="I26" i="22"/>
  <c r="K24" i="22"/>
  <c r="J24" i="22"/>
  <c r="K23" i="22"/>
  <c r="J23" i="22"/>
  <c r="I23" i="22"/>
  <c r="K22" i="22"/>
  <c r="J22" i="22"/>
  <c r="I22" i="22"/>
  <c r="K20" i="22"/>
  <c r="J20" i="22"/>
  <c r="I20" i="22"/>
  <c r="K19" i="22"/>
  <c r="J19" i="22"/>
  <c r="I19" i="22"/>
  <c r="K18" i="22"/>
  <c r="J18" i="22"/>
  <c r="I18" i="22"/>
  <c r="N13" i="22"/>
  <c r="J13" i="22"/>
  <c r="E13" i="22"/>
  <c r="B13" i="22"/>
  <c r="N12" i="22"/>
  <c r="J12" i="22"/>
  <c r="E12" i="22"/>
  <c r="B12" i="22"/>
  <c r="N11" i="22"/>
  <c r="J11" i="22"/>
  <c r="E11" i="22"/>
  <c r="B11" i="22"/>
  <c r="E10" i="22"/>
  <c r="B10" i="22"/>
  <c r="B8" i="22"/>
  <c r="AH215" i="21"/>
  <c r="AG215" i="21"/>
  <c r="AH213" i="21"/>
  <c r="AH209" i="21"/>
  <c r="AG209" i="21"/>
  <c r="AH208" i="21"/>
  <c r="AG208" i="21"/>
  <c r="AH203" i="21"/>
  <c r="AH202" i="21"/>
  <c r="AG198" i="21"/>
  <c r="AH193" i="21"/>
  <c r="AG193" i="21"/>
  <c r="AH191" i="21"/>
  <c r="AH187" i="21"/>
  <c r="AG187" i="21"/>
  <c r="AH186" i="21"/>
  <c r="AG186" i="21"/>
  <c r="AH181" i="21"/>
  <c r="AH180" i="21"/>
  <c r="AG176" i="21"/>
  <c r="AH170" i="21"/>
  <c r="AG170" i="21"/>
  <c r="AH168" i="21"/>
  <c r="AH164" i="21"/>
  <c r="AG164" i="21"/>
  <c r="AH163" i="21"/>
  <c r="AG163" i="21"/>
  <c r="AG153" i="21"/>
  <c r="AH145" i="21"/>
  <c r="AG145" i="21"/>
  <c r="AH143" i="21"/>
  <c r="AH139" i="21"/>
  <c r="AG139" i="21"/>
  <c r="AH138" i="21"/>
  <c r="AG138" i="21"/>
  <c r="AH132" i="21"/>
  <c r="AG128" i="21"/>
  <c r="AH120" i="21"/>
  <c r="AG120" i="21"/>
  <c r="AH118" i="21"/>
  <c r="AH114" i="21"/>
  <c r="AG114" i="21"/>
  <c r="AH113" i="21"/>
  <c r="AG113" i="21"/>
  <c r="F113" i="21"/>
  <c r="H112" i="21"/>
  <c r="Q109" i="21"/>
  <c r="H109" i="21"/>
  <c r="H108" i="21"/>
  <c r="AH107" i="21"/>
  <c r="Q107" i="21"/>
  <c r="H107" i="21"/>
  <c r="Q106" i="21"/>
  <c r="AG103" i="21"/>
  <c r="AO97" i="21"/>
  <c r="AN97" i="21"/>
  <c r="AO95" i="21"/>
  <c r="AH95" i="21"/>
  <c r="AG95" i="21"/>
  <c r="AH93" i="21"/>
  <c r="AA93" i="21"/>
  <c r="AA92" i="21"/>
  <c r="AO91" i="21"/>
  <c r="AN91" i="21"/>
  <c r="AA91" i="21"/>
  <c r="AO90" i="21"/>
  <c r="AN90" i="21"/>
  <c r="AA90" i="21"/>
  <c r="AH89" i="21"/>
  <c r="AG89" i="21"/>
  <c r="AA89" i="21"/>
  <c r="AH88" i="21"/>
  <c r="AG88" i="21"/>
  <c r="AA88" i="21"/>
  <c r="AA87" i="21"/>
  <c r="AA86" i="21"/>
  <c r="AA85" i="21"/>
  <c r="AA84" i="21"/>
  <c r="AA83" i="21"/>
  <c r="AA82" i="21"/>
  <c r="AA81" i="21"/>
  <c r="AN80" i="21"/>
  <c r="AA80" i="21"/>
  <c r="AG78" i="21"/>
  <c r="AN53" i="21"/>
  <c r="AK53" i="21"/>
  <c r="AJ53" i="21"/>
  <c r="AG53" i="21"/>
  <c r="AN52" i="21"/>
  <c r="AK52" i="21"/>
  <c r="AJ52" i="21"/>
  <c r="AG52" i="21"/>
  <c r="AN51" i="21"/>
  <c r="AK51" i="21"/>
  <c r="AJ51" i="21"/>
  <c r="AG51" i="21"/>
  <c r="AN50" i="21"/>
  <c r="AK50" i="21"/>
  <c r="AJ50" i="21"/>
  <c r="AG50" i="21"/>
  <c r="AN49" i="21"/>
  <c r="AK49" i="21"/>
  <c r="AJ49" i="21"/>
  <c r="AG49" i="21"/>
  <c r="AN48" i="21"/>
  <c r="AK48" i="21"/>
  <c r="AJ48" i="21"/>
  <c r="AG48" i="21"/>
  <c r="AN47" i="21"/>
  <c r="AK41" i="21"/>
  <c r="Z55" i="21" s="1"/>
  <c r="AJ41" i="21"/>
  <c r="Z54" i="21" s="1"/>
  <c r="AI41" i="21"/>
  <c r="AH41" i="21"/>
  <c r="AG41" i="21"/>
  <c r="AF41" i="21"/>
  <c r="AE41" i="21"/>
  <c r="AD41" i="21"/>
  <c r="AC41" i="21"/>
  <c r="AI40" i="21"/>
  <c r="AB211" i="21" s="1"/>
  <c r="AH40" i="21"/>
  <c r="AB189" i="21" s="1"/>
  <c r="AG40" i="21"/>
  <c r="AB166" i="21" s="1"/>
  <c r="AF40" i="21"/>
  <c r="AB141" i="21" s="1"/>
  <c r="AE40" i="21"/>
  <c r="AB117" i="21" s="1"/>
  <c r="AD40" i="21"/>
  <c r="AB92" i="21" s="1"/>
  <c r="AC40" i="21"/>
  <c r="AI39" i="21"/>
  <c r="AB210" i="21" s="1"/>
  <c r="AH39" i="21"/>
  <c r="AB188" i="21" s="1"/>
  <c r="AG39" i="21"/>
  <c r="AB165" i="21" s="1"/>
  <c r="AF39" i="21"/>
  <c r="AB140" i="21" s="1"/>
  <c r="AE39" i="21"/>
  <c r="AB116" i="21" s="1"/>
  <c r="AD39" i="21"/>
  <c r="AB91" i="21" s="1"/>
  <c r="AC39" i="21"/>
  <c r="AI38" i="21"/>
  <c r="AB209" i="21" s="1"/>
  <c r="AH38" i="21"/>
  <c r="AB187" i="21" s="1"/>
  <c r="AG38" i="21"/>
  <c r="AB164" i="21" s="1"/>
  <c r="AF38" i="21"/>
  <c r="AB139" i="21" s="1"/>
  <c r="AE38" i="21"/>
  <c r="AB115" i="21" s="1"/>
  <c r="AD38" i="21"/>
  <c r="AB90" i="21" s="1"/>
  <c r="AC38" i="21"/>
  <c r="AI37" i="21"/>
  <c r="AB208" i="21" s="1"/>
  <c r="AH37" i="21"/>
  <c r="AB186" i="21" s="1"/>
  <c r="AG37" i="21"/>
  <c r="AB163" i="21" s="1"/>
  <c r="AF37" i="21"/>
  <c r="AB138" i="21" s="1"/>
  <c r="AE37" i="21"/>
  <c r="AB114" i="21" s="1"/>
  <c r="AD37" i="21"/>
  <c r="AB89" i="21" s="1"/>
  <c r="AC37" i="21"/>
  <c r="AI36" i="21"/>
  <c r="AB207" i="21" s="1"/>
  <c r="AH36" i="21"/>
  <c r="AB185" i="21" s="1"/>
  <c r="AG36" i="21"/>
  <c r="AB162" i="21" s="1"/>
  <c r="AF36" i="21"/>
  <c r="AB137" i="21" s="1"/>
  <c r="AE36" i="21"/>
  <c r="AB113" i="21" s="1"/>
  <c r="AD36" i="21"/>
  <c r="AB88" i="21" s="1"/>
  <c r="AC36" i="21"/>
  <c r="Z36" i="21"/>
  <c r="AI35" i="21"/>
  <c r="AB206" i="21" s="1"/>
  <c r="AH35" i="21"/>
  <c r="AB184" i="21" s="1"/>
  <c r="AG35" i="21"/>
  <c r="AB161" i="21" s="1"/>
  <c r="AF35" i="21"/>
  <c r="AB136" i="21" s="1"/>
  <c r="AE35" i="21"/>
  <c r="AB112" i="21" s="1"/>
  <c r="AD35" i="21"/>
  <c r="AB87" i="21" s="1"/>
  <c r="AC35" i="21"/>
  <c r="AI34" i="21"/>
  <c r="AB205" i="21" s="1"/>
  <c r="AH34" i="21"/>
  <c r="AB183" i="21" s="1"/>
  <c r="AG34" i="21"/>
  <c r="AB160" i="21" s="1"/>
  <c r="AF34" i="21"/>
  <c r="AB135" i="21" s="1"/>
  <c r="AE34" i="21"/>
  <c r="AB111" i="21" s="1"/>
  <c r="AD34" i="21"/>
  <c r="AB86" i="21" s="1"/>
  <c r="AC34" i="21"/>
  <c r="AI33" i="21"/>
  <c r="AB204" i="21" s="1"/>
  <c r="AH33" i="21"/>
  <c r="AB182" i="21" s="1"/>
  <c r="AG33" i="21"/>
  <c r="AB159" i="21" s="1"/>
  <c r="AF33" i="21"/>
  <c r="AB134" i="21" s="1"/>
  <c r="AE33" i="21"/>
  <c r="AB110" i="21" s="1"/>
  <c r="AD33" i="21"/>
  <c r="AB85" i="21" s="1"/>
  <c r="AC33" i="21"/>
  <c r="AI32" i="21"/>
  <c r="AB203" i="21" s="1"/>
  <c r="AH32" i="21"/>
  <c r="AB181" i="21" s="1"/>
  <c r="AG32" i="21"/>
  <c r="AB158" i="21" s="1"/>
  <c r="AF32" i="21"/>
  <c r="AB133" i="21" s="1"/>
  <c r="AE32" i="21"/>
  <c r="AB109" i="21" s="1"/>
  <c r="AD32" i="21"/>
  <c r="AB84" i="21" s="1"/>
  <c r="AC32" i="21"/>
  <c r="AI31" i="21"/>
  <c r="AB202" i="21" s="1"/>
  <c r="AH31" i="21"/>
  <c r="AB180" i="21" s="1"/>
  <c r="AG31" i="21"/>
  <c r="AB157" i="21" s="1"/>
  <c r="AF31" i="21"/>
  <c r="AB132" i="21" s="1"/>
  <c r="AE31" i="21"/>
  <c r="AB108" i="21" s="1"/>
  <c r="AD31" i="21"/>
  <c r="AB83" i="21" s="1"/>
  <c r="AC31" i="21"/>
  <c r="AI30" i="21"/>
  <c r="AB201" i="21" s="1"/>
  <c r="AH30" i="21"/>
  <c r="AB179" i="21" s="1"/>
  <c r="AG30" i="21"/>
  <c r="AB156" i="21" s="1"/>
  <c r="AF30" i="21"/>
  <c r="AB131" i="21" s="1"/>
  <c r="AE30" i="21"/>
  <c r="AB107" i="21" s="1"/>
  <c r="AD30" i="21"/>
  <c r="AB82" i="21" s="1"/>
  <c r="AC30" i="21"/>
  <c r="AI29" i="21"/>
  <c r="AB200" i="21" s="1"/>
  <c r="AH29" i="21"/>
  <c r="AB178" i="21" s="1"/>
  <c r="AG29" i="21"/>
  <c r="AB155" i="21" s="1"/>
  <c r="AF29" i="21"/>
  <c r="AB130" i="21" s="1"/>
  <c r="AE29" i="21"/>
  <c r="AB106" i="21" s="1"/>
  <c r="AD29" i="21"/>
  <c r="AB81" i="21" s="1"/>
  <c r="AC29" i="21"/>
  <c r="AK28" i="21"/>
  <c r="AJ28" i="21"/>
  <c r="AI28" i="21"/>
  <c r="AB199" i="21" s="1"/>
  <c r="AH28" i="21"/>
  <c r="AB177" i="21" s="1"/>
  <c r="AG28" i="21"/>
  <c r="AB154" i="21" s="1"/>
  <c r="AF28" i="21"/>
  <c r="AB129" i="21" s="1"/>
  <c r="AE28" i="21"/>
  <c r="AB105" i="21" s="1"/>
  <c r="AD28" i="21"/>
  <c r="AC28" i="21"/>
  <c r="Z21" i="21"/>
  <c r="F21" i="21"/>
  <c r="H20" i="21"/>
  <c r="H17" i="21"/>
  <c r="Q16" i="21"/>
  <c r="Q110" i="21" s="1"/>
  <c r="H16" i="21"/>
  <c r="Q15" i="21"/>
  <c r="H15" i="21"/>
  <c r="Z14" i="21"/>
  <c r="Q14" i="21"/>
  <c r="Q108" i="21" s="1"/>
  <c r="H14" i="21"/>
  <c r="Z13" i="21"/>
  <c r="Z17" i="21" s="1"/>
  <c r="H13" i="21"/>
  <c r="AG9" i="21"/>
  <c r="Z1" i="21"/>
  <c r="C81" i="14"/>
  <c r="AH79" i="14"/>
  <c r="AH78" i="14"/>
  <c r="AI66" i="14"/>
  <c r="AI62" i="14"/>
  <c r="R58" i="14"/>
  <c r="U57" i="14"/>
  <c r="R57" i="14"/>
  <c r="U56" i="14"/>
  <c r="R56" i="14"/>
  <c r="U55" i="14"/>
  <c r="R55" i="14"/>
  <c r="AD53" i="14"/>
  <c r="AB53" i="14"/>
  <c r="Y53" i="14"/>
  <c r="U52" i="14"/>
  <c r="R52" i="14"/>
  <c r="AI34" i="14"/>
  <c r="AB34" i="14"/>
  <c r="Y34" i="14"/>
  <c r="V34" i="14"/>
  <c r="S34" i="14"/>
  <c r="AI33" i="14"/>
  <c r="AB33" i="14"/>
  <c r="Y33" i="14"/>
  <c r="V33" i="14"/>
  <c r="S33" i="14"/>
  <c r="AI32" i="14"/>
  <c r="AB32" i="14"/>
  <c r="Y32" i="14"/>
  <c r="V32" i="14"/>
  <c r="S32" i="14"/>
  <c r="AB31" i="14"/>
  <c r="Y31" i="14"/>
  <c r="V31" i="14"/>
  <c r="S31" i="14"/>
  <c r="AI30" i="14" a="1"/>
  <c r="AB28" i="14"/>
  <c r="Y28" i="14"/>
  <c r="V28" i="14"/>
  <c r="S28" i="14"/>
  <c r="AJ27" i="14"/>
  <c r="AI27" i="14"/>
  <c r="AJ26" i="14"/>
  <c r="AI26" i="14"/>
  <c r="H23" i="14"/>
  <c r="E23" i="14"/>
  <c r="K22" i="14"/>
  <c r="AL21" i="14"/>
  <c r="AJ21" i="14"/>
  <c r="AL20" i="14"/>
  <c r="AC18" i="14"/>
  <c r="K18" i="14"/>
  <c r="AC17" i="14"/>
  <c r="K17" i="14"/>
  <c r="AC16" i="14"/>
  <c r="K16" i="14"/>
  <c r="K15" i="14"/>
  <c r="K14" i="14"/>
  <c r="X147" i="4"/>
  <c r="X143" i="4"/>
  <c r="X140" i="4"/>
  <c r="X136" i="4"/>
  <c r="X132" i="4"/>
  <c r="X128" i="4"/>
  <c r="X124" i="4"/>
  <c r="X120" i="4"/>
  <c r="X116" i="4"/>
  <c r="W77" i="4"/>
  <c r="W75" i="4"/>
  <c r="G24" i="4"/>
  <c r="F24" i="4"/>
  <c r="H23" i="4"/>
  <c r="O19" i="4"/>
  <c r="H19" i="4"/>
  <c r="O18" i="4"/>
  <c r="H18" i="4"/>
  <c r="O17" i="4"/>
  <c r="H17" i="4"/>
  <c r="H16" i="4"/>
  <c r="H15" i="4"/>
  <c r="D58" i="3"/>
  <c r="E58" i="3" s="1"/>
  <c r="D57" i="3"/>
  <c r="E57" i="3" s="1"/>
  <c r="D56" i="3"/>
  <c r="E56" i="3" s="1"/>
  <c r="D55" i="3"/>
  <c r="E55" i="3" s="1"/>
  <c r="D54" i="3"/>
  <c r="E54" i="3" s="1"/>
  <c r="D53" i="3"/>
  <c r="E53" i="3" s="1"/>
  <c r="D52" i="3"/>
  <c r="E52" i="3" s="1"/>
  <c r="D51" i="3"/>
  <c r="E51" i="3" s="1"/>
  <c r="D50" i="3"/>
  <c r="L43" i="3"/>
  <c r="I43" i="3"/>
  <c r="D41" i="3"/>
  <c r="D35" i="3"/>
  <c r="D34" i="3"/>
  <c r="D33" i="3"/>
  <c r="D32" i="3"/>
  <c r="D31" i="3"/>
  <c r="D30" i="3"/>
  <c r="D29" i="3"/>
  <c r="D28" i="3"/>
  <c r="D27" i="3"/>
  <c r="AT26" i="3"/>
  <c r="AS26" i="3"/>
  <c r="AR26" i="3"/>
  <c r="AQ26" i="3"/>
  <c r="AP26" i="3"/>
  <c r="AK26" i="3"/>
  <c r="AJ26" i="3"/>
  <c r="AI26" i="3"/>
  <c r="AH26" i="3"/>
  <c r="AG26" i="3"/>
  <c r="AC26" i="3"/>
  <c r="D26" i="3"/>
  <c r="AT25" i="3"/>
  <c r="AS25" i="3"/>
  <c r="AR25" i="3"/>
  <c r="AQ25" i="3"/>
  <c r="AP25" i="3"/>
  <c r="AK25" i="3"/>
  <c r="AJ25" i="3"/>
  <c r="AI25" i="3"/>
  <c r="AH25" i="3"/>
  <c r="AG25" i="3"/>
  <c r="AC25" i="3"/>
  <c r="D25" i="3"/>
  <c r="AZ24" i="3"/>
  <c r="AY24" i="3"/>
  <c r="AT24" i="3"/>
  <c r="AS24" i="3"/>
  <c r="AR24" i="3"/>
  <c r="AQ24" i="3"/>
  <c r="AP24" i="3"/>
  <c r="AK24" i="3"/>
  <c r="AJ24" i="3"/>
  <c r="AI24" i="3"/>
  <c r="AH24" i="3"/>
  <c r="AG24" i="3"/>
  <c r="AC24" i="3"/>
  <c r="D24" i="3"/>
  <c r="AZ23" i="3"/>
  <c r="AY23" i="3"/>
  <c r="AT23" i="3"/>
  <c r="AS23" i="3"/>
  <c r="AR23" i="3"/>
  <c r="AQ23" i="3"/>
  <c r="AP23" i="3"/>
  <c r="AK23" i="3"/>
  <c r="AJ23" i="3"/>
  <c r="AI23" i="3"/>
  <c r="AH23" i="3"/>
  <c r="AG23" i="3"/>
  <c r="AC23" i="3"/>
  <c r="D23" i="3"/>
  <c r="AZ22" i="3"/>
  <c r="AY22" i="3"/>
  <c r="AT22" i="3"/>
  <c r="AS22" i="3"/>
  <c r="AR22" i="3"/>
  <c r="AQ22" i="3"/>
  <c r="AP22" i="3"/>
  <c r="AK22" i="3"/>
  <c r="AJ22" i="3"/>
  <c r="AI22" i="3"/>
  <c r="AH22" i="3"/>
  <c r="AG22" i="3"/>
  <c r="AC22" i="3"/>
  <c r="D22" i="3"/>
  <c r="D36" i="3" s="1"/>
  <c r="AZ21" i="3"/>
  <c r="AY21" i="3"/>
  <c r="AT21" i="3"/>
  <c r="AS21" i="3"/>
  <c r="AR21" i="3"/>
  <c r="AQ21" i="3"/>
  <c r="AP21" i="3"/>
  <c r="AK21" i="3"/>
  <c r="AJ21" i="3"/>
  <c r="AI21" i="3"/>
  <c r="AH21" i="3"/>
  <c r="AG21" i="3"/>
  <c r="AC21" i="3"/>
  <c r="AZ20" i="3"/>
  <c r="AY20" i="3"/>
  <c r="AT20" i="3"/>
  <c r="AS20" i="3"/>
  <c r="AR20" i="3"/>
  <c r="AQ20" i="3"/>
  <c r="AP20" i="3"/>
  <c r="AK20" i="3"/>
  <c r="AJ20" i="3"/>
  <c r="AI20" i="3"/>
  <c r="AH20" i="3"/>
  <c r="AG20" i="3"/>
  <c r="AC20" i="3"/>
  <c r="AZ19" i="3"/>
  <c r="AY19" i="3"/>
  <c r="AT19" i="3"/>
  <c r="AS19" i="3"/>
  <c r="AR19" i="3"/>
  <c r="AQ19" i="3"/>
  <c r="AP19" i="3"/>
  <c r="AK19" i="3"/>
  <c r="AJ19" i="3"/>
  <c r="AI19" i="3"/>
  <c r="AH19" i="3"/>
  <c r="AG19" i="3"/>
  <c r="AC19" i="3"/>
  <c r="AZ18" i="3"/>
  <c r="AY18" i="3"/>
  <c r="AT18" i="3"/>
  <c r="AS18" i="3"/>
  <c r="AR18" i="3"/>
  <c r="AQ18" i="3"/>
  <c r="AP18" i="3"/>
  <c r="AK18" i="3"/>
  <c r="AJ18" i="3"/>
  <c r="AI18" i="3"/>
  <c r="AH18" i="3"/>
  <c r="AG18" i="3"/>
  <c r="AC18" i="3"/>
  <c r="AZ17" i="3"/>
  <c r="AY17" i="3"/>
  <c r="AT17" i="3"/>
  <c r="AS17" i="3"/>
  <c r="AR17" i="3"/>
  <c r="AQ17" i="3"/>
  <c r="AP17" i="3"/>
  <c r="AK17" i="3"/>
  <c r="AJ17" i="3"/>
  <c r="AI17" i="3"/>
  <c r="AH17" i="3"/>
  <c r="AG17" i="3"/>
  <c r="AC17" i="3"/>
  <c r="AZ16" i="3"/>
  <c r="AY16" i="3"/>
  <c r="AT16" i="3"/>
  <c r="AS16" i="3"/>
  <c r="AR16" i="3"/>
  <c r="AQ16" i="3"/>
  <c r="AP16" i="3"/>
  <c r="AK16" i="3"/>
  <c r="AJ16" i="3"/>
  <c r="AI16" i="3"/>
  <c r="AH16" i="3"/>
  <c r="AG16" i="3"/>
  <c r="AC16" i="3"/>
  <c r="AZ15" i="3"/>
  <c r="AY15" i="3"/>
  <c r="AT15" i="3"/>
  <c r="AS15" i="3"/>
  <c r="AR15" i="3"/>
  <c r="AQ15" i="3"/>
  <c r="AP15" i="3"/>
  <c r="AK15" i="3"/>
  <c r="AJ15" i="3"/>
  <c r="AI15" i="3"/>
  <c r="AH15" i="3"/>
  <c r="AG15" i="3"/>
  <c r="AC15" i="3"/>
  <c r="AT14" i="3"/>
  <c r="AS14" i="3"/>
  <c r="AR14" i="3"/>
  <c r="AQ14" i="3"/>
  <c r="AP14" i="3"/>
  <c r="AK14" i="3"/>
  <c r="AJ14" i="3"/>
  <c r="AI14" i="3"/>
  <c r="AH14" i="3"/>
  <c r="AG14" i="3"/>
  <c r="AC14" i="3"/>
  <c r="AK13" i="3"/>
  <c r="AJ13" i="3"/>
  <c r="AI13" i="3"/>
  <c r="AH13" i="3"/>
  <c r="AG13" i="3"/>
  <c r="AC13" i="3"/>
  <c r="C12" i="3"/>
  <c r="C11" i="3"/>
  <c r="C10" i="3"/>
  <c r="G5" i="3"/>
  <c r="AT4" i="3"/>
  <c r="AS4" i="3"/>
  <c r="AR4" i="3"/>
  <c r="AQ4" i="3"/>
  <c r="AP4" i="3"/>
  <c r="AL3" i="3"/>
  <c r="AB3" i="3"/>
  <c r="AA3" i="3"/>
  <c r="U3" i="3"/>
  <c r="T3" i="3"/>
  <c r="S3" i="3"/>
  <c r="R3" i="3"/>
  <c r="Q3" i="3"/>
  <c r="O3" i="3"/>
  <c r="N3" i="3"/>
  <c r="L3" i="3"/>
  <c r="K3" i="3"/>
  <c r="G3" i="3"/>
  <c r="M3" i="3" s="1"/>
  <c r="S124" i="12"/>
  <c r="S123" i="12"/>
  <c r="R123" i="12"/>
  <c r="S122" i="12"/>
  <c r="R122" i="12"/>
  <c r="S121" i="12"/>
  <c r="R121" i="12"/>
  <c r="S120" i="12"/>
  <c r="R120" i="12"/>
  <c r="S119" i="12"/>
  <c r="R119" i="12"/>
  <c r="S118" i="12"/>
  <c r="R118" i="12"/>
  <c r="S117" i="12"/>
  <c r="R117" i="12"/>
  <c r="S116" i="12"/>
  <c r="R116" i="12"/>
  <c r="S115" i="12"/>
  <c r="R115" i="12"/>
  <c r="S114" i="12"/>
  <c r="R114" i="12"/>
  <c r="S113" i="12"/>
  <c r="R113" i="12"/>
  <c r="S112" i="12"/>
  <c r="R112" i="12"/>
  <c r="L112" i="12"/>
  <c r="K112" i="12"/>
  <c r="S111" i="12"/>
  <c r="R111" i="12"/>
  <c r="L111" i="12"/>
  <c r="K111" i="12"/>
  <c r="S110" i="12"/>
  <c r="R110" i="12"/>
  <c r="L110" i="12"/>
  <c r="K110" i="12"/>
  <c r="S109" i="12"/>
  <c r="R109" i="12"/>
  <c r="L109" i="12"/>
  <c r="K109" i="12"/>
  <c r="S108" i="12"/>
  <c r="R108" i="12"/>
  <c r="L108" i="12"/>
  <c r="K108" i="12"/>
  <c r="S107" i="12"/>
  <c r="R107" i="12"/>
  <c r="L107" i="12"/>
  <c r="K107" i="12"/>
  <c r="S106" i="12"/>
  <c r="R106" i="12"/>
  <c r="L106" i="12"/>
  <c r="K106" i="12"/>
  <c r="S105" i="12"/>
  <c r="R105" i="12"/>
  <c r="L105" i="12"/>
  <c r="K105" i="12"/>
  <c r="S104" i="12"/>
  <c r="R104" i="12"/>
  <c r="L104" i="12"/>
  <c r="K104" i="12"/>
  <c r="S103" i="12"/>
  <c r="R103" i="12"/>
  <c r="L103" i="12"/>
  <c r="K103" i="12"/>
  <c r="S102" i="12"/>
  <c r="R102" i="12"/>
  <c r="L102" i="12"/>
  <c r="K102" i="12"/>
  <c r="S101" i="12"/>
  <c r="R101" i="12"/>
  <c r="L101" i="12"/>
  <c r="K101" i="12"/>
  <c r="S100" i="12"/>
  <c r="R100" i="12"/>
  <c r="L100" i="12"/>
  <c r="K100" i="12"/>
  <c r="S99" i="12"/>
  <c r="R99" i="12"/>
  <c r="L99" i="12"/>
  <c r="K99" i="12"/>
  <c r="S98" i="12"/>
  <c r="R98" i="12"/>
  <c r="L98" i="12"/>
  <c r="K98" i="12"/>
  <c r="S97" i="12"/>
  <c r="R97" i="12"/>
  <c r="L97" i="12"/>
  <c r="K97" i="12"/>
  <c r="S96" i="12"/>
  <c r="R96" i="12"/>
  <c r="L96" i="12"/>
  <c r="K96" i="12"/>
  <c r="S95" i="12"/>
  <c r="R95" i="12"/>
  <c r="L95" i="12"/>
  <c r="K95" i="12"/>
  <c r="S94" i="12"/>
  <c r="R94" i="12"/>
  <c r="L94" i="12"/>
  <c r="K94" i="12"/>
  <c r="S93" i="12"/>
  <c r="R93" i="12"/>
  <c r="L93" i="12"/>
  <c r="K93" i="12"/>
  <c r="S92" i="12"/>
  <c r="R92" i="12"/>
  <c r="L92" i="12"/>
  <c r="K92" i="12"/>
  <c r="S91" i="12"/>
  <c r="R91" i="12"/>
  <c r="L91" i="12"/>
  <c r="K91" i="12"/>
  <c r="S90" i="12"/>
  <c r="R90" i="12"/>
  <c r="L90" i="12"/>
  <c r="K90" i="12"/>
  <c r="S89" i="12"/>
  <c r="R89" i="12"/>
  <c r="L89" i="12"/>
  <c r="K89" i="12"/>
  <c r="S88" i="12"/>
  <c r="R88" i="12"/>
  <c r="L88" i="12"/>
  <c r="K88" i="12"/>
  <c r="S87" i="12"/>
  <c r="R87" i="12"/>
  <c r="L87" i="12"/>
  <c r="K87" i="12"/>
  <c r="S86" i="12"/>
  <c r="R86" i="12"/>
  <c r="L86" i="12"/>
  <c r="K86" i="12"/>
  <c r="S85" i="12"/>
  <c r="R85" i="12"/>
  <c r="L85" i="12"/>
  <c r="K85" i="12"/>
  <c r="S84" i="12"/>
  <c r="R84" i="12"/>
  <c r="L84" i="12"/>
  <c r="K84" i="12"/>
  <c r="S83" i="12"/>
  <c r="R83" i="12"/>
  <c r="L83" i="12"/>
  <c r="K83" i="12"/>
  <c r="S82" i="12"/>
  <c r="R82" i="12"/>
  <c r="L82" i="12"/>
  <c r="K82" i="12"/>
  <c r="S81" i="12"/>
  <c r="R81" i="12"/>
  <c r="L81" i="12"/>
  <c r="K81" i="12"/>
  <c r="S80" i="12"/>
  <c r="R80" i="12"/>
  <c r="L80" i="12"/>
  <c r="K80" i="12"/>
  <c r="S79" i="12"/>
  <c r="R79" i="12"/>
  <c r="L79" i="12"/>
  <c r="K79" i="12"/>
  <c r="S78" i="12"/>
  <c r="R78" i="12"/>
  <c r="L78" i="12"/>
  <c r="K78" i="12"/>
  <c r="S77" i="12"/>
  <c r="R77" i="12"/>
  <c r="L77" i="12"/>
  <c r="K77" i="12"/>
  <c r="S76" i="12"/>
  <c r="R76" i="12"/>
  <c r="L76" i="12"/>
  <c r="K76" i="12"/>
  <c r="S75" i="12"/>
  <c r="R75" i="12"/>
  <c r="L75" i="12"/>
  <c r="K75" i="12"/>
  <c r="S74" i="12"/>
  <c r="R74" i="12"/>
  <c r="L74" i="12"/>
  <c r="K74" i="12"/>
  <c r="S73" i="12"/>
  <c r="R73" i="12"/>
  <c r="L73" i="12"/>
  <c r="K73" i="12"/>
  <c r="S72" i="12"/>
  <c r="R72" i="12"/>
  <c r="L72" i="12"/>
  <c r="K72" i="12"/>
  <c r="S71" i="12"/>
  <c r="R71" i="12"/>
  <c r="L71" i="12"/>
  <c r="K71" i="12"/>
  <c r="S70" i="12"/>
  <c r="R70" i="12"/>
  <c r="L70" i="12"/>
  <c r="K70" i="12"/>
  <c r="S69" i="12"/>
  <c r="R69" i="12"/>
  <c r="L69" i="12"/>
  <c r="K69" i="12"/>
  <c r="S68" i="12"/>
  <c r="R68" i="12"/>
  <c r="L68" i="12"/>
  <c r="K68" i="12"/>
  <c r="S67" i="12"/>
  <c r="R67" i="12"/>
  <c r="L67" i="12"/>
  <c r="K67" i="12"/>
  <c r="S66" i="12"/>
  <c r="R66" i="12"/>
  <c r="L66" i="12"/>
  <c r="K66" i="12"/>
  <c r="S65" i="12"/>
  <c r="R65" i="12"/>
  <c r="L65" i="12"/>
  <c r="K65" i="12"/>
  <c r="S64" i="12"/>
  <c r="R64" i="12"/>
  <c r="L64" i="12"/>
  <c r="K64" i="12"/>
  <c r="S63" i="12"/>
  <c r="R63" i="12"/>
  <c r="L63" i="12"/>
  <c r="K63" i="12"/>
  <c r="S62" i="12"/>
  <c r="R62" i="12"/>
  <c r="L62" i="12"/>
  <c r="K62" i="12"/>
  <c r="S61" i="12"/>
  <c r="R61" i="12"/>
  <c r="L61" i="12"/>
  <c r="K61" i="12"/>
  <c r="S60" i="12"/>
  <c r="R60" i="12"/>
  <c r="L60" i="12"/>
  <c r="K60" i="12"/>
  <c r="S59" i="12"/>
  <c r="R59" i="12"/>
  <c r="L59" i="12"/>
  <c r="K59" i="12"/>
  <c r="S58" i="12"/>
  <c r="R58" i="12"/>
  <c r="L58" i="12"/>
  <c r="K58" i="12"/>
  <c r="S57" i="12"/>
  <c r="R57" i="12"/>
  <c r="L57" i="12"/>
  <c r="K57" i="12"/>
  <c r="S56" i="12"/>
  <c r="R56" i="12"/>
  <c r="L56" i="12"/>
  <c r="K56" i="12"/>
  <c r="S55" i="12"/>
  <c r="R55" i="12"/>
  <c r="L55" i="12"/>
  <c r="K55" i="12"/>
  <c r="S54" i="12"/>
  <c r="R54" i="12"/>
  <c r="L54" i="12"/>
  <c r="K54" i="12"/>
  <c r="L53" i="12"/>
  <c r="K53" i="12"/>
  <c r="L52" i="12"/>
  <c r="K52" i="12"/>
  <c r="L51" i="12"/>
  <c r="K51" i="12"/>
  <c r="L50" i="12"/>
  <c r="K50" i="12"/>
  <c r="L45" i="12"/>
  <c r="J36" i="12"/>
  <c r="J35" i="12"/>
  <c r="I32" i="12"/>
  <c r="I31" i="12"/>
  <c r="I30" i="12"/>
  <c r="AG29" i="12"/>
  <c r="AG28" i="12"/>
  <c r="K28" i="12"/>
  <c r="J28" i="12"/>
  <c r="N18" i="26" s="1"/>
  <c r="AH27" i="12"/>
  <c r="AG27" i="12"/>
  <c r="K27" i="12"/>
  <c r="J27" i="12"/>
  <c r="N17" i="26" s="1"/>
  <c r="K26" i="12"/>
  <c r="J26" i="12"/>
  <c r="I23" i="12"/>
  <c r="I22" i="12"/>
  <c r="K20" i="12"/>
  <c r="J20" i="12"/>
  <c r="K19" i="12"/>
  <c r="J19" i="12"/>
  <c r="K18" i="12"/>
  <c r="J18" i="12"/>
  <c r="K17" i="12"/>
  <c r="J17" i="12"/>
  <c r="J13" i="12"/>
  <c r="J11" i="12"/>
  <c r="G9" i="12"/>
  <c r="R5" i="12"/>
  <c r="M5" i="12"/>
  <c r="R4" i="12"/>
  <c r="M4" i="12"/>
  <c r="M3" i="12"/>
  <c r="M2" i="12"/>
  <c r="C176" i="13"/>
  <c r="K160" i="13"/>
  <c r="K153" i="13"/>
  <c r="K150" i="13"/>
  <c r="K119" i="13"/>
  <c r="K117" i="13"/>
  <c r="K115" i="13"/>
  <c r="K113" i="13"/>
  <c r="K110" i="13"/>
  <c r="K108" i="13"/>
  <c r="K105" i="13"/>
  <c r="K103" i="13"/>
  <c r="K101" i="13"/>
  <c r="K98" i="13"/>
  <c r="K96" i="13"/>
  <c r="K94" i="13"/>
  <c r="K92" i="13"/>
  <c r="K90" i="13"/>
  <c r="K87" i="13"/>
  <c r="K85" i="13"/>
  <c r="K83" i="13"/>
  <c r="K81" i="13"/>
  <c r="C63" i="13"/>
  <c r="K61" i="13"/>
  <c r="K59" i="13"/>
  <c r="K57" i="13"/>
  <c r="M27" i="13"/>
  <c r="M24" i="13"/>
  <c r="M21" i="13"/>
  <c r="F21" i="13"/>
  <c r="M18" i="13"/>
  <c r="F18" i="13"/>
  <c r="M15" i="13"/>
  <c r="F15" i="13"/>
  <c r="K13" i="13"/>
  <c r="F12" i="13"/>
  <c r="C11" i="13"/>
  <c r="J120" i="22" l="1" a="1"/>
  <c r="J44" i="22"/>
  <c r="K44" i="22" s="1"/>
  <c r="L44" i="22" s="1"/>
  <c r="H45" i="22"/>
  <c r="I36" i="22"/>
  <c r="L36" i="22" s="1"/>
  <c r="H37" i="22"/>
  <c r="I37" i="22"/>
  <c r="E121" i="22"/>
  <c r="E122" i="22" s="1"/>
  <c r="E123" i="22" s="1"/>
  <c r="E124" i="22" s="1"/>
  <c r="E125" i="22" s="1"/>
  <c r="E126" i="22" s="1"/>
  <c r="E127" i="22" s="1"/>
  <c r="E128" i="22" s="1"/>
  <c r="E129" i="22" s="1"/>
  <c r="E130" i="22" s="1"/>
  <c r="E131" i="22" s="1"/>
  <c r="E132" i="22" s="1"/>
  <c r="E133" i="22" s="1"/>
  <c r="E134" i="22" s="1"/>
  <c r="E135" i="22" s="1"/>
  <c r="E136" i="22" s="1"/>
  <c r="D42" i="22"/>
  <c r="E42" i="22" s="1"/>
  <c r="F42" i="22" s="1"/>
  <c r="B43" i="22"/>
  <c r="C36" i="22"/>
  <c r="F36" i="22" s="1"/>
  <c r="B37" i="22"/>
  <c r="C37" i="22"/>
  <c r="B121" i="22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F58" i="3"/>
  <c r="F57" i="3"/>
  <c r="F56" i="3"/>
  <c r="F55" i="3"/>
  <c r="F54" i="3"/>
  <c r="F53" i="3"/>
  <c r="F52" i="3"/>
  <c r="F51" i="3"/>
  <c r="D16" i="3"/>
  <c r="E50" i="3"/>
  <c r="D44" i="3"/>
  <c r="L44" i="3"/>
  <c r="L45" i="3" s="1"/>
  <c r="L46" i="3"/>
  <c r="E36" i="3"/>
  <c r="D38" i="3"/>
  <c r="J38" i="12"/>
  <c r="J37" i="12"/>
  <c r="J39" i="12" s="1"/>
  <c r="K29" i="12"/>
  <c r="J29" i="12"/>
  <c r="K21" i="12"/>
  <c r="K22" i="12" s="1"/>
  <c r="K23" i="12" s="1"/>
  <c r="J21" i="12"/>
  <c r="J22" i="12" s="1"/>
  <c r="J23" i="12" s="1"/>
  <c r="J24" i="12" s="1"/>
  <c r="Z53" i="21"/>
  <c r="AA54" i="21" s="1"/>
  <c r="AB212" i="21"/>
  <c r="Z52" i="21"/>
  <c r="AA53" i="21" s="1"/>
  <c r="AB190" i="21"/>
  <c r="AB167" i="21"/>
  <c r="Z51" i="21"/>
  <c r="AA52" i="21" s="1"/>
  <c r="AB142" i="21"/>
  <c r="Z50" i="21"/>
  <c r="AA51" i="21" s="1"/>
  <c r="Z49" i="21"/>
  <c r="AA50" i="21" s="1"/>
  <c r="AB118" i="21"/>
  <c r="AB93" i="21"/>
  <c r="Z48" i="21"/>
  <c r="AA49" i="21" s="1"/>
  <c r="AC211" i="21"/>
  <c r="AD211" i="21"/>
  <c r="AC189" i="21"/>
  <c r="AD189" i="21"/>
  <c r="AD166" i="21"/>
  <c r="AC166" i="21"/>
  <c r="AD141" i="21"/>
  <c r="AC141" i="21"/>
  <c r="AC117" i="21"/>
  <c r="AD117" i="21"/>
  <c r="AC92" i="21"/>
  <c r="AD92" i="21"/>
  <c r="AC210" i="21"/>
  <c r="AD210" i="21"/>
  <c r="AC188" i="21"/>
  <c r="AD188" i="21"/>
  <c r="AD165" i="21"/>
  <c r="AC165" i="21"/>
  <c r="AC140" i="21"/>
  <c r="AD140" i="21"/>
  <c r="AD116" i="21"/>
  <c r="AC116" i="21"/>
  <c r="AC91" i="21"/>
  <c r="AD91" i="21"/>
  <c r="AD209" i="21"/>
  <c r="AC209" i="21"/>
  <c r="AC187" i="21"/>
  <c r="AD187" i="21"/>
  <c r="AC164" i="21"/>
  <c r="AD164" i="21"/>
  <c r="AC139" i="21"/>
  <c r="AD139" i="21"/>
  <c r="AC115" i="21"/>
  <c r="AD115" i="21"/>
  <c r="AC90" i="21"/>
  <c r="AD90" i="21"/>
  <c r="AC208" i="21"/>
  <c r="AD208" i="21"/>
  <c r="AC186" i="21"/>
  <c r="AD186" i="21"/>
  <c r="AD163" i="21"/>
  <c r="AC163" i="21"/>
  <c r="AD138" i="21"/>
  <c r="AC138" i="21"/>
  <c r="AD114" i="21"/>
  <c r="AC114" i="21"/>
  <c r="AC89" i="21"/>
  <c r="AD89" i="21"/>
  <c r="AD207" i="21"/>
  <c r="AC207" i="21"/>
  <c r="AC185" i="21"/>
  <c r="AD185" i="21"/>
  <c r="AD162" i="21"/>
  <c r="AC162" i="21"/>
  <c r="AC137" i="21"/>
  <c r="AD137" i="21"/>
  <c r="AC113" i="21"/>
  <c r="AD113" i="21"/>
  <c r="AC88" i="21"/>
  <c r="AD88" i="21"/>
  <c r="AC206" i="21"/>
  <c r="AD206" i="21"/>
  <c r="AC184" i="21"/>
  <c r="AD184" i="21"/>
  <c r="AD161" i="21"/>
  <c r="AC161" i="21"/>
  <c r="AD136" i="21"/>
  <c r="AC136" i="21"/>
  <c r="AD112" i="21"/>
  <c r="AC112" i="21"/>
  <c r="AC87" i="21"/>
  <c r="AD87" i="21"/>
  <c r="AD205" i="21"/>
  <c r="AC205" i="21"/>
  <c r="AD183" i="21"/>
  <c r="AC183" i="21"/>
  <c r="AC160" i="21"/>
  <c r="AD160" i="21"/>
  <c r="AC135" i="21"/>
  <c r="AD135" i="21"/>
  <c r="AC111" i="21"/>
  <c r="AD111" i="21"/>
  <c r="AC86" i="21"/>
  <c r="AD86" i="21"/>
  <c r="AC204" i="21"/>
  <c r="AD204" i="21"/>
  <c r="AD182" i="21"/>
  <c r="AC182" i="21"/>
  <c r="AD159" i="21"/>
  <c r="AC159" i="21"/>
  <c r="AD134" i="21"/>
  <c r="AC134" i="21"/>
  <c r="AD110" i="21"/>
  <c r="AC110" i="21"/>
  <c r="AC85" i="21"/>
  <c r="AD85" i="21"/>
  <c r="AC203" i="21"/>
  <c r="AD203" i="21"/>
  <c r="AC181" i="21"/>
  <c r="AD181" i="21"/>
  <c r="AC158" i="21"/>
  <c r="AD158" i="21"/>
  <c r="AC133" i="21"/>
  <c r="AD133" i="21"/>
  <c r="AD109" i="21"/>
  <c r="AC109" i="21"/>
  <c r="AC84" i="21"/>
  <c r="AD84" i="21"/>
  <c r="AC202" i="21"/>
  <c r="AD202" i="21"/>
  <c r="AD180" i="21"/>
  <c r="AC180" i="21"/>
  <c r="AD157" i="21"/>
  <c r="AC157" i="21"/>
  <c r="AC132" i="21"/>
  <c r="AD132" i="21"/>
  <c r="AD108" i="21"/>
  <c r="AC108" i="21"/>
  <c r="AC83" i="21"/>
  <c r="AD83" i="21"/>
  <c r="AC201" i="21"/>
  <c r="AD201" i="21"/>
  <c r="AD179" i="21"/>
  <c r="AC179" i="21"/>
  <c r="AC156" i="21"/>
  <c r="AD156" i="21"/>
  <c r="AC131" i="21"/>
  <c r="AD131" i="21"/>
  <c r="AC107" i="21"/>
  <c r="AD107" i="21"/>
  <c r="AC82" i="21"/>
  <c r="AD82" i="21"/>
  <c r="AC200" i="21"/>
  <c r="AD200" i="21"/>
  <c r="AD178" i="21"/>
  <c r="AC178" i="21"/>
  <c r="AC155" i="21"/>
  <c r="AD155" i="21"/>
  <c r="AD130" i="21"/>
  <c r="AC130" i="21"/>
  <c r="AD106" i="21"/>
  <c r="AC106" i="21"/>
  <c r="AC81" i="21"/>
  <c r="AD81" i="21"/>
  <c r="AC199" i="21"/>
  <c r="AD199" i="21"/>
  <c r="AE199" i="21" s="1"/>
  <c r="AE200" i="21" s="1"/>
  <c r="AE201" i="21" s="1"/>
  <c r="AE202" i="21" s="1"/>
  <c r="AD177" i="21"/>
  <c r="AE177" i="21" s="1"/>
  <c r="AE178" i="21" s="1"/>
  <c r="AE179" i="21" s="1"/>
  <c r="AE180" i="21" s="1"/>
  <c r="AC177" i="21"/>
  <c r="AC154" i="21"/>
  <c r="AD154" i="21"/>
  <c r="AE154" i="21" s="1"/>
  <c r="AE155" i="21" s="1"/>
  <c r="AE156" i="21" s="1"/>
  <c r="AE157" i="21" s="1"/>
  <c r="AC129" i="21"/>
  <c r="AD129" i="21"/>
  <c r="AE129" i="21" s="1"/>
  <c r="AE130" i="21" s="1"/>
  <c r="AE131" i="21" s="1"/>
  <c r="AE132" i="21" s="1"/>
  <c r="AD105" i="21"/>
  <c r="AE105" i="21" s="1"/>
  <c r="AE106" i="21" s="1"/>
  <c r="AE107" i="21" s="1"/>
  <c r="AE108" i="21" s="1"/>
  <c r="AC105" i="21"/>
  <c r="AA48" i="21"/>
  <c r="AB80" i="21"/>
  <c r="Z47" i="21"/>
  <c r="Z18" i="21"/>
  <c r="AS9" i="21" s="1"/>
  <c r="AS7" i="21"/>
  <c r="Z16" i="21"/>
  <c r="Z4" i="21"/>
  <c r="Z3" i="21"/>
  <c r="Z5" i="21"/>
  <c r="AG7" i="21" s="1"/>
  <c r="AA55" i="21"/>
  <c r="AN36" i="48"/>
  <c r="Z54" i="48"/>
  <c r="Z23" i="48" s="1"/>
  <c r="Z24" i="48" s="1"/>
  <c r="AN38" i="48"/>
  <c r="W3" i="39"/>
  <c r="AL3" i="39" s="1"/>
  <c r="H3" i="40"/>
  <c r="W3" i="40" s="1"/>
  <c r="AL3" i="40" s="1"/>
  <c r="K3" i="28"/>
  <c r="J157" i="26"/>
  <c r="J80" i="26"/>
  <c r="E61" i="47"/>
  <c r="E29" i="47" s="1"/>
  <c r="E30" i="47" s="1"/>
  <c r="J59" i="49" s="1"/>
  <c r="E29" i="46"/>
  <c r="E30" i="46"/>
  <c r="J60" i="49" s="1"/>
  <c r="D35" i="48"/>
  <c r="BF24" i="49"/>
  <c r="O30" i="49"/>
  <c r="X34" i="50"/>
  <c r="J27" i="50"/>
  <c r="Y30" i="50" s="1"/>
  <c r="X30" i="50"/>
  <c r="BF20" i="49"/>
  <c r="K30" i="49"/>
  <c r="N23" i="50"/>
  <c r="N24" i="50" s="1"/>
  <c r="N26" i="50" s="1"/>
  <c r="N27" i="50" s="1"/>
  <c r="M23" i="50"/>
  <c r="M24" i="50" s="1"/>
  <c r="M26" i="50" s="1"/>
  <c r="M27" i="50" s="1"/>
  <c r="L23" i="50"/>
  <c r="L24" i="50" s="1"/>
  <c r="L26" i="50" s="1"/>
  <c r="L27" i="50" s="1"/>
  <c r="K23" i="50"/>
  <c r="K24" i="50" s="1"/>
  <c r="K26" i="50" s="1"/>
  <c r="K27" i="50" s="1"/>
  <c r="K28" i="49"/>
  <c r="P4" i="28"/>
  <c r="P158" i="26"/>
  <c r="P81" i="26"/>
  <c r="H17" i="29"/>
  <c r="H18" i="25"/>
  <c r="I18" i="19"/>
  <c r="H20" i="5"/>
  <c r="H19" i="21"/>
  <c r="H111" i="21" s="1"/>
  <c r="F16" i="30"/>
  <c r="E18" i="46"/>
  <c r="G20" i="23"/>
  <c r="H21" i="4"/>
  <c r="K20" i="31"/>
  <c r="K95" i="32" s="1"/>
  <c r="K20" i="32" s="1"/>
  <c r="K21" i="14"/>
  <c r="E18" i="47"/>
  <c r="E18" i="48" s="1"/>
  <c r="G19" i="49" s="1"/>
  <c r="CA47" i="48"/>
  <c r="BD47" i="48" s="1"/>
  <c r="BY47" i="48"/>
  <c r="BW47" i="48"/>
  <c r="BN47" i="48"/>
  <c r="BK47" i="48"/>
  <c r="BF47" i="48"/>
  <c r="BJ47" i="48"/>
  <c r="BZ47" i="48"/>
  <c r="BL47" i="48"/>
  <c r="BH47" i="48"/>
  <c r="BC47" i="48"/>
  <c r="BG47" i="48"/>
  <c r="BU47" i="48"/>
  <c r="BB47" i="48"/>
  <c r="CB47" i="48"/>
  <c r="BV47" i="48"/>
  <c r="BM47" i="48"/>
  <c r="BI47" i="48"/>
  <c r="BX47" i="48"/>
  <c r="CC47" i="48"/>
  <c r="BW46" i="48"/>
  <c r="BN46" i="48"/>
  <c r="BG46" i="48"/>
  <c r="BI46" i="48"/>
  <c r="BY46" i="48"/>
  <c r="CB46" i="48"/>
  <c r="BB46" i="48"/>
  <c r="BF46" i="48"/>
  <c r="BC46" i="48" s="1"/>
  <c r="BJ46" i="48"/>
  <c r="BV46" i="48"/>
  <c r="BL46" i="48"/>
  <c r="CC46" i="48"/>
  <c r="BZ46" i="48"/>
  <c r="BX46" i="48"/>
  <c r="BU46" i="48"/>
  <c r="BM46" i="48"/>
  <c r="BK46" i="48"/>
  <c r="CA46" i="48"/>
  <c r="BD46" i="48"/>
  <c r="BH46" i="48"/>
  <c r="CA45" i="48"/>
  <c r="BX45" i="48"/>
  <c r="BV45" i="48"/>
  <c r="BM45" i="48"/>
  <c r="BJ45" i="48"/>
  <c r="BG45" i="48"/>
  <c r="BF45" i="48"/>
  <c r="BC45" i="48"/>
  <c r="BZ45" i="48"/>
  <c r="BK45" i="48"/>
  <c r="BB45" i="48"/>
  <c r="BL45" i="48"/>
  <c r="BU45" i="48"/>
  <c r="CB45" i="48"/>
  <c r="CC45" i="48"/>
  <c r="BY45" i="48"/>
  <c r="BI45" i="48"/>
  <c r="BD45" i="48"/>
  <c r="BH45" i="48"/>
  <c r="BW45" i="48"/>
  <c r="BN45" i="48"/>
  <c r="BZ44" i="48"/>
  <c r="BV44" i="48"/>
  <c r="BN44" i="48"/>
  <c r="BK44" i="48"/>
  <c r="BH44" i="48"/>
  <c r="BB44" i="48"/>
  <c r="CB44" i="48"/>
  <c r="BW44" i="48"/>
  <c r="BF44" i="48"/>
  <c r="BC44" i="48"/>
  <c r="BI44" i="48"/>
  <c r="BU44" i="48"/>
  <c r="BY44" i="48"/>
  <c r="BJ44" i="48"/>
  <c r="BM44" i="48"/>
  <c r="CA44" i="48"/>
  <c r="BD44" i="48" s="1"/>
  <c r="CC44" i="48"/>
  <c r="BX44" i="48"/>
  <c r="BG44" i="48"/>
  <c r="BL44" i="48"/>
  <c r="BX43" i="48"/>
  <c r="BV43" i="48"/>
  <c r="BM43" i="48"/>
  <c r="BG43" i="48"/>
  <c r="CC43" i="48"/>
  <c r="BY43" i="48"/>
  <c r="BJ43" i="48"/>
  <c r="BZ43" i="48"/>
  <c r="BN43" i="48"/>
  <c r="BL43" i="48"/>
  <c r="BH43" i="48"/>
  <c r="BB43" i="48"/>
  <c r="CA43" i="48"/>
  <c r="CB43" i="48"/>
  <c r="BU43" i="48"/>
  <c r="BI43" i="48"/>
  <c r="BD43" i="48"/>
  <c r="BW43" i="48"/>
  <c r="BF43" i="48"/>
  <c r="BC43" i="48" s="1"/>
  <c r="BK43" i="48"/>
  <c r="CC42" i="48"/>
  <c r="BY42" i="48"/>
  <c r="BW42" i="48"/>
  <c r="BK42" i="48"/>
  <c r="BJ42" i="48"/>
  <c r="BU42" i="48"/>
  <c r="BX42" i="48"/>
  <c r="BM42" i="48"/>
  <c r="CB42" i="48"/>
  <c r="BZ42" i="48"/>
  <c r="BG42" i="48"/>
  <c r="BI42" i="48"/>
  <c r="BF42" i="48"/>
  <c r="BC42" i="48" s="1"/>
  <c r="BV42" i="48"/>
  <c r="BB42" i="48"/>
  <c r="BH42" i="48"/>
  <c r="BL42" i="48"/>
  <c r="BN42" i="48"/>
  <c r="CA42" i="48"/>
  <c r="BD42" i="48" s="1"/>
  <c r="BN41" i="48"/>
  <c r="BL41" i="48"/>
  <c r="BI41" i="48"/>
  <c r="BF41" i="48"/>
  <c r="BK41" i="48"/>
  <c r="BX41" i="48"/>
  <c r="CC41" i="48"/>
  <c r="BG41" i="48"/>
  <c r="BW41" i="48"/>
  <c r="BH41" i="48"/>
  <c r="BU41" i="48"/>
  <c r="BZ41" i="48"/>
  <c r="CA41" i="48"/>
  <c r="BY41" i="48"/>
  <c r="BV41" i="48"/>
  <c r="BC41" i="48"/>
  <c r="BJ41" i="48"/>
  <c r="BD41" i="48"/>
  <c r="BB41" i="48"/>
  <c r="CB41" i="48"/>
  <c r="BM41" i="48"/>
  <c r="BV40" i="48"/>
  <c r="BK40" i="48"/>
  <c r="BF40" i="48"/>
  <c r="BC40" i="48"/>
  <c r="BB40" i="48"/>
  <c r="BN40" i="48"/>
  <c r="CB40" i="48"/>
  <c r="BY40" i="48"/>
  <c r="BJ40" i="48"/>
  <c r="BG40" i="48"/>
  <c r="BM40" i="48"/>
  <c r="BH40" i="48"/>
  <c r="CA40" i="48"/>
  <c r="BD40" i="48" s="1"/>
  <c r="CC40" i="48"/>
  <c r="BZ40" i="48"/>
  <c r="BW40" i="48"/>
  <c r="BX40" i="48"/>
  <c r="BU40" i="48"/>
  <c r="BI40" i="48"/>
  <c r="CB39" i="48"/>
  <c r="BV39" i="48"/>
  <c r="BM39" i="48"/>
  <c r="BH39" i="48"/>
  <c r="BF39" i="48"/>
  <c r="BN39" i="48"/>
  <c r="BK39" i="48"/>
  <c r="BB39" i="48"/>
  <c r="CA39" i="48"/>
  <c r="BD39" i="48" s="1"/>
  <c r="BG39" i="48"/>
  <c r="BJ39" i="48"/>
  <c r="BX39" i="48"/>
  <c r="BZ39" i="48"/>
  <c r="BC39" i="48"/>
  <c r="BY39" i="48"/>
  <c r="CC39" i="48"/>
  <c r="BI39" i="48"/>
  <c r="BL39" i="48"/>
  <c r="BW39" i="48"/>
  <c r="BU39" i="48"/>
  <c r="BY38" i="48"/>
  <c r="BV38" i="48"/>
  <c r="BK38" i="48"/>
  <c r="BZ38" i="48"/>
  <c r="CC38" i="48"/>
  <c r="BF38" i="48"/>
  <c r="BC38" i="48" s="1"/>
  <c r="BH38" i="48"/>
  <c r="CB38" i="48"/>
  <c r="BL38" i="48"/>
  <c r="BG38" i="48"/>
  <c r="BB38" i="48"/>
  <c r="BN38" i="48"/>
  <c r="CA38" i="48"/>
  <c r="BD38" i="48"/>
  <c r="BI38" i="48"/>
  <c r="BM38" i="48"/>
  <c r="BJ38" i="48"/>
  <c r="BW38" i="48"/>
  <c r="BU38" i="48"/>
  <c r="BX38" i="48"/>
  <c r="AO38" i="48"/>
  <c r="AO36" i="48"/>
  <c r="BB48" i="47"/>
  <c r="CC48" i="47"/>
  <c r="CB48" i="47"/>
  <c r="CA48" i="47"/>
  <c r="BZ48" i="47"/>
  <c r="BY48" i="47"/>
  <c r="BX48" i="47"/>
  <c r="BW48" i="47"/>
  <c r="BV48" i="47"/>
  <c r="BU48" i="47"/>
  <c r="BN48" i="47"/>
  <c r="BM48" i="47"/>
  <c r="BL48" i="47"/>
  <c r="BK48" i="47"/>
  <c r="BJ48" i="47"/>
  <c r="BI48" i="47"/>
  <c r="BH48" i="47"/>
  <c r="BG48" i="47"/>
  <c r="BF48" i="47"/>
  <c r="BC48" i="47" s="1"/>
  <c r="BD48" i="47"/>
  <c r="BB47" i="47"/>
  <c r="CC47" i="47"/>
  <c r="CB47" i="47"/>
  <c r="CA47" i="47"/>
  <c r="BD47" i="47" s="1"/>
  <c r="BZ47" i="47"/>
  <c r="BY47" i="47"/>
  <c r="BX47" i="47"/>
  <c r="BW47" i="47"/>
  <c r="BV47" i="47"/>
  <c r="BU47" i="47"/>
  <c r="BN47" i="47"/>
  <c r="BM47" i="47"/>
  <c r="BL47" i="47"/>
  <c r="BK47" i="47"/>
  <c r="BJ47" i="47"/>
  <c r="BI47" i="47"/>
  <c r="BH47" i="47"/>
  <c r="BG47" i="47"/>
  <c r="BF47" i="47"/>
  <c r="BC47" i="47"/>
  <c r="BB46" i="47"/>
  <c r="CC46" i="47"/>
  <c r="CB46" i="47"/>
  <c r="CA46" i="47"/>
  <c r="BZ46" i="47"/>
  <c r="BY46" i="47"/>
  <c r="BX46" i="47"/>
  <c r="BW46" i="47"/>
  <c r="BV46" i="47"/>
  <c r="BU46" i="47"/>
  <c r="BN46" i="47"/>
  <c r="BM46" i="47"/>
  <c r="BL46" i="47"/>
  <c r="BK46" i="47"/>
  <c r="BJ46" i="47"/>
  <c r="BI46" i="47"/>
  <c r="BH46" i="47"/>
  <c r="BG46" i="47"/>
  <c r="BF46" i="47"/>
  <c r="BD46" i="47"/>
  <c r="BC46" i="47"/>
  <c r="BY45" i="47"/>
  <c r="CC45" i="47"/>
  <c r="CB45" i="47"/>
  <c r="CA45" i="47"/>
  <c r="BZ45" i="47"/>
  <c r="BN45" i="47"/>
  <c r="BX45" i="47"/>
  <c r="BW45" i="47"/>
  <c r="BV45" i="47"/>
  <c r="BU45" i="47"/>
  <c r="BB45" i="47"/>
  <c r="BM45" i="47"/>
  <c r="BL45" i="47"/>
  <c r="BK45" i="47"/>
  <c r="BJ45" i="47"/>
  <c r="BI45" i="47"/>
  <c r="BH45" i="47"/>
  <c r="BG45" i="47"/>
  <c r="BF45" i="47"/>
  <c r="BD45" i="47"/>
  <c r="BC45" i="47"/>
  <c r="BB44" i="47"/>
  <c r="CC44" i="47"/>
  <c r="CB44" i="47"/>
  <c r="CA44" i="47"/>
  <c r="BZ44" i="47"/>
  <c r="BY44" i="47"/>
  <c r="BX44" i="47"/>
  <c r="BW44" i="47"/>
  <c r="BV44" i="47"/>
  <c r="BU44" i="47"/>
  <c r="BN44" i="47"/>
  <c r="BM44" i="47"/>
  <c r="BL44" i="47"/>
  <c r="BK44" i="47"/>
  <c r="BJ44" i="47"/>
  <c r="BI44" i="47"/>
  <c r="BH44" i="47"/>
  <c r="BG44" i="47"/>
  <c r="BF44" i="47"/>
  <c r="BD44" i="47"/>
  <c r="BC44" i="47"/>
  <c r="BB43" i="47"/>
  <c r="BH43" i="47"/>
  <c r="BG43" i="47"/>
  <c r="BF43" i="47"/>
  <c r="BD43" i="47"/>
  <c r="BC43" i="47"/>
  <c r="BK42" i="47"/>
  <c r="CC42" i="47"/>
  <c r="CB42" i="47"/>
  <c r="CA42" i="47"/>
  <c r="BZ42" i="47"/>
  <c r="BY42" i="47"/>
  <c r="BX42" i="47"/>
  <c r="BW42" i="47"/>
  <c r="BV42" i="47"/>
  <c r="BU42" i="47"/>
  <c r="BN42" i="47"/>
  <c r="BM42" i="47"/>
  <c r="BL42" i="47"/>
  <c r="BB42" i="47"/>
  <c r="BJ42" i="47"/>
  <c r="BI42" i="47"/>
  <c r="BH42" i="47"/>
  <c r="BG42" i="47"/>
  <c r="BF42" i="47"/>
  <c r="BD42" i="47"/>
  <c r="BC42" i="47"/>
  <c r="BZ41" i="47"/>
  <c r="CC41" i="47"/>
  <c r="CB41" i="47"/>
  <c r="CA41" i="47"/>
  <c r="BB41" i="47"/>
  <c r="BY41" i="47"/>
  <c r="BX41" i="47"/>
  <c r="BW41" i="47"/>
  <c r="BV41" i="47"/>
  <c r="BU41" i="47"/>
  <c r="BN41" i="47"/>
  <c r="BM41" i="47"/>
  <c r="BL41" i="47"/>
  <c r="BK41" i="47"/>
  <c r="BJ41" i="47"/>
  <c r="BI41" i="47"/>
  <c r="BH41" i="47"/>
  <c r="BG41" i="47"/>
  <c r="BF41" i="47"/>
  <c r="BC41" i="47" s="1"/>
  <c r="BD41" i="47"/>
  <c r="BB40" i="47"/>
  <c r="CC40" i="47"/>
  <c r="CB40" i="47"/>
  <c r="CA40" i="47"/>
  <c r="BZ40" i="47"/>
  <c r="BY40" i="47"/>
  <c r="BX40" i="47"/>
  <c r="BW40" i="47"/>
  <c r="BV40" i="47"/>
  <c r="BU40" i="47"/>
  <c r="BN40" i="47"/>
  <c r="BM40" i="47"/>
  <c r="BL40" i="47"/>
  <c r="BK40" i="47"/>
  <c r="BJ40" i="47"/>
  <c r="BI40" i="47"/>
  <c r="BH40" i="47"/>
  <c r="BG40" i="47"/>
  <c r="BF40" i="47"/>
  <c r="BC40" i="47" s="1"/>
  <c r="BD40" i="47"/>
  <c r="BY39" i="47"/>
  <c r="CC39" i="47"/>
  <c r="CB39" i="47"/>
  <c r="CA39" i="47"/>
  <c r="BZ39" i="47"/>
  <c r="BM39" i="47"/>
  <c r="BX39" i="47"/>
  <c r="BW39" i="47"/>
  <c r="BV39" i="47"/>
  <c r="BU39" i="47"/>
  <c r="BN39" i="47"/>
  <c r="BB39" i="47"/>
  <c r="BL39" i="47"/>
  <c r="BK39" i="47"/>
  <c r="BJ39" i="47"/>
  <c r="BI39" i="47"/>
  <c r="BH39" i="47"/>
  <c r="BG39" i="47"/>
  <c r="BF39" i="47"/>
  <c r="BC39" i="47" s="1"/>
  <c r="BD39" i="47"/>
  <c r="AO39" i="47"/>
  <c r="AO37" i="47"/>
  <c r="D67" i="46"/>
  <c r="F67" i="46" s="1"/>
  <c r="L60" i="49" s="1"/>
  <c r="D68" i="46"/>
  <c r="F68" i="46" s="1"/>
  <c r="Y45" i="47"/>
  <c r="Z45" i="47" s="1"/>
  <c r="AM42" i="47" s="1"/>
  <c r="Y44" i="47"/>
  <c r="Z44" i="47" s="1"/>
  <c r="AM41" i="47" s="1"/>
  <c r="Y43" i="47"/>
  <c r="Z43" i="47" s="1"/>
  <c r="AM40" i="47" s="1"/>
  <c r="Y42" i="47"/>
  <c r="Z42" i="47" s="1"/>
  <c r="AM39" i="47" s="1"/>
  <c r="Y40" i="47"/>
  <c r="Z40" i="47" s="1"/>
  <c r="AM37" i="47" s="1"/>
  <c r="Y36" i="47"/>
  <c r="Z36" i="47" s="1"/>
  <c r="AM33" i="47" s="1"/>
  <c r="Y37" i="47"/>
  <c r="Z37" i="47" s="1"/>
  <c r="AM34" i="47" s="1"/>
  <c r="Y38" i="47"/>
  <c r="Z38" i="47" s="1"/>
  <c r="AM35" i="47" s="1"/>
  <c r="Y41" i="47"/>
  <c r="Z41" i="47" s="1"/>
  <c r="AM38" i="47" s="1"/>
  <c r="AP37" i="47" s="1"/>
  <c r="Y39" i="47"/>
  <c r="Z39" i="47" s="1"/>
  <c r="AM36" i="47" s="1"/>
  <c r="BX48" i="46"/>
  <c r="CD48" i="46"/>
  <c r="CE48" i="46"/>
  <c r="CC48" i="46"/>
  <c r="BP48" i="46"/>
  <c r="BN48" i="46"/>
  <c r="BY48" i="46"/>
  <c r="CA48" i="46"/>
  <c r="BK48" i="46"/>
  <c r="BM48" i="46"/>
  <c r="CB48" i="46"/>
  <c r="BH48" i="46"/>
  <c r="BE48" i="46"/>
  <c r="BO48" i="46"/>
  <c r="BJ48" i="46"/>
  <c r="BI48" i="46"/>
  <c r="BD48" i="46"/>
  <c r="BF48" i="46"/>
  <c r="BL48" i="46"/>
  <c r="BW48" i="46"/>
  <c r="BZ48" i="46"/>
  <c r="BN47" i="46"/>
  <c r="BX47" i="46"/>
  <c r="BZ47" i="46"/>
  <c r="CC47" i="46"/>
  <c r="CE47" i="46"/>
  <c r="BF47" i="46"/>
  <c r="BJ47" i="46"/>
  <c r="BW47" i="46"/>
  <c r="BD47" i="46"/>
  <c r="BM47" i="46"/>
  <c r="CD47" i="46"/>
  <c r="CA47" i="46"/>
  <c r="BY47" i="46"/>
  <c r="CB47" i="46"/>
  <c r="BL47" i="46"/>
  <c r="BO47" i="46"/>
  <c r="BK47" i="46"/>
  <c r="BH47" i="46"/>
  <c r="BE47" i="46" s="1"/>
  <c r="BI47" i="46"/>
  <c r="BP47" i="46"/>
  <c r="BP46" i="46"/>
  <c r="BJ46" i="46"/>
  <c r="BX46" i="46"/>
  <c r="CE46" i="46"/>
  <c r="BN46" i="46"/>
  <c r="BH46" i="46"/>
  <c r="CC46" i="46"/>
  <c r="BK46" i="46"/>
  <c r="BF46" i="46"/>
  <c r="CD46" i="46"/>
  <c r="CA46" i="46"/>
  <c r="BY46" i="46"/>
  <c r="BW46" i="46"/>
  <c r="BL46" i="46"/>
  <c r="BI46" i="46"/>
  <c r="BO46" i="46"/>
  <c r="CB46" i="46"/>
  <c r="BE46" i="46"/>
  <c r="BM46" i="46"/>
  <c r="BZ46" i="46"/>
  <c r="BX45" i="46"/>
  <c r="BP45" i="46"/>
  <c r="BN45" i="46"/>
  <c r="BK45" i="46"/>
  <c r="BI45" i="46"/>
  <c r="BD45" i="46"/>
  <c r="BL45" i="46"/>
  <c r="BO45" i="46"/>
  <c r="CA45" i="46"/>
  <c r="CE45" i="46"/>
  <c r="BH45" i="46"/>
  <c r="CB45" i="46"/>
  <c r="BZ45" i="46"/>
  <c r="BJ45" i="46"/>
  <c r="BE45" i="46"/>
  <c r="BM45" i="46"/>
  <c r="BW45" i="46"/>
  <c r="CD45" i="46"/>
  <c r="BY45" i="46"/>
  <c r="CC45" i="46"/>
  <c r="BF45" i="46" s="1"/>
  <c r="BX44" i="46"/>
  <c r="BN44" i="46"/>
  <c r="BK44" i="46"/>
  <c r="BO44" i="46"/>
  <c r="BI44" i="46"/>
  <c r="CB44" i="46"/>
  <c r="BY44" i="46"/>
  <c r="BP44" i="46"/>
  <c r="BJ44" i="46"/>
  <c r="BH44" i="46"/>
  <c r="BE44" i="46"/>
  <c r="BD44" i="46"/>
  <c r="CD44" i="46"/>
  <c r="CA44" i="46"/>
  <c r="BW44" i="46"/>
  <c r="BL44" i="46"/>
  <c r="BM44" i="46"/>
  <c r="CE44" i="46"/>
  <c r="CC44" i="46"/>
  <c r="BF44" i="46" s="1"/>
  <c r="BZ44" i="46"/>
  <c r="CC43" i="46"/>
  <c r="BY43" i="46"/>
  <c r="BP43" i="46"/>
  <c r="BL43" i="46"/>
  <c r="BD43" i="46"/>
  <c r="BO43" i="46"/>
  <c r="BW43" i="46"/>
  <c r="BM43" i="46"/>
  <c r="BX43" i="46"/>
  <c r="BF43" i="46"/>
  <c r="CA43" i="46"/>
  <c r="BK43" i="46"/>
  <c r="CB43" i="46"/>
  <c r="BN43" i="46"/>
  <c r="CE43" i="46"/>
  <c r="BH43" i="46"/>
  <c r="BE43" i="46" s="1"/>
  <c r="BZ43" i="46"/>
  <c r="BJ43" i="46"/>
  <c r="CD43" i="46"/>
  <c r="BI43" i="46"/>
  <c r="BO42" i="46"/>
  <c r="CE42" i="46"/>
  <c r="CB42" i="46"/>
  <c r="BM42" i="46"/>
  <c r="BD42" i="46"/>
  <c r="BJ42" i="46"/>
  <c r="CC42" i="46"/>
  <c r="BF42" i="46" s="1"/>
  <c r="BX42" i="46"/>
  <c r="CD42" i="46"/>
  <c r="BH42" i="46"/>
  <c r="BY42" i="46"/>
  <c r="BN42" i="46"/>
  <c r="BI42" i="46"/>
  <c r="BE42" i="46"/>
  <c r="BL42" i="46"/>
  <c r="BW42" i="46"/>
  <c r="CA42" i="46"/>
  <c r="BK42" i="46"/>
  <c r="BP42" i="46"/>
  <c r="BZ42" i="46"/>
  <c r="BM41" i="46"/>
  <c r="BJ41" i="46"/>
  <c r="BH41" i="46"/>
  <c r="BD41" i="46"/>
  <c r="BX41" i="46"/>
  <c r="BZ41" i="46"/>
  <c r="BO41" i="46"/>
  <c r="BE41" i="46"/>
  <c r="BP41" i="46"/>
  <c r="BW41" i="46"/>
  <c r="CA41" i="46"/>
  <c r="CC41" i="46"/>
  <c r="CD41" i="46"/>
  <c r="BK41" i="46"/>
  <c r="CE41" i="46"/>
  <c r="CB41" i="46"/>
  <c r="BY41" i="46"/>
  <c r="BL41" i="46"/>
  <c r="BI41" i="46"/>
  <c r="BN41" i="46"/>
  <c r="BF41" i="46"/>
  <c r="CB40" i="46"/>
  <c r="CC40" i="46"/>
  <c r="BY40" i="46"/>
  <c r="BP40" i="46"/>
  <c r="BM40" i="46"/>
  <c r="BI40" i="46"/>
  <c r="BF40" i="46"/>
  <c r="CD40" i="46"/>
  <c r="BN40" i="46"/>
  <c r="BO40" i="46"/>
  <c r="CA40" i="46"/>
  <c r="BX40" i="46"/>
  <c r="BL40" i="46"/>
  <c r="BD40" i="46"/>
  <c r="BJ40" i="46"/>
  <c r="BW40" i="46"/>
  <c r="CE40" i="46"/>
  <c r="BH40" i="46"/>
  <c r="BE40" i="46" s="1"/>
  <c r="BK40" i="46"/>
  <c r="BZ40" i="46"/>
  <c r="CC39" i="46"/>
  <c r="BZ39" i="46"/>
  <c r="BW39" i="46"/>
  <c r="BL39" i="46"/>
  <c r="CE39" i="46"/>
  <c r="CD39" i="46"/>
  <c r="BX39" i="46"/>
  <c r="BI39" i="46"/>
  <c r="BE39" i="46"/>
  <c r="BH39" i="46"/>
  <c r="BN39" i="46"/>
  <c r="BP39" i="46"/>
  <c r="CA39" i="46"/>
  <c r="BD39" i="46"/>
  <c r="BF39" i="46"/>
  <c r="BJ39" i="46"/>
  <c r="CB39" i="46"/>
  <c r="BK39" i="46"/>
  <c r="BY39" i="46"/>
  <c r="BO39" i="46"/>
  <c r="BM39" i="46"/>
  <c r="AA42" i="46"/>
  <c r="AB42" i="46" s="1"/>
  <c r="AO39" i="46" s="1"/>
  <c r="AA45" i="46"/>
  <c r="AB45" i="46" s="1"/>
  <c r="AO42" i="46" s="1"/>
  <c r="AA39" i="46"/>
  <c r="AB39" i="46" s="1"/>
  <c r="AO36" i="46" s="1"/>
  <c r="AA44" i="46"/>
  <c r="AB44" i="46" s="1"/>
  <c r="AO41" i="46" s="1"/>
  <c r="AA40" i="46"/>
  <c r="AB40" i="46" s="1"/>
  <c r="AO37" i="46" s="1"/>
  <c r="AA38" i="46"/>
  <c r="AB38" i="46" s="1"/>
  <c r="AO35" i="46" s="1"/>
  <c r="AP22" i="46" s="1"/>
  <c r="AA36" i="46"/>
  <c r="AB36" i="46" s="1"/>
  <c r="AO33" i="46" s="1"/>
  <c r="AA41" i="46"/>
  <c r="AB41" i="46" s="1"/>
  <c r="AO38" i="46" s="1"/>
  <c r="AA43" i="46"/>
  <c r="AB43" i="46" s="1"/>
  <c r="AO40" i="46" s="1"/>
  <c r="AA37" i="46"/>
  <c r="AB37" i="46" s="1"/>
  <c r="AO34" i="46" s="1"/>
  <c r="AQ37" i="46"/>
  <c r="AR37" i="46" s="1"/>
  <c r="AQ39" i="46"/>
  <c r="AR39" i="46" s="1"/>
  <c r="O36" i="22" l="1"/>
  <c r="R36" i="22" s="1"/>
  <c r="I121" i="22"/>
  <c r="O37" i="22"/>
  <c r="N37" i="22"/>
  <c r="P37" i="22" s="1"/>
  <c r="Q37" i="22" s="1"/>
  <c r="I122" i="22"/>
  <c r="I123" i="22" s="1"/>
  <c r="I124" i="22" s="1"/>
  <c r="I125" i="22" s="1"/>
  <c r="I126" i="22" s="1"/>
  <c r="I127" i="22" s="1"/>
  <c r="I128" i="22" s="1"/>
  <c r="I129" i="22" s="1"/>
  <c r="I130" i="22" s="1"/>
  <c r="I131" i="22" s="1"/>
  <c r="I132" i="22" s="1"/>
  <c r="I133" i="22" s="1"/>
  <c r="I134" i="22" s="1"/>
  <c r="I135" i="22" s="1"/>
  <c r="I136" i="22" s="1"/>
  <c r="I137" i="22" s="1"/>
  <c r="I138" i="22" s="1"/>
  <c r="I139" i="22" s="1"/>
  <c r="I140" i="22" s="1"/>
  <c r="I141" i="22" s="1"/>
  <c r="I142" i="22" s="1"/>
  <c r="I143" i="22" s="1"/>
  <c r="I144" i="22" s="1"/>
  <c r="I145" i="22" s="1"/>
  <c r="I146" i="22" s="1"/>
  <c r="I147" i="22" s="1"/>
  <c r="I148" i="22" s="1"/>
  <c r="I149" i="22" s="1"/>
  <c r="I150" i="22" s="1"/>
  <c r="O66" i="22"/>
  <c r="O64" i="22"/>
  <c r="O63" i="22"/>
  <c r="O62" i="22"/>
  <c r="O61" i="22"/>
  <c r="O59" i="22"/>
  <c r="O57" i="22"/>
  <c r="O56" i="22"/>
  <c r="O54" i="22"/>
  <c r="O53" i="22"/>
  <c r="O52" i="22"/>
  <c r="O50" i="22"/>
  <c r="O47" i="22"/>
  <c r="O45" i="22"/>
  <c r="O41" i="22"/>
  <c r="O40" i="22"/>
  <c r="O55" i="22"/>
  <c r="O60" i="22"/>
  <c r="O44" i="22"/>
  <c r="O39" i="22"/>
  <c r="O65" i="22"/>
  <c r="O51" i="22"/>
  <c r="O49" i="22"/>
  <c r="O48" i="22"/>
  <c r="O46" i="22"/>
  <c r="O42" i="22"/>
  <c r="N38" i="22"/>
  <c r="O58" i="22"/>
  <c r="O43" i="22"/>
  <c r="O38" i="22"/>
  <c r="H46" i="22"/>
  <c r="J45" i="22"/>
  <c r="K45" i="22" s="1"/>
  <c r="L45" i="22" s="1"/>
  <c r="H38" i="22"/>
  <c r="J37" i="22"/>
  <c r="K37" i="22" s="1"/>
  <c r="L37" i="22" s="1"/>
  <c r="B44" i="22"/>
  <c r="D43" i="22"/>
  <c r="E43" i="22" s="1"/>
  <c r="F43" i="22" s="1"/>
  <c r="B38" i="22"/>
  <c r="D37" i="22"/>
  <c r="E37" i="22" s="1"/>
  <c r="E23" i="3"/>
  <c r="AE25" i="3" s="1"/>
  <c r="AF25" i="3" s="1"/>
  <c r="E24" i="3"/>
  <c r="AE24" i="3" s="1"/>
  <c r="AF24" i="3" s="1"/>
  <c r="E25" i="3"/>
  <c r="AE23" i="3" s="1"/>
  <c r="AF23" i="3" s="1"/>
  <c r="E26" i="3"/>
  <c r="AE22" i="3" s="1"/>
  <c r="AF22" i="3" s="1"/>
  <c r="E27" i="3"/>
  <c r="AE21" i="3" s="1"/>
  <c r="AF21" i="3" s="1"/>
  <c r="E28" i="3"/>
  <c r="AE20" i="3" s="1"/>
  <c r="AF20" i="3" s="1"/>
  <c r="E29" i="3"/>
  <c r="AE19" i="3" s="1"/>
  <c r="AF19" i="3" s="1"/>
  <c r="E30" i="3"/>
  <c r="AE18" i="3" s="1"/>
  <c r="AF18" i="3" s="1"/>
  <c r="E31" i="3"/>
  <c r="AE17" i="3" s="1"/>
  <c r="AF17" i="3" s="1"/>
  <c r="E32" i="3"/>
  <c r="AE16" i="3" s="1"/>
  <c r="AF16" i="3" s="1"/>
  <c r="E33" i="3"/>
  <c r="AE15" i="3" s="1"/>
  <c r="AF15" i="3" s="1"/>
  <c r="E34" i="3"/>
  <c r="AE14" i="3" s="1"/>
  <c r="AF14" i="3" s="1"/>
  <c r="E35" i="3"/>
  <c r="AE13" i="3" s="1"/>
  <c r="AF13" i="3" s="1"/>
  <c r="E22" i="3"/>
  <c r="F50" i="3"/>
  <c r="G50" i="3"/>
  <c r="Q22" i="5"/>
  <c r="H28" i="25"/>
  <c r="K33" i="13"/>
  <c r="K20" i="14"/>
  <c r="AG17" i="21"/>
  <c r="Q21" i="5"/>
  <c r="D42" i="3"/>
  <c r="H27" i="25"/>
  <c r="V36" i="33"/>
  <c r="J53" i="50"/>
  <c r="H22" i="4"/>
  <c r="K35" i="13"/>
  <c r="G58" i="3"/>
  <c r="G57" i="3"/>
  <c r="G55" i="3"/>
  <c r="G54" i="3"/>
  <c r="G56" i="3"/>
  <c r="G53" i="3"/>
  <c r="G52" i="3"/>
  <c r="G51" i="3"/>
  <c r="K31" i="12"/>
  <c r="K30" i="12"/>
  <c r="K32" i="12" s="1"/>
  <c r="N19" i="26"/>
  <c r="N20" i="26" s="1"/>
  <c r="J31" i="12"/>
  <c r="J30" i="12"/>
  <c r="J32" i="12" s="1"/>
  <c r="J33" i="12" s="1"/>
  <c r="AC212" i="21"/>
  <c r="AD212" i="21"/>
  <c r="AD190" i="21"/>
  <c r="AC190" i="21"/>
  <c r="AC167" i="21"/>
  <c r="AD167" i="21"/>
  <c r="AD142" i="21"/>
  <c r="AC142" i="21"/>
  <c r="AD118" i="21"/>
  <c r="AC118" i="21"/>
  <c r="AD93" i="21"/>
  <c r="AC93" i="21"/>
  <c r="AC80" i="21"/>
  <c r="AD80" i="21"/>
  <c r="AE80" i="21" s="1"/>
  <c r="AE81" i="21" s="1"/>
  <c r="AE82" i="21" s="1"/>
  <c r="AE83" i="21" s="1"/>
  <c r="AE84" i="21" s="1"/>
  <c r="AE85" i="21" s="1"/>
  <c r="AE86" i="21" s="1"/>
  <c r="AE87" i="21" s="1"/>
  <c r="AE88" i="21" s="1"/>
  <c r="AE89" i="21" s="1"/>
  <c r="AE90" i="21" s="1"/>
  <c r="AE91" i="21" s="1"/>
  <c r="AE92" i="21" s="1"/>
  <c r="AE93" i="21" s="1"/>
  <c r="AG5" i="21"/>
  <c r="AG13" i="21" s="1"/>
  <c r="AG4" i="21"/>
  <c r="AG20" i="21" s="1"/>
  <c r="AB48" i="21" s="1"/>
  <c r="AD48" i="21"/>
  <c r="AE48" i="21" s="1"/>
  <c r="AL48" i="21" s="1"/>
  <c r="AM48" i="21" s="1"/>
  <c r="AG15" i="21"/>
  <c r="AG10" i="21"/>
  <c r="AE203" i="21"/>
  <c r="AE204" i="21" s="1"/>
  <c r="AE205" i="21" s="1"/>
  <c r="AE206" i="21" s="1"/>
  <c r="AE207" i="21" s="1"/>
  <c r="AE208" i="21" s="1"/>
  <c r="AE209" i="21" s="1"/>
  <c r="AE210" i="21" s="1"/>
  <c r="AE211" i="21" s="1"/>
  <c r="AE212" i="21" s="1"/>
  <c r="AE181" i="21"/>
  <c r="AE182" i="21" s="1"/>
  <c r="AE183" i="21" s="1"/>
  <c r="AE184" i="21" s="1"/>
  <c r="AE185" i="21" s="1"/>
  <c r="AE186" i="21" s="1"/>
  <c r="AE187" i="21" s="1"/>
  <c r="AE188" i="21" s="1"/>
  <c r="AE189" i="21" s="1"/>
  <c r="AE190" i="21" s="1"/>
  <c r="AE158" i="21"/>
  <c r="AE159" i="21" s="1"/>
  <c r="AE160" i="21" s="1"/>
  <c r="AE161" i="21" s="1"/>
  <c r="AE162" i="21" s="1"/>
  <c r="AE163" i="21" s="1"/>
  <c r="AE164" i="21" s="1"/>
  <c r="AE165" i="21" s="1"/>
  <c r="AE166" i="21" s="1"/>
  <c r="AE167" i="21" s="1"/>
  <c r="AE109" i="21"/>
  <c r="AE110" i="21" s="1"/>
  <c r="AE111" i="21" s="1"/>
  <c r="AE112" i="21" s="1"/>
  <c r="AE113" i="21" s="1"/>
  <c r="AE114" i="21" s="1"/>
  <c r="AE115" i="21" s="1"/>
  <c r="AE116" i="21" s="1"/>
  <c r="AE117" i="21" s="1"/>
  <c r="AE118" i="21" s="1"/>
  <c r="AE133" i="21"/>
  <c r="AE134" i="21" s="1"/>
  <c r="AE135" i="21" s="1"/>
  <c r="AE136" i="21" s="1"/>
  <c r="AE137" i="21" s="1"/>
  <c r="AE138" i="21" s="1"/>
  <c r="AE139" i="21" s="1"/>
  <c r="AE140" i="21" s="1"/>
  <c r="AE141" i="21" s="1"/>
  <c r="AE142" i="21" s="1"/>
  <c r="E45" i="48"/>
  <c r="F45" i="48" s="1"/>
  <c r="E43" i="48"/>
  <c r="F43" i="48" s="1"/>
  <c r="E44" i="48"/>
  <c r="F44" i="48" s="1"/>
  <c r="E46" i="48"/>
  <c r="F46" i="48" s="1"/>
  <c r="E47" i="48"/>
  <c r="F47" i="48" s="1"/>
  <c r="E48" i="48"/>
  <c r="F48" i="48" s="1"/>
  <c r="E49" i="48"/>
  <c r="F49" i="48" s="1"/>
  <c r="D68" i="48" s="1"/>
  <c r="E50" i="48"/>
  <c r="F50" i="48" s="1"/>
  <c r="E51" i="48"/>
  <c r="F51" i="48" s="1"/>
  <c r="E52" i="48"/>
  <c r="F52" i="48" s="1"/>
  <c r="E42" i="48"/>
  <c r="F42" i="48" s="1"/>
  <c r="BF67" i="49"/>
  <c r="BG52" i="49"/>
  <c r="BF68" i="49"/>
  <c r="BG53" i="49"/>
  <c r="AP39" i="47"/>
  <c r="AQ39" i="47" s="1"/>
  <c r="X63" i="47" s="1"/>
  <c r="Z63" i="47" s="1"/>
  <c r="X27" i="48"/>
  <c r="D67" i="48"/>
  <c r="AR47" i="47"/>
  <c r="AR48" i="47" s="1"/>
  <c r="F67" i="47"/>
  <c r="L59" i="49" s="1"/>
  <c r="AR51" i="47"/>
  <c r="AR52" i="47" s="1"/>
  <c r="F68" i="47"/>
  <c r="O28" i="49"/>
  <c r="L28" i="49"/>
  <c r="M28" i="49"/>
  <c r="N28" i="49"/>
  <c r="Y31" i="50"/>
  <c r="L29" i="49"/>
  <c r="BH21" i="49" s="1"/>
  <c r="K29" i="49"/>
  <c r="AT47" i="46"/>
  <c r="AT48" i="46" s="1"/>
  <c r="AT51" i="46"/>
  <c r="AT52" i="46" s="1"/>
  <c r="AP21" i="46"/>
  <c r="AP20" i="46"/>
  <c r="AS37" i="46"/>
  <c r="Z62" i="46" s="1"/>
  <c r="AB62" i="46" s="1"/>
  <c r="AQ37" i="47"/>
  <c r="X62" i="47" s="1"/>
  <c r="Z62" i="47" s="1"/>
  <c r="AS39" i="46"/>
  <c r="Z63" i="46" s="1"/>
  <c r="AB63" i="46" s="1"/>
  <c r="BF66" i="49"/>
  <c r="R37" i="22" l="1"/>
  <c r="R38" i="22"/>
  <c r="P38" i="22"/>
  <c r="Q38" i="22" s="1"/>
  <c r="N39" i="22"/>
  <c r="H47" i="22"/>
  <c r="J46" i="22"/>
  <c r="K46" i="22" s="1"/>
  <c r="L46" i="22" s="1"/>
  <c r="H39" i="22"/>
  <c r="J38" i="22"/>
  <c r="K38" i="22" s="1"/>
  <c r="L38" i="22" s="1"/>
  <c r="B45" i="22"/>
  <c r="D44" i="22"/>
  <c r="E44" i="22" s="1"/>
  <c r="F44" i="22" s="1"/>
  <c r="B39" i="22"/>
  <c r="D38" i="22"/>
  <c r="E38" i="22" s="1"/>
  <c r="F38" i="22" s="1"/>
  <c r="E38" i="3"/>
  <c r="F22" i="3"/>
  <c r="AE26" i="3"/>
  <c r="AF26" i="3" s="1"/>
  <c r="L50" i="3"/>
  <c r="I50" i="3" s="1"/>
  <c r="L51" i="3"/>
  <c r="I51" i="3" s="1"/>
  <c r="L52" i="3"/>
  <c r="I52" i="3" s="1"/>
  <c r="L53" i="3"/>
  <c r="I53" i="3" s="1"/>
  <c r="L54" i="3"/>
  <c r="I54" i="3" s="1"/>
  <c r="L55" i="3"/>
  <c r="I55" i="3" s="1"/>
  <c r="L56" i="3"/>
  <c r="I56" i="3" s="1"/>
  <c r="L57" i="3"/>
  <c r="I57" i="3" s="1"/>
  <c r="L58" i="3"/>
  <c r="I58" i="3" s="1"/>
  <c r="AN36" i="33"/>
  <c r="AB36" i="33"/>
  <c r="V37" i="33"/>
  <c r="V38" i="33" s="1"/>
  <c r="AH36" i="33"/>
  <c r="AT36" i="33"/>
  <c r="AZ36" i="33"/>
  <c r="J28" i="50"/>
  <c r="K31" i="49" s="1"/>
  <c r="BJ20" i="49" s="1"/>
  <c r="AB30" i="50"/>
  <c r="BL20" i="49" s="1"/>
  <c r="K33" i="49" s="1"/>
  <c r="AA30" i="50"/>
  <c r="BK20" i="49" s="1"/>
  <c r="K32" i="49" s="1"/>
  <c r="Z30" i="50"/>
  <c r="AB34" i="50"/>
  <c r="BL24" i="49" s="1"/>
  <c r="O33" i="49" s="1"/>
  <c r="Z34" i="50"/>
  <c r="AA34" i="50"/>
  <c r="BK24" i="49" s="1"/>
  <c r="O32" i="49" s="1"/>
  <c r="N28" i="50"/>
  <c r="O31" i="49" s="1"/>
  <c r="BJ24" i="49" s="1"/>
  <c r="AB31" i="50"/>
  <c r="BL21" i="49" s="1"/>
  <c r="L33" i="49" s="1"/>
  <c r="AB32" i="50"/>
  <c r="BL22" i="49" s="1"/>
  <c r="M33" i="49" s="1"/>
  <c r="AB33" i="50"/>
  <c r="BL23" i="49" s="1"/>
  <c r="N33" i="49" s="1"/>
  <c r="K28" i="50"/>
  <c r="L31" i="49" s="1"/>
  <c r="BJ21" i="49" s="1"/>
  <c r="L28" i="50"/>
  <c r="M31" i="49" s="1"/>
  <c r="BJ22" i="49" s="1"/>
  <c r="M28" i="50"/>
  <c r="N31" i="49" s="1"/>
  <c r="BJ23" i="49" s="1"/>
  <c r="Z31" i="50"/>
  <c r="AA31" i="50"/>
  <c r="BK21" i="49" s="1"/>
  <c r="L32" i="49" s="1"/>
  <c r="Z32" i="50"/>
  <c r="AA32" i="50"/>
  <c r="BK22" i="49" s="1"/>
  <c r="M32" i="49" s="1"/>
  <c r="Z33" i="50"/>
  <c r="AA33" i="50"/>
  <c r="BK23" i="49" s="1"/>
  <c r="N32" i="49" s="1"/>
  <c r="F23" i="26"/>
  <c r="R21" i="29" s="1"/>
  <c r="I91" i="29" s="1"/>
  <c r="I93" i="29" s="1"/>
  <c r="F100" i="26"/>
  <c r="F177" i="26"/>
  <c r="T24" i="29"/>
  <c r="T26" i="29" s="1"/>
  <c r="R24" i="29"/>
  <c r="R26" i="29" s="1"/>
  <c r="S24" i="29"/>
  <c r="S26" i="29" s="1"/>
  <c r="K37" i="13"/>
  <c r="H24" i="25"/>
  <c r="Q20" i="5"/>
  <c r="J41" i="12"/>
  <c r="J42" i="12" s="1"/>
  <c r="N21" i="26"/>
  <c r="N22" i="26" s="1"/>
  <c r="N23" i="26" s="1"/>
  <c r="F24" i="26" s="1"/>
  <c r="H50" i="3"/>
  <c r="H51" i="3"/>
  <c r="H52" i="3"/>
  <c r="H53" i="3"/>
  <c r="H54" i="3"/>
  <c r="H55" i="3"/>
  <c r="H56" i="3"/>
  <c r="H57" i="3"/>
  <c r="H58" i="3"/>
  <c r="AG14" i="21"/>
  <c r="AS10" i="21"/>
  <c r="AS12" i="21"/>
  <c r="AB55" i="21"/>
  <c r="AB49" i="21"/>
  <c r="AB50" i="21"/>
  <c r="AB51" i="21"/>
  <c r="AB52" i="21"/>
  <c r="AB53" i="21"/>
  <c r="AB54" i="21"/>
  <c r="AD49" i="21"/>
  <c r="AE49" i="21" s="1"/>
  <c r="AL49" i="21" s="1"/>
  <c r="AM49" i="21" s="1"/>
  <c r="AG12" i="21"/>
  <c r="AG16" i="21"/>
  <c r="AR50" i="48"/>
  <c r="AR51" i="48" s="1"/>
  <c r="F68" i="48"/>
  <c r="F67" i="48"/>
  <c r="AR46" i="48"/>
  <c r="AR47" i="48" s="1"/>
  <c r="Y38" i="48"/>
  <c r="Z38" i="48" s="1"/>
  <c r="AM35" i="48" s="1"/>
  <c r="Y42" i="48"/>
  <c r="Z42" i="48" s="1"/>
  <c r="AM39" i="48" s="1"/>
  <c r="Y44" i="48"/>
  <c r="Z44" i="48" s="1"/>
  <c r="AM41" i="48" s="1"/>
  <c r="Y43" i="48"/>
  <c r="Z43" i="48" s="1"/>
  <c r="AM40" i="48" s="1"/>
  <c r="Y40" i="48"/>
  <c r="Z40" i="48" s="1"/>
  <c r="AM37" i="48" s="1"/>
  <c r="Y35" i="48"/>
  <c r="Z35" i="48" s="1"/>
  <c r="AM32" i="48" s="1"/>
  <c r="Y36" i="48"/>
  <c r="Z36" i="48" s="1"/>
  <c r="AM33" i="48" s="1"/>
  <c r="Y39" i="48"/>
  <c r="Z39" i="48" s="1"/>
  <c r="AM36" i="48" s="1"/>
  <c r="Y37" i="48"/>
  <c r="Z37" i="48" s="1"/>
  <c r="AM34" i="48" s="1"/>
  <c r="Y41" i="48"/>
  <c r="Z41" i="48" s="1"/>
  <c r="AM38" i="48" s="1"/>
  <c r="BF52" i="49"/>
  <c r="X67" i="49"/>
  <c r="Y34" i="50"/>
  <c r="O29" i="49"/>
  <c r="BH24" i="49" s="1"/>
  <c r="M29" i="49"/>
  <c r="BH22" i="49" s="1"/>
  <c r="Y32" i="50"/>
  <c r="Y40" i="50"/>
  <c r="Y41" i="50" s="1"/>
  <c r="Y43" i="50" s="1"/>
  <c r="J51" i="50"/>
  <c r="J61" i="49" s="1"/>
  <c r="Y33" i="50"/>
  <c r="N29" i="49"/>
  <c r="BH20" i="49"/>
  <c r="N40" i="22" l="1"/>
  <c r="P39" i="22"/>
  <c r="Q39" i="22" s="1"/>
  <c r="R39" i="22" s="1"/>
  <c r="H48" i="22"/>
  <c r="J47" i="22"/>
  <c r="K47" i="22" s="1"/>
  <c r="L47" i="22" s="1"/>
  <c r="H40" i="22"/>
  <c r="J39" i="22"/>
  <c r="K39" i="22" s="1"/>
  <c r="L39" i="22" s="1"/>
  <c r="B46" i="22"/>
  <c r="D45" i="22"/>
  <c r="E45" i="22" s="1"/>
  <c r="F45" i="22" s="1"/>
  <c r="B40" i="22"/>
  <c r="D40" i="22" s="1"/>
  <c r="E40" i="22" s="1"/>
  <c r="F40" i="22" s="1"/>
  <c r="D39" i="22"/>
  <c r="E39" i="22" s="1"/>
  <c r="F39" i="22" s="1"/>
  <c r="F23" i="3"/>
  <c r="G22" i="3"/>
  <c r="I34" i="4" s="1"/>
  <c r="AE12" i="3"/>
  <c r="AF12" i="3" s="1"/>
  <c r="AD12" i="3"/>
  <c r="AB12" i="3" s="1"/>
  <c r="AE11" i="3"/>
  <c r="AF11" i="3" s="1"/>
  <c r="AD11" i="3"/>
  <c r="AB11" i="3" s="1"/>
  <c r="AE10" i="3"/>
  <c r="AF10" i="3" s="1"/>
  <c r="AD10" i="3"/>
  <c r="AB10" i="3" s="1"/>
  <c r="AE9" i="3"/>
  <c r="AF9" i="3" s="1"/>
  <c r="AD9" i="3"/>
  <c r="AB9" i="3" s="1"/>
  <c r="I69" i="3"/>
  <c r="AE8" i="3"/>
  <c r="AF8" i="3" s="1"/>
  <c r="AD8" i="3"/>
  <c r="AB8" i="3" s="1"/>
  <c r="AE7" i="3"/>
  <c r="AF7" i="3" s="1"/>
  <c r="AD7" i="3"/>
  <c r="AB7" i="3" s="1"/>
  <c r="AE6" i="3"/>
  <c r="AF6" i="3" s="1"/>
  <c r="AD6" i="3"/>
  <c r="AB6" i="3" s="1"/>
  <c r="AE5" i="3"/>
  <c r="AF5" i="3" s="1"/>
  <c r="AD5" i="3"/>
  <c r="AB5" i="3" s="1"/>
  <c r="AE4" i="3"/>
  <c r="AF4" i="3" s="1"/>
  <c r="AD4" i="3"/>
  <c r="AB4" i="3" s="1"/>
  <c r="I70" i="3"/>
  <c r="AN37" i="33"/>
  <c r="AN38" i="33" s="1"/>
  <c r="AB37" i="33"/>
  <c r="AB38" i="33" s="1"/>
  <c r="AH37" i="33"/>
  <c r="AH38" i="33" s="1"/>
  <c r="AT37" i="33"/>
  <c r="AT38" i="33" s="1"/>
  <c r="AZ37" i="33"/>
  <c r="AZ38" i="33" s="1"/>
  <c r="F101" i="26"/>
  <c r="F178" i="26"/>
  <c r="R22" i="29"/>
  <c r="I94" i="29"/>
  <c r="N92" i="29" s="1"/>
  <c r="N93" i="29" s="1"/>
  <c r="M92" i="29"/>
  <c r="M93" i="29" s="1"/>
  <c r="F25" i="26"/>
  <c r="R23" i="29" s="1"/>
  <c r="H29" i="25"/>
  <c r="K39" i="13"/>
  <c r="F102" i="26"/>
  <c r="F179" i="26"/>
  <c r="AC12" i="3"/>
  <c r="L43" i="4"/>
  <c r="L44" i="4"/>
  <c r="K42" i="4" a="1"/>
  <c r="L42" i="4" s="1"/>
  <c r="L40" i="4"/>
  <c r="K46" i="4" a="1"/>
  <c r="L46" i="4" s="1"/>
  <c r="K35" i="4" a="1"/>
  <c r="L67" i="3"/>
  <c r="AC11" i="3"/>
  <c r="L68" i="3"/>
  <c r="AC10" i="3"/>
  <c r="L69" i="3"/>
  <c r="AC9" i="3"/>
  <c r="L70" i="3"/>
  <c r="AC8" i="3"/>
  <c r="L71" i="3"/>
  <c r="AC7" i="3"/>
  <c r="L72" i="3"/>
  <c r="AC6" i="3"/>
  <c r="L73" i="3"/>
  <c r="AC5" i="3"/>
  <c r="L74" i="3"/>
  <c r="AC4" i="3"/>
  <c r="L75" i="3"/>
  <c r="H31" i="25"/>
  <c r="AG18" i="21"/>
  <c r="J45" i="12"/>
  <c r="J44" i="12" s="1"/>
  <c r="J43" i="12"/>
  <c r="AD50" i="21"/>
  <c r="AE50" i="21" s="1"/>
  <c r="AL50" i="21" s="1"/>
  <c r="AP38" i="48"/>
  <c r="AQ38" i="48" s="1"/>
  <c r="X62" i="48" s="1"/>
  <c r="Z62" i="48" s="1"/>
  <c r="AP36" i="48"/>
  <c r="AQ36" i="48" s="1"/>
  <c r="X61" i="48" s="1"/>
  <c r="Z61" i="48" s="1"/>
  <c r="L58" i="49"/>
  <c r="BF69" i="49"/>
  <c r="BI44" i="49"/>
  <c r="BI45" i="49" s="1"/>
  <c r="BH23" i="49"/>
  <c r="K36" i="49"/>
  <c r="J62" i="49" s="1"/>
  <c r="BJ49" i="49"/>
  <c r="BJ50" i="49" s="1"/>
  <c r="BF53" i="49"/>
  <c r="X68" i="49"/>
  <c r="P40" i="22" l="1"/>
  <c r="Q40" i="22" s="1"/>
  <c r="R40" i="22" s="1"/>
  <c r="N41" i="22"/>
  <c r="J48" i="22"/>
  <c r="K48" i="22" s="1"/>
  <c r="L48" i="22" s="1"/>
  <c r="H49" i="22"/>
  <c r="H41" i="22"/>
  <c r="J40" i="22"/>
  <c r="K40" i="22" s="1"/>
  <c r="L40" i="22" s="1"/>
  <c r="B47" i="22"/>
  <c r="D46" i="22"/>
  <c r="E46" i="22" s="1"/>
  <c r="F46" i="22" s="1"/>
  <c r="L39" i="4"/>
  <c r="G23" i="3"/>
  <c r="I35" i="4" s="1"/>
  <c r="F24" i="3"/>
  <c r="AG12" i="3"/>
  <c r="AH12" i="3"/>
  <c r="AI12" i="3"/>
  <c r="AJ12" i="3"/>
  <c r="AK12" i="3"/>
  <c r="AP13" i="3"/>
  <c r="AQ13" i="3"/>
  <c r="AR13" i="3"/>
  <c r="AS13" i="3"/>
  <c r="AT13" i="3"/>
  <c r="L37" i="4"/>
  <c r="L35" i="4"/>
  <c r="L36" i="4"/>
  <c r="L38" i="4"/>
  <c r="AG11" i="3"/>
  <c r="AH11" i="3"/>
  <c r="AI11" i="3"/>
  <c r="AJ11" i="3"/>
  <c r="AK11" i="3"/>
  <c r="AP12" i="3"/>
  <c r="AQ12" i="3"/>
  <c r="AR12" i="3"/>
  <c r="AS12" i="3"/>
  <c r="AT12" i="3"/>
  <c r="AG10" i="3"/>
  <c r="AH10" i="3"/>
  <c r="AI10" i="3"/>
  <c r="AJ10" i="3"/>
  <c r="AK10" i="3"/>
  <c r="AP11" i="3"/>
  <c r="AQ11" i="3"/>
  <c r="AR11" i="3"/>
  <c r="AS11" i="3"/>
  <c r="AT11" i="3"/>
  <c r="AG9" i="3"/>
  <c r="AH9" i="3"/>
  <c r="AI9" i="3"/>
  <c r="AJ9" i="3"/>
  <c r="AK9" i="3"/>
  <c r="AP10" i="3"/>
  <c r="AQ10" i="3"/>
  <c r="AR10" i="3"/>
  <c r="AS10" i="3"/>
  <c r="AT10" i="3"/>
  <c r="AG8" i="3"/>
  <c r="AH8" i="3"/>
  <c r="AI8" i="3"/>
  <c r="AJ8" i="3"/>
  <c r="AK8" i="3"/>
  <c r="AP9" i="3"/>
  <c r="AQ9" i="3"/>
  <c r="AR9" i="3"/>
  <c r="AS9" i="3"/>
  <c r="AT9" i="3"/>
  <c r="AG7" i="3"/>
  <c r="AH7" i="3"/>
  <c r="AI7" i="3"/>
  <c r="AJ7" i="3"/>
  <c r="AK7" i="3"/>
  <c r="AP8" i="3"/>
  <c r="AQ8" i="3"/>
  <c r="AR8" i="3"/>
  <c r="AS8" i="3"/>
  <c r="AT8" i="3"/>
  <c r="AG6" i="3"/>
  <c r="AH6" i="3"/>
  <c r="AI6" i="3"/>
  <c r="AJ6" i="3"/>
  <c r="AK6" i="3"/>
  <c r="AP7" i="3"/>
  <c r="AQ7" i="3"/>
  <c r="AR7" i="3"/>
  <c r="AS7" i="3"/>
  <c r="AT7" i="3"/>
  <c r="AG5" i="3"/>
  <c r="AH5" i="3"/>
  <c r="AI5" i="3"/>
  <c r="AJ5" i="3"/>
  <c r="AK5" i="3"/>
  <c r="AP6" i="3"/>
  <c r="AQ6" i="3"/>
  <c r="AR6" i="3"/>
  <c r="AS6" i="3"/>
  <c r="AT6" i="3"/>
  <c r="AG4" i="3"/>
  <c r="AH4" i="3"/>
  <c r="AI4" i="3"/>
  <c r="AJ4" i="3"/>
  <c r="AK4" i="3"/>
  <c r="AP5" i="3"/>
  <c r="AQ5" i="3"/>
  <c r="AR5" i="3"/>
  <c r="AS5" i="3"/>
  <c r="AT5" i="3"/>
  <c r="AG19" i="21"/>
  <c r="J27" i="21"/>
  <c r="AC47" i="21"/>
  <c r="K43" i="13"/>
  <c r="Q23" i="5"/>
  <c r="K41" i="13"/>
  <c r="H30" i="25"/>
  <c r="AM50" i="21"/>
  <c r="AD51" i="21"/>
  <c r="AE51" i="21" s="1"/>
  <c r="AL51" i="21" s="1"/>
  <c r="AM51" i="21" s="1"/>
  <c r="BF51" i="49"/>
  <c r="X66" i="49"/>
  <c r="BG44" i="49"/>
  <c r="BG45" i="49" s="1"/>
  <c r="BF70" i="49"/>
  <c r="P41" i="22" l="1"/>
  <c r="Q41" i="22" s="1"/>
  <c r="R41" i="22" s="1"/>
  <c r="N42" i="22"/>
  <c r="H50" i="22"/>
  <c r="J49" i="22"/>
  <c r="K49" i="22" s="1"/>
  <c r="L49" i="22" s="1"/>
  <c r="H42" i="22"/>
  <c r="J41" i="22"/>
  <c r="K41" i="22" s="1"/>
  <c r="L41" i="22" s="1"/>
  <c r="B48" i="22"/>
  <c r="D47" i="22"/>
  <c r="E47" i="22" s="1"/>
  <c r="F47" i="22" s="1"/>
  <c r="AG43" i="3"/>
  <c r="AP43" i="3"/>
  <c r="G24" i="3"/>
  <c r="I36" i="4" s="1"/>
  <c r="F25" i="3"/>
  <c r="AG31" i="3"/>
  <c r="AH31" i="3" s="1"/>
  <c r="AG32" i="3"/>
  <c r="AG34" i="3"/>
  <c r="AG35" i="3"/>
  <c r="AG37" i="3"/>
  <c r="AG38" i="3"/>
  <c r="AG40" i="3"/>
  <c r="AG41" i="3"/>
  <c r="AH41" i="3" s="1"/>
  <c r="AH43" i="3"/>
  <c r="AP31" i="3"/>
  <c r="AP32" i="3"/>
  <c r="AP34" i="3"/>
  <c r="AP35" i="3"/>
  <c r="AP37" i="3"/>
  <c r="AP38" i="3"/>
  <c r="AP40" i="3"/>
  <c r="AP41" i="3"/>
  <c r="AQ41" i="3" s="1"/>
  <c r="AQ43" i="3"/>
  <c r="AQ42" i="3" s="1"/>
  <c r="AT29" i="3" s="1"/>
  <c r="Z29" i="21"/>
  <c r="Z30" i="21" s="1"/>
  <c r="K69" i="13"/>
  <c r="AC55" i="21"/>
  <c r="AC48" i="21"/>
  <c r="AF48" i="21" s="1"/>
  <c r="AC49" i="21"/>
  <c r="AC52" i="21"/>
  <c r="AC53" i="21"/>
  <c r="AH53" i="21" s="1"/>
  <c r="AC50" i="21"/>
  <c r="AC51" i="21"/>
  <c r="AC54" i="21"/>
  <c r="AD52" i="21"/>
  <c r="AE52" i="21"/>
  <c r="AL52" i="21" s="1"/>
  <c r="AA41" i="50" a="1"/>
  <c r="AA40" i="50" a="1"/>
  <c r="P42" i="22" l="1"/>
  <c r="Q42" i="22" s="1"/>
  <c r="R42" i="22" s="1"/>
  <c r="N43" i="22"/>
  <c r="J50" i="22"/>
  <c r="K50" i="22" s="1"/>
  <c r="L50" i="22" s="1"/>
  <c r="H51" i="22"/>
  <c r="H43" i="22"/>
  <c r="J43" i="22" s="1"/>
  <c r="K43" i="22" s="1"/>
  <c r="L43" i="22" s="1"/>
  <c r="J42" i="22"/>
  <c r="K42" i="22" s="1"/>
  <c r="L42" i="22" s="1"/>
  <c r="B49" i="22"/>
  <c r="D48" i="22"/>
  <c r="E48" i="22" s="1"/>
  <c r="F48" i="22" s="1"/>
  <c r="AH42" i="3"/>
  <c r="AK29" i="3" s="1"/>
  <c r="Z3" i="3" s="1"/>
  <c r="G25" i="3"/>
  <c r="I37" i="4" s="1"/>
  <c r="F26" i="3"/>
  <c r="AH32" i="3"/>
  <c r="AH33" i="3"/>
  <c r="L19" i="3"/>
  <c r="AQ40" i="3"/>
  <c r="Z25" i="21"/>
  <c r="AF49" i="21"/>
  <c r="AH48" i="21"/>
  <c r="AI48" i="21" s="1"/>
  <c r="AF50" i="21"/>
  <c r="AH49" i="21"/>
  <c r="Z20" i="21"/>
  <c r="AA20" i="21" s="1"/>
  <c r="J24" i="21" s="1"/>
  <c r="K65" i="13" s="1"/>
  <c r="AF53" i="21"/>
  <c r="AI53" i="21" s="1"/>
  <c r="AH52" i="21"/>
  <c r="AH50" i="21"/>
  <c r="AF51" i="21"/>
  <c r="AF52" i="21"/>
  <c r="AI52" i="21" s="1"/>
  <c r="AH51" i="21"/>
  <c r="Z24" i="21"/>
  <c r="AD53" i="21"/>
  <c r="AE53" i="21"/>
  <c r="AL53" i="21" s="1"/>
  <c r="AM53" i="21" s="1"/>
  <c r="AI56" i="21"/>
  <c r="AM52" i="21"/>
  <c r="BI48" i="49"/>
  <c r="J52" i="50"/>
  <c r="X40" i="50"/>
  <c r="X43" i="50" s="1"/>
  <c r="X44" i="50" s="1"/>
  <c r="N44" i="22" l="1"/>
  <c r="P43" i="22"/>
  <c r="Q43" i="22" s="1"/>
  <c r="R43" i="22" s="1"/>
  <c r="J51" i="22"/>
  <c r="K51" i="22" s="1"/>
  <c r="L51" i="22" s="1"/>
  <c r="H52" i="22"/>
  <c r="B50" i="22"/>
  <c r="D49" i="22"/>
  <c r="E49" i="22" s="1"/>
  <c r="F49" i="22" s="1"/>
  <c r="G26" i="3"/>
  <c r="I38" i="4" s="1"/>
  <c r="F27" i="3"/>
  <c r="G27" i="4"/>
  <c r="K46" i="13"/>
  <c r="AI49" i="21"/>
  <c r="AI50" i="21"/>
  <c r="AI51" i="21"/>
  <c r="AD54" i="21"/>
  <c r="AE54" i="21"/>
  <c r="J25" i="21"/>
  <c r="K67" i="13" s="1"/>
  <c r="Z34" i="21"/>
  <c r="Z33" i="21"/>
  <c r="AJ56" i="21"/>
  <c r="BI49" i="49"/>
  <c r="K35" i="49"/>
  <c r="K37" i="49" s="1"/>
  <c r="P44" i="22" l="1"/>
  <c r="Q44" i="22" s="1"/>
  <c r="R44" i="22" s="1"/>
  <c r="N45" i="22"/>
  <c r="J52" i="22"/>
  <c r="K52" i="22" s="1"/>
  <c r="L52" i="22" s="1"/>
  <c r="H53" i="22"/>
  <c r="B51" i="22"/>
  <c r="D50" i="22"/>
  <c r="E50" i="22" s="1"/>
  <c r="F50" i="22" s="1"/>
  <c r="G27" i="3"/>
  <c r="I39" i="4" s="1"/>
  <c r="F28" i="3"/>
  <c r="AI55" i="21"/>
  <c r="AJ55" i="21"/>
  <c r="AJ57" i="21" s="1"/>
  <c r="AD55" i="21"/>
  <c r="AE55" i="21"/>
  <c r="P45" i="22" l="1"/>
  <c r="Q45" i="22" s="1"/>
  <c r="R45" i="22" s="1"/>
  <c r="N46" i="22"/>
  <c r="J53" i="22"/>
  <c r="K53" i="22" s="1"/>
  <c r="L53" i="22" s="1"/>
  <c r="H54" i="22"/>
  <c r="B52" i="22"/>
  <c r="D51" i="22"/>
  <c r="E51" i="22" s="1"/>
  <c r="F51" i="22" s="1"/>
  <c r="G28" i="3"/>
  <c r="I40" i="4" s="1"/>
  <c r="F29" i="3"/>
  <c r="AI57" i="21"/>
  <c r="J23" i="21" s="1"/>
  <c r="K73" i="13" s="1"/>
  <c r="J26" i="21"/>
  <c r="K71" i="13" s="1"/>
  <c r="P46" i="22" l="1"/>
  <c r="Q46" i="22" s="1"/>
  <c r="R46" i="22" s="1"/>
  <c r="N47" i="22"/>
  <c r="J54" i="22"/>
  <c r="K54" i="22" s="1"/>
  <c r="L54" i="22" s="1"/>
  <c r="H55" i="22"/>
  <c r="B53" i="22"/>
  <c r="D52" i="22"/>
  <c r="E52" i="22" s="1"/>
  <c r="F52" i="22" s="1"/>
  <c r="G29" i="3"/>
  <c r="I41" i="4" s="1"/>
  <c r="F30" i="3"/>
  <c r="N48" i="22" l="1"/>
  <c r="P47" i="22"/>
  <c r="Q47" i="22" s="1"/>
  <c r="R47" i="22" s="1"/>
  <c r="J55" i="22"/>
  <c r="K55" i="22" s="1"/>
  <c r="L55" i="22" s="1"/>
  <c r="H56" i="22"/>
  <c r="B54" i="22"/>
  <c r="D53" i="22"/>
  <c r="E53" i="22" s="1"/>
  <c r="F53" i="22" s="1"/>
  <c r="G30" i="3"/>
  <c r="I42" i="4" s="1"/>
  <c r="F31" i="3"/>
  <c r="P48" i="22" l="1"/>
  <c r="Q48" i="22" s="1"/>
  <c r="R48" i="22" s="1"/>
  <c r="N49" i="22"/>
  <c r="H57" i="22"/>
  <c r="J56" i="22"/>
  <c r="K56" i="22" s="1"/>
  <c r="L56" i="22" s="1"/>
  <c r="B55" i="22"/>
  <c r="D54" i="22"/>
  <c r="E54" i="22" s="1"/>
  <c r="F54" i="22" s="1"/>
  <c r="G31" i="3"/>
  <c r="I43" i="4" s="1"/>
  <c r="F32" i="3"/>
  <c r="P49" i="22" l="1"/>
  <c r="Q49" i="22" s="1"/>
  <c r="R49" i="22" s="1"/>
  <c r="N50" i="22"/>
  <c r="H58" i="22"/>
  <c r="J57" i="22"/>
  <c r="K57" i="22" s="1"/>
  <c r="L57" i="22" s="1"/>
  <c r="B56" i="22"/>
  <c r="D55" i="22"/>
  <c r="E55" i="22" s="1"/>
  <c r="F55" i="22" s="1"/>
  <c r="G32" i="3"/>
  <c r="F33" i="3"/>
  <c r="P50" i="22" l="1"/>
  <c r="Q50" i="22" s="1"/>
  <c r="R50" i="22" s="1"/>
  <c r="N51" i="22"/>
  <c r="J58" i="22"/>
  <c r="K58" i="22" s="1"/>
  <c r="L58" i="22" s="1"/>
  <c r="H59" i="22"/>
  <c r="D56" i="22"/>
  <c r="E56" i="22" s="1"/>
  <c r="F56" i="22" s="1"/>
  <c r="B57" i="22"/>
  <c r="AD16" i="3"/>
  <c r="I44" i="4"/>
  <c r="G33" i="3"/>
  <c r="F34" i="3"/>
  <c r="P51" i="22" l="1"/>
  <c r="Q51" i="22" s="1"/>
  <c r="R51" i="22" s="1"/>
  <c r="N52" i="22"/>
  <c r="H60" i="22"/>
  <c r="J59" i="22"/>
  <c r="K59" i="22" s="1"/>
  <c r="L59" i="22" s="1"/>
  <c r="B58" i="22"/>
  <c r="D57" i="22"/>
  <c r="E57" i="22" s="1"/>
  <c r="F57" i="22" s="1"/>
  <c r="AD17" i="3"/>
  <c r="AQ37" i="3" s="1"/>
  <c r="AB16" i="3"/>
  <c r="AD15" i="3"/>
  <c r="AB15" i="3" s="1"/>
  <c r="I45" i="4"/>
  <c r="G34" i="3"/>
  <c r="F35" i="3"/>
  <c r="P52" i="22" l="1"/>
  <c r="Q52" i="22" s="1"/>
  <c r="R52" i="22" s="1"/>
  <c r="N53" i="22"/>
  <c r="H61" i="22"/>
  <c r="J60" i="22"/>
  <c r="K60" i="22" s="1"/>
  <c r="L60" i="22" s="1"/>
  <c r="D58" i="22"/>
  <c r="E58" i="22" s="1"/>
  <c r="F58" i="22" s="1"/>
  <c r="B59" i="22"/>
  <c r="AD18" i="3"/>
  <c r="AB17" i="3"/>
  <c r="I46" i="4"/>
  <c r="AD14" i="3"/>
  <c r="G35" i="3"/>
  <c r="F36" i="3"/>
  <c r="P53" i="22" l="1"/>
  <c r="Q53" i="22" s="1"/>
  <c r="R53" i="22" s="1"/>
  <c r="N54" i="22"/>
  <c r="H62" i="22"/>
  <c r="J61" i="22"/>
  <c r="K61" i="22" s="1"/>
  <c r="L61" i="22" s="1"/>
  <c r="B60" i="22"/>
  <c r="D59" i="22"/>
  <c r="E59" i="22" s="1"/>
  <c r="F59" i="22" s="1"/>
  <c r="AQ35" i="3"/>
  <c r="AQ36" i="3" s="1"/>
  <c r="AH37" i="3"/>
  <c r="AB14" i="3"/>
  <c r="AH38" i="3"/>
  <c r="AD19" i="3"/>
  <c r="AH35" i="3" s="1"/>
  <c r="AH36" i="3" s="1"/>
  <c r="AB18" i="3"/>
  <c r="AD13" i="3"/>
  <c r="I47" i="4"/>
  <c r="P54" i="22" l="1"/>
  <c r="Q54" i="22" s="1"/>
  <c r="R54" i="22" s="1"/>
  <c r="N55" i="22"/>
  <c r="H63" i="22"/>
  <c r="J62" i="22"/>
  <c r="K62" i="22" s="1"/>
  <c r="L62" i="22" s="1"/>
  <c r="B61" i="22"/>
  <c r="D60" i="22"/>
  <c r="E60" i="22" s="1"/>
  <c r="F60" i="22" s="1"/>
  <c r="AB13" i="3"/>
  <c r="AQ38" i="3"/>
  <c r="AQ39" i="3" s="1"/>
  <c r="AR39" i="3" s="1"/>
  <c r="AS29" i="3" s="1"/>
  <c r="AR29" i="3" s="1"/>
  <c r="AH40" i="3"/>
  <c r="AH39" i="3" s="1"/>
  <c r="AI39" i="3" s="1"/>
  <c r="AJ29" i="3" s="1"/>
  <c r="AD20" i="3"/>
  <c r="AB19" i="3"/>
  <c r="N56" i="22" l="1"/>
  <c r="P55" i="22"/>
  <c r="Q55" i="22" s="1"/>
  <c r="R55" i="22" s="1"/>
  <c r="J63" i="22"/>
  <c r="K63" i="22" s="1"/>
  <c r="L63" i="22" s="1"/>
  <c r="H64" i="22"/>
  <c r="J64" i="22" s="1"/>
  <c r="K64" i="22" s="1"/>
  <c r="L64" i="22" s="1"/>
  <c r="K111" i="22" s="1"/>
  <c r="B62" i="22"/>
  <c r="D62" i="22" s="1"/>
  <c r="E62" i="22" s="1"/>
  <c r="F62" i="22" s="1"/>
  <c r="I111" i="22" s="1"/>
  <c r="D61" i="22"/>
  <c r="E61" i="22" s="1"/>
  <c r="F61" i="22" s="1"/>
  <c r="AI29" i="3"/>
  <c r="Y3" i="3"/>
  <c r="M19" i="3"/>
  <c r="AD21" i="3"/>
  <c r="AB20" i="3"/>
  <c r="P56" i="22" l="1"/>
  <c r="Q56" i="22" s="1"/>
  <c r="R56" i="22" s="1"/>
  <c r="N57" i="22"/>
  <c r="K112" i="22"/>
  <c r="Q117" i="22" s="1"/>
  <c r="J27" i="22"/>
  <c r="Q115" i="22"/>
  <c r="I112" i="22"/>
  <c r="P117" i="22" s="1"/>
  <c r="P115" i="22"/>
  <c r="I27" i="22"/>
  <c r="X3" i="3"/>
  <c r="O19" i="3"/>
  <c r="AH29" i="3"/>
  <c r="K48" i="13"/>
  <c r="I27" i="4"/>
  <c r="AD22" i="3"/>
  <c r="AB21" i="3"/>
  <c r="P57" i="22" l="1"/>
  <c r="Q57" i="22" s="1"/>
  <c r="R57" i="22" s="1"/>
  <c r="N58" i="22"/>
  <c r="J38" i="5"/>
  <c r="J28" i="22"/>
  <c r="J39" i="5" s="1"/>
  <c r="Q119" i="22"/>
  <c r="N129" i="22"/>
  <c r="N126" i="22"/>
  <c r="N127" i="22" s="1"/>
  <c r="N130" i="22"/>
  <c r="N131" i="22" s="1"/>
  <c r="N132" i="22" s="1"/>
  <c r="N133" i="22" s="1"/>
  <c r="N134" i="22" s="1"/>
  <c r="N135" i="22" s="1"/>
  <c r="N136" i="22" s="1"/>
  <c r="N137" i="22" s="1"/>
  <c r="N138" i="22" s="1"/>
  <c r="N139" i="22" s="1"/>
  <c r="N140" i="22" s="1"/>
  <c r="N141" i="22" s="1"/>
  <c r="N142" i="22" s="1"/>
  <c r="N143" i="22" s="1"/>
  <c r="N144" i="22" s="1"/>
  <c r="N145" i="22" s="1"/>
  <c r="N146" i="22" s="1"/>
  <c r="N147" i="22" s="1"/>
  <c r="N148" i="22" s="1"/>
  <c r="P119" i="22"/>
  <c r="L126" i="22"/>
  <c r="L127" i="22" s="1"/>
  <c r="L129" i="22"/>
  <c r="L130" i="22" s="1"/>
  <c r="L131" i="22" s="1"/>
  <c r="L132" i="22" s="1"/>
  <c r="L133" i="22" s="1"/>
  <c r="L134" i="22" s="1"/>
  <c r="L135" i="22" s="1"/>
  <c r="L136" i="22" s="1"/>
  <c r="L137" i="22" s="1"/>
  <c r="L138" i="22" s="1"/>
  <c r="L139" i="22" s="1"/>
  <c r="L140" i="22" s="1"/>
  <c r="L141" i="22" s="1"/>
  <c r="L142" i="22" s="1"/>
  <c r="L143" i="22" s="1"/>
  <c r="L144" i="22" s="1"/>
  <c r="L145" i="22" s="1"/>
  <c r="L146" i="22" s="1"/>
  <c r="L147" i="22" s="1"/>
  <c r="L148" i="22" s="1"/>
  <c r="I28" i="22"/>
  <c r="I39" i="5" s="1"/>
  <c r="I38" i="5"/>
  <c r="J27" i="4"/>
  <c r="K50" i="13"/>
  <c r="H12" i="3"/>
  <c r="W3" i="3"/>
  <c r="AG29" i="3"/>
  <c r="V3" i="3" s="1"/>
  <c r="M27" i="4"/>
  <c r="AB22" i="3"/>
  <c r="AD23" i="3"/>
  <c r="P58" i="22" l="1"/>
  <c r="Q58" i="22" s="1"/>
  <c r="R58" i="22" s="1"/>
  <c r="N59" i="22"/>
  <c r="Q136" i="22"/>
  <c r="Q131" i="22"/>
  <c r="Q142" i="22"/>
  <c r="Q133" i="22"/>
  <c r="Q144" i="22"/>
  <c r="Q147" i="22"/>
  <c r="Q145" i="22"/>
  <c r="Q143" i="22"/>
  <c r="Q132" i="22"/>
  <c r="Q120" i="22"/>
  <c r="Q139" i="22"/>
  <c r="Q137" i="22"/>
  <c r="Q130" i="22"/>
  <c r="Q140" i="22"/>
  <c r="Q146" i="22"/>
  <c r="Q141" i="22"/>
  <c r="Q138" i="22"/>
  <c r="Q135" i="22"/>
  <c r="Q134" i="22"/>
  <c r="Q129" i="22"/>
  <c r="AB167" i="22"/>
  <c r="AB166" i="22"/>
  <c r="AA164" i="22"/>
  <c r="AB161" i="22"/>
  <c r="AB157" i="22"/>
  <c r="AB149" i="22"/>
  <c r="AA169" i="22"/>
  <c r="AB158" i="22"/>
  <c r="AA157" i="22"/>
  <c r="AB153" i="22"/>
  <c r="AA137" i="22"/>
  <c r="AB280" i="22"/>
  <c r="AB266" i="22"/>
  <c r="AA249" i="22"/>
  <c r="AB229" i="22"/>
  <c r="AA191" i="22"/>
  <c r="AB136" i="22"/>
  <c r="AB304" i="22"/>
  <c r="AB290" i="22"/>
  <c r="AA274" i="22"/>
  <c r="AA259" i="22"/>
  <c r="AB252" i="22"/>
  <c r="AA243" i="22"/>
  <c r="AA234" i="22"/>
  <c r="AB212" i="22"/>
  <c r="AB217" i="22"/>
  <c r="AA210" i="22"/>
  <c r="AB203" i="22"/>
  <c r="AA197" i="22"/>
  <c r="AA189" i="22"/>
  <c r="AB186" i="22"/>
  <c r="AA184" i="22"/>
  <c r="AB147" i="22"/>
  <c r="AA142" i="22"/>
  <c r="AA305" i="22"/>
  <c r="AB300" i="22"/>
  <c r="AA299" i="22"/>
  <c r="AB295" i="22"/>
  <c r="AB293" i="22"/>
  <c r="AB291" i="22"/>
  <c r="AA290" i="22"/>
  <c r="AB288" i="22"/>
  <c r="AB286" i="22"/>
  <c r="AB281" i="22"/>
  <c r="AB279" i="22"/>
  <c r="AB278" i="22"/>
  <c r="AB277" i="22"/>
  <c r="AB276" i="22"/>
  <c r="AA275" i="22"/>
  <c r="AA273" i="22"/>
  <c r="AB269" i="22"/>
  <c r="AA257" i="22"/>
  <c r="AA253" i="22"/>
  <c r="AB249" i="22"/>
  <c r="AB248" i="22"/>
  <c r="AA246" i="22"/>
  <c r="AB243" i="22"/>
  <c r="AA241" i="22"/>
  <c r="AA240" i="22"/>
  <c r="AA232" i="22"/>
  <c r="AB230" i="22"/>
  <c r="AA229" i="22"/>
  <c r="AA220" i="22"/>
  <c r="AB214" i="22"/>
  <c r="AA212" i="22"/>
  <c r="AB209" i="22"/>
  <c r="AA208" i="22"/>
  <c r="AB204" i="22"/>
  <c r="AA200" i="22"/>
  <c r="AB193" i="22"/>
  <c r="AB189" i="22"/>
  <c r="AA147" i="22"/>
  <c r="AB143" i="22"/>
  <c r="AB141" i="22"/>
  <c r="AB135" i="22"/>
  <c r="AA297" i="22"/>
  <c r="AB255" i="22"/>
  <c r="AB242" i="22"/>
  <c r="AA224" i="22"/>
  <c r="AB211" i="22"/>
  <c r="AA198" i="22"/>
  <c r="AB192" i="22"/>
  <c r="AB190" i="22"/>
  <c r="AA185" i="22"/>
  <c r="AB170" i="22"/>
  <c r="AA166" i="22"/>
  <c r="AA163" i="22"/>
  <c r="AA158" i="22"/>
  <c r="AB152" i="22"/>
  <c r="AB150" i="22"/>
  <c r="AA136" i="22"/>
  <c r="AA144" i="22"/>
  <c r="AA298" i="22"/>
  <c r="AA288" i="22"/>
  <c r="AB271" i="22"/>
  <c r="AB263" i="22"/>
  <c r="AA252" i="22"/>
  <c r="AB231" i="22"/>
  <c r="AB200" i="22"/>
  <c r="AA143" i="22"/>
  <c r="AA130" i="22"/>
  <c r="AA293" i="22"/>
  <c r="AB285" i="22"/>
  <c r="AB283" i="22"/>
  <c r="AB275" i="22"/>
  <c r="AB268" i="22"/>
  <c r="AB261" i="22"/>
  <c r="AA250" i="22"/>
  <c r="AB235" i="22"/>
  <c r="AA225" i="22"/>
  <c r="AA201" i="22"/>
  <c r="AB225" i="22"/>
  <c r="AA213" i="22"/>
  <c r="AA266" i="22"/>
  <c r="AA170" i="22"/>
  <c r="AB168" i="22"/>
  <c r="AB160" i="22"/>
  <c r="AA155" i="22"/>
  <c r="AA152" i="22"/>
  <c r="AA140" i="22"/>
  <c r="AB294" i="22"/>
  <c r="AB244" i="22"/>
  <c r="AB306" i="22"/>
  <c r="AA171" i="22"/>
  <c r="AA168" i="22"/>
  <c r="AB165" i="22"/>
  <c r="AA162" i="22"/>
  <c r="AA161" i="22"/>
  <c r="AA160" i="22"/>
  <c r="AA154" i="22"/>
  <c r="AA153" i="22"/>
  <c r="AB151" i="22"/>
  <c r="AA151" i="22"/>
  <c r="AA150" i="22"/>
  <c r="AA149" i="22"/>
  <c r="AB148" i="22"/>
  <c r="AA135" i="22"/>
  <c r="AB140" i="22"/>
  <c r="AB139" i="22"/>
  <c r="AB305" i="22"/>
  <c r="AB296" i="22"/>
  <c r="AB292" i="22"/>
  <c r="AA289" i="22"/>
  <c r="AA277" i="22"/>
  <c r="AA265" i="22"/>
  <c r="AB260" i="22"/>
  <c r="AB246" i="22"/>
  <c r="AA233" i="22"/>
  <c r="AA226" i="22"/>
  <c r="AA217" i="22"/>
  <c r="AB213" i="22"/>
  <c r="AB210" i="22"/>
  <c r="AA205" i="22"/>
  <c r="AA194" i="22"/>
  <c r="AB181" i="22"/>
  <c r="AB133" i="22"/>
  <c r="AB302" i="22"/>
  <c r="AB299" i="22"/>
  <c r="AB272" i="22"/>
  <c r="AA255" i="22"/>
  <c r="AB245" i="22"/>
  <c r="AA227" i="22"/>
  <c r="AB215" i="22"/>
  <c r="AB202" i="22"/>
  <c r="AA192" i="22"/>
  <c r="AA187" i="22"/>
  <c r="AB222" i="22"/>
  <c r="AA219" i="22"/>
  <c r="AB206" i="22"/>
  <c r="AA202" i="22"/>
  <c r="AB195" i="22"/>
  <c r="AB187" i="22"/>
  <c r="AA133" i="22"/>
  <c r="AA131" i="22"/>
  <c r="AB129" i="22"/>
  <c r="AB258" i="22"/>
  <c r="AB250" i="22"/>
  <c r="AA247" i="22"/>
  <c r="AA244" i="22"/>
  <c r="AB241" i="22"/>
  <c r="AA239" i="22"/>
  <c r="AA237" i="22"/>
  <c r="AB233" i="22"/>
  <c r="AA231" i="22"/>
  <c r="AB223" i="22"/>
  <c r="AB221" i="22"/>
  <c r="AB220" i="22"/>
  <c r="AB218" i="22"/>
  <c r="AA214" i="22"/>
  <c r="AA211" i="22"/>
  <c r="AB208" i="22"/>
  <c r="AA206" i="22"/>
  <c r="AA204" i="22"/>
  <c r="AA199" i="22"/>
  <c r="AB197" i="22"/>
  <c r="AB196" i="22"/>
  <c r="AB194" i="22"/>
  <c r="AA190" i="22"/>
  <c r="AA186" i="22"/>
  <c r="AA182" i="22"/>
  <c r="AA139" i="22"/>
  <c r="AB138" i="22"/>
  <c r="AB132" i="22"/>
  <c r="AB179" i="22"/>
  <c r="AA179" i="22"/>
  <c r="AB178" i="22"/>
  <c r="AA178" i="22"/>
  <c r="AB177" i="22"/>
  <c r="AA177" i="22"/>
  <c r="AB176" i="22"/>
  <c r="AA176" i="22"/>
  <c r="AB175" i="22"/>
  <c r="AA175" i="22"/>
  <c r="AB174" i="22"/>
  <c r="AA174" i="22"/>
  <c r="AB173" i="22"/>
  <c r="AA173" i="22"/>
  <c r="AB172" i="22"/>
  <c r="AA172" i="22"/>
  <c r="AB171" i="22"/>
  <c r="AB169" i="22"/>
  <c r="AA167" i="22"/>
  <c r="AB164" i="22"/>
  <c r="AB162" i="22"/>
  <c r="AA159" i="22"/>
  <c r="AA156" i="22"/>
  <c r="AB155" i="22"/>
  <c r="AB154" i="22"/>
  <c r="AA148" i="22"/>
  <c r="AB128" i="22"/>
  <c r="AA146" i="22"/>
  <c r="AB137" i="22"/>
  <c r="AA291" i="22"/>
  <c r="AA286" i="22"/>
  <c r="AB262" i="22"/>
  <c r="AB256" i="22"/>
  <c r="AB238" i="22"/>
  <c r="AB228" i="22"/>
  <c r="AB219" i="22"/>
  <c r="AA215" i="22"/>
  <c r="AB207" i="22"/>
  <c r="AA138" i="22"/>
  <c r="AB307" i="22"/>
  <c r="AB303" i="22"/>
  <c r="AA295" i="22"/>
  <c r="AA279" i="22"/>
  <c r="AA270" i="22"/>
  <c r="AA267" i="22"/>
  <c r="AB239" i="22"/>
  <c r="AA223" i="22"/>
  <c r="AA195" i="22"/>
  <c r="AB188" i="22"/>
  <c r="AB183" i="22"/>
  <c r="AB182" i="22"/>
  <c r="AA181" i="22"/>
  <c r="AA180" i="22"/>
  <c r="AB145" i="22"/>
  <c r="AB144" i="22"/>
  <c r="AA282" i="22"/>
  <c r="AB254" i="22"/>
  <c r="AB226" i="22"/>
  <c r="AB216" i="22"/>
  <c r="AA207" i="22"/>
  <c r="AB191" i="22"/>
  <c r="AB185" i="22"/>
  <c r="AA132" i="22"/>
  <c r="AA128" i="22"/>
  <c r="AA260" i="22"/>
  <c r="AB130" i="22"/>
  <c r="AA307" i="22"/>
  <c r="AA306" i="22"/>
  <c r="AA304" i="22"/>
  <c r="AA303" i="22"/>
  <c r="AB301" i="22"/>
  <c r="AA300" i="22"/>
  <c r="AB298" i="22"/>
  <c r="AB297" i="22"/>
  <c r="AA296" i="22"/>
  <c r="AA294" i="22"/>
  <c r="AA292" i="22"/>
  <c r="AB289" i="22"/>
  <c r="AA287" i="22"/>
  <c r="AA285" i="22"/>
  <c r="AB284" i="22"/>
  <c r="AA283" i="22"/>
  <c r="AA281" i="22"/>
  <c r="AA276" i="22"/>
  <c r="AB273" i="22"/>
  <c r="AA272" i="22"/>
  <c r="AB270" i="22"/>
  <c r="AA269" i="22"/>
  <c r="AA268" i="22"/>
  <c r="AB264" i="22"/>
  <c r="AA262" i="22"/>
  <c r="AB257" i="22"/>
  <c r="AA254" i="22"/>
  <c r="AB251" i="22"/>
  <c r="AA248" i="22"/>
  <c r="AB237" i="22"/>
  <c r="AB236" i="22"/>
  <c r="AA235" i="22"/>
  <c r="AA230" i="22"/>
  <c r="AA228" i="22"/>
  <c r="AB224" i="22"/>
  <c r="AA221" i="22"/>
  <c r="AA218" i="22"/>
  <c r="AA216" i="22"/>
  <c r="AA209" i="22"/>
  <c r="AB205" i="22"/>
  <c r="AA203" i="22"/>
  <c r="AB201" i="22"/>
  <c r="AB199" i="22"/>
  <c r="AB198" i="22"/>
  <c r="AA196" i="22"/>
  <c r="AA193" i="22"/>
  <c r="AA188" i="22"/>
  <c r="AB184" i="22"/>
  <c r="AA183" i="22"/>
  <c r="AB180" i="22"/>
  <c r="AB146" i="22"/>
  <c r="AB142" i="22"/>
  <c r="AA141" i="22"/>
  <c r="AB134" i="22"/>
  <c r="AB131" i="22"/>
  <c r="AA129" i="22"/>
  <c r="AA302" i="22"/>
  <c r="AA284" i="22"/>
  <c r="AA280" i="22"/>
  <c r="AA278" i="22"/>
  <c r="AB274" i="22"/>
  <c r="AA271" i="22"/>
  <c r="AB267" i="22"/>
  <c r="AB265" i="22"/>
  <c r="AA264" i="22"/>
  <c r="AA263" i="22"/>
  <c r="AA261" i="22"/>
  <c r="AB259" i="22"/>
  <c r="AA258" i="22"/>
  <c r="AA256" i="22"/>
  <c r="AB253" i="22"/>
  <c r="AA251" i="22"/>
  <c r="AB247" i="22"/>
  <c r="AA245" i="22"/>
  <c r="AA242" i="22"/>
  <c r="AA238" i="22"/>
  <c r="AA236" i="22"/>
  <c r="AB234" i="22"/>
  <c r="AB232" i="22"/>
  <c r="AB227" i="22"/>
  <c r="AA165" i="22"/>
  <c r="AB163" i="22"/>
  <c r="AB159" i="22"/>
  <c r="AB156" i="22"/>
  <c r="AA134" i="22"/>
  <c r="AA145" i="22"/>
  <c r="AA301" i="22"/>
  <c r="AB287" i="22"/>
  <c r="AB240" i="22"/>
  <c r="AA222" i="22"/>
  <c r="AB282" i="22"/>
  <c r="Y272" i="22"/>
  <c r="Y270" i="22"/>
  <c r="Y269" i="22"/>
  <c r="Z264" i="22"/>
  <c r="Y260" i="22"/>
  <c r="Y253" i="22"/>
  <c r="Y231" i="22"/>
  <c r="Y229" i="22"/>
  <c r="Z224" i="22"/>
  <c r="Z213" i="22"/>
  <c r="Z204" i="22"/>
  <c r="Y201" i="22"/>
  <c r="Z194" i="22"/>
  <c r="Y193" i="22"/>
  <c r="Z182" i="22"/>
  <c r="Z180" i="22"/>
  <c r="Y177" i="22"/>
  <c r="Y173" i="22"/>
  <c r="Z171" i="22"/>
  <c r="Z168" i="22"/>
  <c r="Y165" i="22"/>
  <c r="Z163" i="22"/>
  <c r="Y161" i="22"/>
  <c r="Z159" i="22"/>
  <c r="Y153" i="22"/>
  <c r="Y132" i="22"/>
  <c r="Z130" i="22"/>
  <c r="Y140" i="22"/>
  <c r="Y306" i="22"/>
  <c r="Y150" i="22"/>
  <c r="Z144" i="22"/>
  <c r="Z149" i="22"/>
  <c r="Y138" i="22"/>
  <c r="Z142" i="22"/>
  <c r="Z143" i="22"/>
  <c r="Y134" i="22"/>
  <c r="Y264" i="22"/>
  <c r="Z260" i="22"/>
  <c r="Y257" i="22"/>
  <c r="Z255" i="22"/>
  <c r="Y241" i="22"/>
  <c r="Y230" i="22"/>
  <c r="Y225" i="22"/>
  <c r="Z218" i="22"/>
  <c r="Y211" i="22"/>
  <c r="Z210" i="22"/>
  <c r="Z209" i="22"/>
  <c r="Z206" i="22"/>
  <c r="Y206" i="22"/>
  <c r="Y199" i="22"/>
  <c r="Y196" i="22"/>
  <c r="Z185" i="22"/>
  <c r="Z178" i="22"/>
  <c r="Z176" i="22"/>
  <c r="Y172" i="22"/>
  <c r="Y167" i="22"/>
  <c r="Z165" i="22"/>
  <c r="Y163" i="22"/>
  <c r="Z161" i="22"/>
  <c r="Y158" i="22"/>
  <c r="Y155" i="22"/>
  <c r="Z152" i="22"/>
  <c r="Y136" i="22"/>
  <c r="Z131" i="22"/>
  <c r="Z150" i="22"/>
  <c r="Z139" i="22"/>
  <c r="Z304" i="22"/>
  <c r="Z303" i="22"/>
  <c r="Y144" i="22"/>
  <c r="Z306" i="22"/>
  <c r="Y145" i="22"/>
  <c r="Y143" i="22"/>
  <c r="Z134" i="22"/>
  <c r="Y131" i="22"/>
  <c r="Y148" i="22"/>
  <c r="Z271" i="22"/>
  <c r="Z268" i="22"/>
  <c r="Z267" i="22"/>
  <c r="Z265" i="22"/>
  <c r="Y259" i="22"/>
  <c r="Z257" i="22"/>
  <c r="Z254" i="22"/>
  <c r="Y252" i="22"/>
  <c r="Z250" i="22"/>
  <c r="Z242" i="22"/>
  <c r="Z239" i="22"/>
  <c r="Z234" i="22"/>
  <c r="Y228" i="22"/>
  <c r="Z226" i="22"/>
  <c r="Z217" i="22"/>
  <c r="Y271" i="22"/>
  <c r="Y266" i="22"/>
  <c r="Z262" i="22"/>
  <c r="Z259" i="22"/>
  <c r="Y258" i="22"/>
  <c r="Y246" i="22"/>
  <c r="Y239" i="22"/>
  <c r="Y232" i="22"/>
  <c r="Z229" i="22"/>
  <c r="Y227" i="22"/>
  <c r="Y223" i="22"/>
  <c r="Y220" i="22"/>
  <c r="Z216" i="22"/>
  <c r="Y209" i="22"/>
  <c r="Y198" i="22"/>
  <c r="Z187" i="22"/>
  <c r="Z181" i="22"/>
  <c r="Z179" i="22"/>
  <c r="Y176" i="22"/>
  <c r="Z174" i="22"/>
  <c r="Z169" i="22"/>
  <c r="Y162" i="22"/>
  <c r="Y160" i="22"/>
  <c r="Y157" i="22"/>
  <c r="Z154" i="22"/>
  <c r="Y152" i="22"/>
  <c r="Z151" i="22"/>
  <c r="Z133" i="22"/>
  <c r="Z132" i="22"/>
  <c r="Z146" i="22"/>
  <c r="Z305" i="22"/>
  <c r="Y139" i="22"/>
  <c r="Y305" i="22"/>
  <c r="Y307" i="22"/>
  <c r="Z138" i="22"/>
  <c r="Z141" i="22"/>
  <c r="Z145" i="22"/>
  <c r="Y142" i="22"/>
  <c r="Z256" i="22"/>
  <c r="Y268" i="22"/>
  <c r="Z266" i="22"/>
  <c r="Y262" i="22"/>
  <c r="Z258" i="22"/>
  <c r="Y256" i="22"/>
  <c r="Z252" i="22"/>
  <c r="Z251" i="22"/>
  <c r="Z248" i="22"/>
  <c r="Y245" i="22"/>
  <c r="Z237" i="22"/>
  <c r="Z233" i="22"/>
  <c r="Z228" i="22"/>
  <c r="Z225" i="22"/>
  <c r="Y222" i="22"/>
  <c r="Y219" i="22"/>
  <c r="Y218" i="22"/>
  <c r="Z215" i="22"/>
  <c r="Z214" i="22"/>
  <c r="Y213" i="22"/>
  <c r="Y212" i="22"/>
  <c r="Z208" i="22"/>
  <c r="Y205" i="22"/>
  <c r="Y203" i="22"/>
  <c r="Z199" i="22"/>
  <c r="Y197" i="22"/>
  <c r="Y195" i="22"/>
  <c r="Z186" i="22"/>
  <c r="Y185" i="22"/>
  <c r="Y181" i="22"/>
  <c r="Y171" i="22"/>
  <c r="Z167" i="22"/>
  <c r="Z164" i="22"/>
  <c r="Z162" i="22"/>
  <c r="Y156" i="22"/>
  <c r="Z270" i="22"/>
  <c r="Y267" i="22"/>
  <c r="Y263" i="22"/>
  <c r="Z261" i="22"/>
  <c r="Y255" i="22"/>
  <c r="Z247" i="22"/>
  <c r="Z235" i="22"/>
  <c r="Z230" i="22"/>
  <c r="Z227" i="22"/>
  <c r="Z221" i="22"/>
  <c r="Z212" i="22"/>
  <c r="Z207" i="22"/>
  <c r="Y202" i="22"/>
  <c r="Y194" i="22"/>
  <c r="Z183" i="22"/>
  <c r="Z177" i="22"/>
  <c r="Z175" i="22"/>
  <c r="Y170" i="22"/>
  <c r="Y168" i="22"/>
  <c r="Y166" i="22"/>
  <c r="Y164" i="22"/>
  <c r="Y159" i="22"/>
  <c r="Z156" i="22"/>
  <c r="Y154" i="22"/>
  <c r="Y151" i="22"/>
  <c r="Y146" i="22"/>
  <c r="Z140" i="22"/>
  <c r="Y304" i="22"/>
  <c r="Y149" i="22"/>
  <c r="Y141" i="22"/>
  <c r="Z137" i="22"/>
  <c r="Z148" i="22"/>
  <c r="Z269" i="22"/>
  <c r="Y265" i="22"/>
  <c r="Z263" i="22"/>
  <c r="Y261" i="22"/>
  <c r="Z253" i="22"/>
  <c r="Z249" i="22"/>
  <c r="Z243" i="22"/>
  <c r="Y226" i="22"/>
  <c r="Y221" i="22"/>
  <c r="Y137" i="22"/>
  <c r="Y254" i="22"/>
  <c r="Y251" i="22"/>
  <c r="Y250" i="22"/>
  <c r="Y249" i="22"/>
  <c r="Y248" i="22"/>
  <c r="Y247" i="22"/>
  <c r="Z246" i="22"/>
  <c r="Z245" i="22"/>
  <c r="Z244" i="22"/>
  <c r="Y244" i="22"/>
  <c r="Y243" i="22"/>
  <c r="Y242" i="22"/>
  <c r="Z241" i="22"/>
  <c r="Z240" i="22"/>
  <c r="Y240" i="22"/>
  <c r="Z238" i="22"/>
  <c r="Y238" i="22"/>
  <c r="Y237" i="22"/>
  <c r="Z236" i="22"/>
  <c r="Y236" i="22"/>
  <c r="Y235" i="22"/>
  <c r="Y234" i="22"/>
  <c r="Y233" i="22"/>
  <c r="Z232" i="22"/>
  <c r="Z231" i="22"/>
  <c r="Y224" i="22"/>
  <c r="Z223" i="22"/>
  <c r="Z222" i="22"/>
  <c r="Z220" i="22"/>
  <c r="Z219" i="22"/>
  <c r="Y217" i="22"/>
  <c r="Y216" i="22"/>
  <c r="Y215" i="22"/>
  <c r="Y214" i="22"/>
  <c r="Z211" i="22"/>
  <c r="Y210" i="22"/>
  <c r="Y208" i="22"/>
  <c r="Y207" i="22"/>
  <c r="Z205" i="22"/>
  <c r="Y204" i="22"/>
  <c r="Z203" i="22"/>
  <c r="Z202" i="22"/>
  <c r="Z201" i="22"/>
  <c r="Z200" i="22"/>
  <c r="Y200" i="22"/>
  <c r="Z198" i="22"/>
  <c r="Z197" i="22"/>
  <c r="Z196" i="22"/>
  <c r="Z195" i="22"/>
  <c r="Z193" i="22"/>
  <c r="Z192" i="22"/>
  <c r="Y192" i="22"/>
  <c r="Z191" i="22"/>
  <c r="Y191" i="22"/>
  <c r="Z190" i="22"/>
  <c r="Y190" i="22"/>
  <c r="Z189" i="22"/>
  <c r="Y189" i="22"/>
  <c r="Z188" i="22"/>
  <c r="Y188" i="22"/>
  <c r="Y187" i="22"/>
  <c r="Y186" i="22"/>
  <c r="Z184" i="22"/>
  <c r="Y184" i="22"/>
  <c r="Y183" i="22"/>
  <c r="Y182" i="22"/>
  <c r="Y180" i="22"/>
  <c r="Y179" i="22"/>
  <c r="Y178" i="22"/>
  <c r="Y175" i="22"/>
  <c r="Y174" i="22"/>
  <c r="Z173" i="22"/>
  <c r="Z172" i="22"/>
  <c r="Z170" i="22"/>
  <c r="Y169" i="22"/>
  <c r="Z166" i="22"/>
  <c r="Z160" i="22"/>
  <c r="Z158" i="22"/>
  <c r="Z157" i="22"/>
  <c r="Z155" i="22"/>
  <c r="Z153" i="22"/>
  <c r="Z147" i="22"/>
  <c r="Y147" i="22"/>
  <c r="Z136" i="22"/>
  <c r="Z135" i="22"/>
  <c r="Y135" i="22"/>
  <c r="Y133" i="22"/>
  <c r="Y130" i="22"/>
  <c r="Z129" i="22"/>
  <c r="Y129" i="22"/>
  <c r="Z128" i="22"/>
  <c r="Y128" i="22"/>
  <c r="Z307" i="22"/>
  <c r="Y303" i="22"/>
  <c r="Z302" i="22"/>
  <c r="Y302" i="22"/>
  <c r="Z301" i="22"/>
  <c r="Y301" i="22"/>
  <c r="Z300" i="22"/>
  <c r="Y300" i="22"/>
  <c r="Z299" i="22"/>
  <c r="Y299" i="22"/>
  <c r="Z298" i="22"/>
  <c r="Y298" i="22"/>
  <c r="Z297" i="22"/>
  <c r="Y297" i="22"/>
  <c r="Z296" i="22"/>
  <c r="Y296" i="22"/>
  <c r="Z295" i="22"/>
  <c r="Y295" i="22"/>
  <c r="Z294" i="22"/>
  <c r="Y294" i="22"/>
  <c r="Z293" i="22"/>
  <c r="Y293" i="22"/>
  <c r="Z292" i="22"/>
  <c r="Y292" i="22"/>
  <c r="Z291" i="22"/>
  <c r="Y291" i="22"/>
  <c r="Z290" i="22"/>
  <c r="Y290" i="22"/>
  <c r="Z289" i="22"/>
  <c r="Y289" i="22"/>
  <c r="Z288" i="22"/>
  <c r="Y288" i="22"/>
  <c r="Z287" i="22"/>
  <c r="Y287" i="22"/>
  <c r="Z286" i="22"/>
  <c r="Y286" i="22"/>
  <c r="Z285" i="22"/>
  <c r="Y285" i="22"/>
  <c r="Z284" i="22"/>
  <c r="Y284" i="22"/>
  <c r="Z283" i="22"/>
  <c r="Y283" i="22"/>
  <c r="Z282" i="22"/>
  <c r="Y282" i="22"/>
  <c r="Z281" i="22"/>
  <c r="Y281" i="22"/>
  <c r="Z280" i="22"/>
  <c r="Y280" i="22"/>
  <c r="Z279" i="22"/>
  <c r="Y279" i="22"/>
  <c r="Z278" i="22"/>
  <c r="Y278" i="22"/>
  <c r="Z277" i="22"/>
  <c r="Y277" i="22"/>
  <c r="Z276" i="22"/>
  <c r="Y276" i="22"/>
  <c r="Z275" i="22"/>
  <c r="Y275" i="22"/>
  <c r="Z274" i="22"/>
  <c r="Y274" i="22"/>
  <c r="Z273" i="22"/>
  <c r="Y273" i="22"/>
  <c r="Z272" i="22"/>
  <c r="P140" i="22"/>
  <c r="P141" i="22"/>
  <c r="P120" i="22"/>
  <c r="P137" i="22"/>
  <c r="P134" i="22"/>
  <c r="P147" i="22"/>
  <c r="P136" i="22"/>
  <c r="P133" i="22"/>
  <c r="P131" i="22"/>
  <c r="P139" i="22"/>
  <c r="P138" i="22"/>
  <c r="P145" i="22"/>
  <c r="P135" i="22"/>
  <c r="P146" i="22"/>
  <c r="P144" i="22"/>
  <c r="P142" i="22"/>
  <c r="P143" i="22"/>
  <c r="P129" i="22"/>
  <c r="P132" i="22"/>
  <c r="P130" i="22"/>
  <c r="B14" i="11"/>
  <c r="K19" i="31"/>
  <c r="K94" i="32" s="1"/>
  <c r="K19" i="32" s="1"/>
  <c r="J14" i="12"/>
  <c r="H20" i="4"/>
  <c r="K52" i="13"/>
  <c r="P27" i="4"/>
  <c r="K54" i="13" s="1"/>
  <c r="AB23" i="3"/>
  <c r="AD24" i="3"/>
  <c r="AQ34" i="3" s="1"/>
  <c r="P59" i="22" l="1"/>
  <c r="Q59" i="22" s="1"/>
  <c r="R59" i="22" s="1"/>
  <c r="N60" i="22"/>
  <c r="O157" i="22"/>
  <c r="P121" i="22"/>
  <c r="H18" i="21"/>
  <c r="H110" i="21" s="1"/>
  <c r="E17" i="46"/>
  <c r="N10" i="26"/>
  <c r="L11" i="39"/>
  <c r="AA11" i="39" s="1"/>
  <c r="AP11" i="39" s="1"/>
  <c r="H19" i="29"/>
  <c r="H17" i="25"/>
  <c r="M10" i="27"/>
  <c r="I17" i="19"/>
  <c r="G19" i="23"/>
  <c r="H19" i="5"/>
  <c r="K19" i="14"/>
  <c r="E17" i="47"/>
  <c r="E17" i="48" s="1"/>
  <c r="G18" i="49" s="1"/>
  <c r="F18" i="30"/>
  <c r="AD25" i="3"/>
  <c r="AB24" i="3"/>
  <c r="P60" i="22" l="1"/>
  <c r="Q60" i="22" s="1"/>
  <c r="R60" i="22" s="1"/>
  <c r="N61" i="22"/>
  <c r="Q123" i="22"/>
  <c r="P123" i="22"/>
  <c r="P157" i="22" s="1"/>
  <c r="O10" i="28"/>
  <c r="N87" i="26"/>
  <c r="N164" i="26" s="1"/>
  <c r="M138" i="27"/>
  <c r="O144" i="28" s="1"/>
  <c r="M74" i="27"/>
  <c r="O77" i="28" s="1"/>
  <c r="AQ31" i="3"/>
  <c r="AH34" i="3"/>
  <c r="AQ32" i="3"/>
  <c r="AQ33" i="3" s="1"/>
  <c r="AQ29" i="3" s="1"/>
  <c r="AP29" i="3" s="1"/>
  <c r="AD26" i="3"/>
  <c r="AB26" i="3" s="1"/>
  <c r="AB25" i="3"/>
  <c r="P61" i="22" l="1"/>
  <c r="Q61" i="22" s="1"/>
  <c r="R61" i="22" s="1"/>
  <c r="N62" i="22"/>
  <c r="P62" i="22" l="1"/>
  <c r="Q62" i="22" s="1"/>
  <c r="R62" i="22" s="1"/>
  <c r="N63" i="22"/>
  <c r="P63" i="22" l="1"/>
  <c r="Q63" i="22" s="1"/>
  <c r="R63" i="22" s="1"/>
  <c r="N64" i="22"/>
  <c r="P64" i="22" l="1"/>
  <c r="Q64" i="22" s="1"/>
  <c r="R64" i="22" s="1"/>
  <c r="N65" i="22"/>
  <c r="P65" i="22" l="1"/>
  <c r="Q65" i="22" s="1"/>
  <c r="R65" i="22" s="1"/>
  <c r="N66" i="22"/>
  <c r="P66" i="22" s="1"/>
  <c r="Q66" i="22" s="1"/>
  <c r="R66" i="22" s="1"/>
  <c r="N111" i="22" s="1"/>
  <c r="K27" i="22" l="1"/>
  <c r="N112" i="22"/>
  <c r="R117" i="22" s="1"/>
  <c r="L166" i="22" s="1"/>
  <c r="R115" i="22"/>
  <c r="K38" i="5" l="1"/>
  <c r="K28" i="22"/>
  <c r="K39" i="5" s="1"/>
  <c r="L163" i="22"/>
  <c r="L156" i="22"/>
  <c r="L157" i="22"/>
  <c r="L165" i="22"/>
  <c r="L162" i="22"/>
  <c r="L158" i="22"/>
  <c r="L164" i="22"/>
  <c r="L161" i="22"/>
  <c r="L160" i="22"/>
  <c r="L159" i="22"/>
  <c r="O129" i="22"/>
  <c r="O130" i="22" s="1"/>
  <c r="O131" i="22" s="1"/>
  <c r="O132" i="22" s="1"/>
  <c r="O133" i="22" s="1"/>
  <c r="O134" i="22" s="1"/>
  <c r="O135" i="22" s="1"/>
  <c r="O136" i="22" s="1"/>
  <c r="O137" i="22" s="1"/>
  <c r="O138" i="22" s="1"/>
  <c r="O139" i="22" s="1"/>
  <c r="O140" i="22" s="1"/>
  <c r="O141" i="22" s="1"/>
  <c r="O142" i="22" s="1"/>
  <c r="O143" i="22" s="1"/>
  <c r="O144" i="22" s="1"/>
  <c r="O145" i="22" s="1"/>
  <c r="O146" i="22" s="1"/>
  <c r="O147" i="22" s="1"/>
  <c r="O148" i="22" s="1"/>
  <c r="R119" i="22"/>
  <c r="O126" i="22"/>
  <c r="O127" i="22" s="1"/>
  <c r="AD150" i="22" l="1"/>
  <c r="AD200" i="22"/>
  <c r="AC148" i="22"/>
  <c r="AC173" i="22"/>
  <c r="AC150" i="22"/>
  <c r="AD159" i="22"/>
  <c r="AD163" i="22"/>
  <c r="AD171" i="22"/>
  <c r="AC177" i="22"/>
  <c r="AC185" i="22"/>
  <c r="AC196" i="22"/>
  <c r="AD205" i="22"/>
  <c r="AC207" i="22"/>
  <c r="AC223" i="22"/>
  <c r="AD244" i="22"/>
  <c r="AC266" i="22"/>
  <c r="AC132" i="22"/>
  <c r="AC153" i="22"/>
  <c r="AD166" i="22"/>
  <c r="AD184" i="22"/>
  <c r="AC188" i="22"/>
  <c r="AC198" i="22"/>
  <c r="AC224" i="22"/>
  <c r="AC248" i="22"/>
  <c r="AD262" i="22"/>
  <c r="AC275" i="22"/>
  <c r="AC284" i="22"/>
  <c r="AD175" i="22"/>
  <c r="AD213" i="22"/>
  <c r="AC227" i="22"/>
  <c r="AD243" i="22"/>
  <c r="AC254" i="22"/>
  <c r="AC287" i="22"/>
  <c r="AC293" i="22"/>
  <c r="AD301" i="22"/>
  <c r="AD170" i="22"/>
  <c r="AD223" i="22"/>
  <c r="AC250" i="22"/>
  <c r="AC268" i="22"/>
  <c r="AC294" i="22"/>
  <c r="AD304" i="22"/>
  <c r="AC134" i="22"/>
  <c r="AC305" i="22"/>
  <c r="AC128" i="22"/>
  <c r="AC140" i="22"/>
  <c r="AC159" i="22"/>
  <c r="AD196" i="22"/>
  <c r="AC205" i="22"/>
  <c r="AD220" i="22"/>
  <c r="AC239" i="22"/>
  <c r="AD254" i="22"/>
  <c r="AC261" i="22"/>
  <c r="AC279" i="22"/>
  <c r="AC130" i="22"/>
  <c r="AD148" i="22"/>
  <c r="AD151" i="22"/>
  <c r="AD177" i="22"/>
  <c r="AC197" i="22"/>
  <c r="AC144" i="22"/>
  <c r="AC151" i="22"/>
  <c r="AD162" i="22"/>
  <c r="AC170" i="22"/>
  <c r="AD183" i="22"/>
  <c r="AC189" i="22"/>
  <c r="AC202" i="22"/>
  <c r="AC214" i="22"/>
  <c r="AD228" i="22"/>
  <c r="AD237" i="22"/>
  <c r="AD257" i="22"/>
  <c r="AD128" i="22"/>
  <c r="AD140" i="22"/>
  <c r="AC155" i="22"/>
  <c r="AC174" i="22"/>
  <c r="AD186" i="22"/>
  <c r="AC194" i="22"/>
  <c r="AC206" i="22"/>
  <c r="AD222" i="22"/>
  <c r="AC226" i="22"/>
  <c r="AC234" i="22"/>
  <c r="AD236" i="22"/>
  <c r="AC238" i="22"/>
  <c r="AC258" i="22"/>
  <c r="AC221" i="22"/>
  <c r="AC229" i="22"/>
  <c r="AC265" i="22"/>
  <c r="AC187" i="22"/>
  <c r="AD191" i="22"/>
  <c r="AC232" i="22"/>
  <c r="AD137" i="22"/>
  <c r="AC186" i="22"/>
  <c r="AD218" i="22"/>
  <c r="AD271" i="22"/>
  <c r="AD283" i="22"/>
  <c r="AC277" i="22"/>
  <c r="AD133" i="22"/>
  <c r="AD173" i="22"/>
  <c r="AC208" i="22"/>
  <c r="AD231" i="22"/>
  <c r="AD135" i="22"/>
  <c r="AD225" i="22"/>
  <c r="AC262" i="22"/>
  <c r="AD157" i="22"/>
  <c r="AC199" i="22"/>
  <c r="AC217" i="22"/>
  <c r="AC129" i="22"/>
  <c r="AC133" i="22"/>
  <c r="AD227" i="22"/>
  <c r="AC237" i="22"/>
  <c r="AD182" i="22"/>
  <c r="AD294" i="22"/>
  <c r="AC291" i="22"/>
  <c r="AC297" i="22"/>
  <c r="AC307" i="22"/>
  <c r="AD154" i="22"/>
  <c r="AC210" i="22"/>
  <c r="AC244" i="22"/>
  <c r="AD258" i="22"/>
  <c r="AD275" i="22"/>
  <c r="AD132" i="22"/>
  <c r="AC157" i="22"/>
  <c r="AD192" i="22"/>
  <c r="AD212" i="22"/>
  <c r="AD252" i="22"/>
  <c r="AD272" i="22"/>
  <c r="AD131" i="22"/>
  <c r="AC172" i="22"/>
  <c r="AD206" i="22"/>
  <c r="AC218" i="22"/>
  <c r="AD249" i="22"/>
  <c r="AD168" i="22"/>
  <c r="AD226" i="22"/>
  <c r="AD265" i="22"/>
  <c r="AC164" i="22"/>
  <c r="AD165" i="22"/>
  <c r="AD167" i="22"/>
  <c r="AD172" i="22"/>
  <c r="AC176" i="22"/>
  <c r="AD178" i="22"/>
  <c r="AD185" i="22"/>
  <c r="AD195" i="22"/>
  <c r="AC200" i="22"/>
  <c r="AC203" i="22"/>
  <c r="AD209" i="22"/>
  <c r="AC213" i="22"/>
  <c r="AD214" i="22"/>
  <c r="AD230" i="22"/>
  <c r="AC235" i="22"/>
  <c r="AD245" i="22"/>
  <c r="AC252" i="22"/>
  <c r="AD264" i="22"/>
  <c r="AC273" i="22"/>
  <c r="AC285" i="22"/>
  <c r="AD289" i="22"/>
  <c r="AD290" i="22"/>
  <c r="AD293" i="22"/>
  <c r="AD297" i="22"/>
  <c r="AD129" i="22"/>
  <c r="AC156" i="22"/>
  <c r="AC163" i="22"/>
  <c r="AC171" i="22"/>
  <c r="AD199" i="22"/>
  <c r="AD208" i="22"/>
  <c r="AC216" i="22"/>
  <c r="AD233" i="22"/>
  <c r="AD242" i="22"/>
  <c r="AC257" i="22"/>
  <c r="AD270" i="22"/>
  <c r="AD299" i="22"/>
  <c r="AC165" i="22"/>
  <c r="AC245" i="22"/>
  <c r="AC295" i="22"/>
  <c r="AD203" i="22"/>
  <c r="AC222" i="22"/>
  <c r="AD247" i="22"/>
  <c r="AC142" i="22"/>
  <c r="AD188" i="22"/>
  <c r="AC241" i="22"/>
  <c r="AC267" i="22"/>
  <c r="AC231" i="22"/>
  <c r="AD149" i="22"/>
  <c r="AD204" i="22"/>
  <c r="AC259" i="22"/>
  <c r="AC264" i="22"/>
  <c r="AC274" i="22"/>
  <c r="AC281" i="22"/>
  <c r="AC290" i="22"/>
  <c r="AC304" i="22"/>
  <c r="AD141" i="22"/>
  <c r="AD142" i="22"/>
  <c r="AD143" i="22"/>
  <c r="AC191" i="22"/>
  <c r="AD201" i="22"/>
  <c r="AD229" i="22"/>
  <c r="AD145" i="22"/>
  <c r="AD152" i="22"/>
  <c r="AD180" i="22"/>
  <c r="AC243" i="22"/>
  <c r="AD278" i="22"/>
  <c r="AD221" i="22"/>
  <c r="AD260" i="22"/>
  <c r="AC298" i="22"/>
  <c r="AC162" i="22"/>
  <c r="AD190" i="22"/>
  <c r="AC269" i="22"/>
  <c r="AD179" i="22"/>
  <c r="AD232" i="22"/>
  <c r="AC154" i="22"/>
  <c r="AD217" i="22"/>
  <c r="AD259" i="22"/>
  <c r="AC272" i="22"/>
  <c r="AD279" i="22"/>
  <c r="AC169" i="22"/>
  <c r="AC141" i="22"/>
  <c r="AD269" i="22"/>
  <c r="AD285" i="22"/>
  <c r="AC228" i="22"/>
  <c r="AD207" i="22"/>
  <c r="AC255" i="22"/>
  <c r="AC161" i="22"/>
  <c r="AD286" i="22"/>
  <c r="AD288" i="22"/>
  <c r="AD303" i="22"/>
  <c r="AD134" i="22"/>
  <c r="AD153" i="22"/>
  <c r="AC160" i="22"/>
  <c r="AC167" i="22"/>
  <c r="AC183" i="22"/>
  <c r="AD194" i="22"/>
  <c r="AC204" i="22"/>
  <c r="AC211" i="22"/>
  <c r="AD219" i="22"/>
  <c r="AD240" i="22"/>
  <c r="AD248" i="22"/>
  <c r="AD267" i="22"/>
  <c r="AD274" i="22"/>
  <c r="AC302" i="22"/>
  <c r="AD307" i="22"/>
  <c r="AC182" i="22"/>
  <c r="AD255" i="22"/>
  <c r="AD161" i="22"/>
  <c r="AC184" i="22"/>
  <c r="AC212" i="22"/>
  <c r="AC236" i="22"/>
  <c r="AC251" i="22"/>
  <c r="AD210" i="22"/>
  <c r="AD197" i="22"/>
  <c r="AC220" i="22"/>
  <c r="AD144" i="22"/>
  <c r="AC147" i="22"/>
  <c r="AC179" i="22"/>
  <c r="AD256" i="22"/>
  <c r="AC276" i="22"/>
  <c r="AC270" i="22"/>
  <c r="AC278" i="22"/>
  <c r="AC283" i="22"/>
  <c r="AC286" i="22"/>
  <c r="AC288" i="22"/>
  <c r="AD292" i="22"/>
  <c r="AD296" i="22"/>
  <c r="AD189" i="22"/>
  <c r="AD238" i="22"/>
  <c r="AC280" i="22"/>
  <c r="AC145" i="22"/>
  <c r="AD146" i="22"/>
  <c r="AD202" i="22"/>
  <c r="AC260" i="22"/>
  <c r="AD266" i="22"/>
  <c r="AD273" i="22"/>
  <c r="AD277" i="22"/>
  <c r="AD284" i="22"/>
  <c r="AD291" i="22"/>
  <c r="AC296" i="22"/>
  <c r="AC299" i="22"/>
  <c r="AD300" i="22"/>
  <c r="AC303" i="22"/>
  <c r="AC306" i="22"/>
  <c r="AD306" i="22"/>
  <c r="AD174" i="22"/>
  <c r="AD164" i="22"/>
  <c r="AD181" i="22"/>
  <c r="AD215" i="22"/>
  <c r="AD239" i="22"/>
  <c r="AC246" i="22"/>
  <c r="AD282" i="22"/>
  <c r="AC135" i="22"/>
  <c r="AD138" i="22"/>
  <c r="AC146" i="22"/>
  <c r="AC192" i="22"/>
  <c r="AC247" i="22"/>
  <c r="AC271" i="22"/>
  <c r="AC300" i="22"/>
  <c r="AD305" i="22"/>
  <c r="AD139" i="22"/>
  <c r="AC168" i="22"/>
  <c r="AC215" i="22"/>
  <c r="AC242" i="22"/>
  <c r="AC249" i="22"/>
  <c r="AC256" i="22"/>
  <c r="AD261" i="22"/>
  <c r="AC263" i="22"/>
  <c r="AD280" i="22"/>
  <c r="AC301" i="22"/>
  <c r="AD147" i="22"/>
  <c r="AC158" i="22"/>
  <c r="AD158" i="22"/>
  <c r="AC178" i="22"/>
  <c r="AD187" i="22"/>
  <c r="AD176" i="22"/>
  <c r="AC282" i="22"/>
  <c r="AD295" i="22"/>
  <c r="AD160" i="22"/>
  <c r="AC230" i="22"/>
  <c r="AD224" i="22"/>
  <c r="AD276" i="22"/>
  <c r="AD198" i="22"/>
  <c r="AC289" i="22"/>
  <c r="AD211" i="22"/>
  <c r="AD246" i="22"/>
  <c r="AC180" i="22"/>
  <c r="AC152" i="22"/>
  <c r="AD287" i="22"/>
  <c r="AC292" i="22"/>
  <c r="AD298" i="22"/>
  <c r="AD302" i="22"/>
  <c r="AC131" i="22"/>
  <c r="AC137" i="22"/>
  <c r="AC138" i="22"/>
  <c r="AC139" i="22"/>
  <c r="AC149" i="22"/>
  <c r="AD155" i="22"/>
  <c r="AD156" i="22"/>
  <c r="AC166" i="22"/>
  <c r="AC233" i="22"/>
  <c r="AD251" i="22"/>
  <c r="AD263" i="22"/>
  <c r="AD193" i="22"/>
  <c r="AC201" i="22"/>
  <c r="AC219" i="22"/>
  <c r="AD235" i="22"/>
  <c r="AD241" i="22"/>
  <c r="AD281" i="22"/>
  <c r="AD136" i="22"/>
  <c r="AD169" i="22"/>
  <c r="AC175" i="22"/>
  <c r="AC181" i="22"/>
  <c r="AC195" i="22"/>
  <c r="AC209" i="22"/>
  <c r="AD216" i="22"/>
  <c r="AC225" i="22"/>
  <c r="AC240" i="22"/>
  <c r="AD253" i="22"/>
  <c r="AC143" i="22"/>
  <c r="AC190" i="22"/>
  <c r="AC193" i="22"/>
  <c r="AD250" i="22"/>
  <c r="AC253" i="22"/>
  <c r="AD268" i="22"/>
  <c r="AD130" i="22"/>
  <c r="AC136" i="22"/>
  <c r="AD234" i="22"/>
  <c r="R141" i="22"/>
  <c r="R144" i="22"/>
  <c r="R120" i="22"/>
  <c r="R139" i="22"/>
  <c r="R133" i="22"/>
  <c r="R130" i="22"/>
  <c r="R131" i="22"/>
  <c r="R140" i="22"/>
  <c r="R134" i="22"/>
  <c r="R129" i="22"/>
  <c r="R143" i="22"/>
  <c r="R147" i="22"/>
  <c r="R145" i="22"/>
  <c r="R135" i="22"/>
  <c r="R136" i="22"/>
  <c r="R142" i="22"/>
  <c r="R146" i="22"/>
  <c r="R132" i="22"/>
  <c r="R137" i="22"/>
  <c r="R138" i="22"/>
  <c r="Q122" i="22" l="1"/>
  <c r="Q157" i="22"/>
  <c r="R124" i="22" l="1"/>
  <c r="Q124" i="22"/>
  <c r="R157" i="22" l="1"/>
  <c r="N159" i="22" l="1"/>
  <c r="N165" i="22"/>
  <c r="N163" i="22"/>
  <c r="N166" i="22"/>
  <c r="N160" i="22"/>
  <c r="N164" i="22"/>
  <c r="N158" i="22"/>
  <c r="N162" i="22"/>
  <c r="N156" i="22"/>
  <c r="O27" i="22" s="1"/>
  <c r="O159" i="22"/>
  <c r="O20" i="22" s="1"/>
  <c r="N30" i="5" s="1"/>
  <c r="K76" i="13" s="1"/>
  <c r="N161" i="22"/>
  <c r="N157" i="22"/>
  <c r="N35" i="5" l="1"/>
  <c r="K78" i="13" s="1"/>
  <c r="V27" i="2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M14" authorId="0" shapeId="0" xr:uid="{F59B6080-2584-4193-B722-61E8299FCC7D}">
      <text>
        <r>
          <rPr>
            <sz val="8"/>
            <color indexed="81"/>
            <rFont val="Tahoma"/>
            <family val="2"/>
          </rPr>
          <t xml:space="preserve">Isi Graphic Type dengan:
(ASTM D 422)
(BS 1377 : 1975)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AD13" authorId="0" shapeId="0" xr:uid="{1A34E400-9FA5-49AE-88CA-C8273109B335}">
      <text>
        <r>
          <rPr>
            <sz val="8"/>
            <color rgb="FF000000"/>
            <rFont val="Tahoma"/>
            <family val="2"/>
          </rPr>
          <t xml:space="preserve">Diisi dengan salah satu metoda yang digunakan  :
</t>
        </r>
        <r>
          <rPr>
            <sz val="8"/>
            <color rgb="FF000000"/>
            <rFont val="Tahoma"/>
            <family val="2"/>
          </rPr>
          <t>SINGLE STAGE  atau MULTI STAGE</t>
        </r>
      </text>
    </comment>
    <comment ref="AD54" authorId="0" shapeId="0" xr:uid="{024E07FE-A56C-45FA-B3A9-74AB8959E381}">
      <text>
        <r>
          <rPr>
            <sz val="8"/>
            <color indexed="81"/>
            <rFont val="Tahoma"/>
            <family val="2"/>
          </rPr>
          <t>Diisi dengan salah satu metoda yang digunakan : SINGLE STAGE atau MULTI STAGE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AO20" authorId="0" shapeId="0" xr:uid="{194C4235-C0DD-477F-992C-7B2C9EE5CED5}">
      <text>
        <r>
          <rPr>
            <sz val="8"/>
            <color rgb="FF000000"/>
            <rFont val="Tahoma"/>
            <family val="2"/>
          </rPr>
          <t>untuk mengisi persamaan garis, isi kolom X saja !!!!!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AM20" authorId="0" shapeId="0" xr:uid="{D8C39419-9620-43BF-83ED-7352BAD2DF15}">
      <text>
        <r>
          <rPr>
            <sz val="8"/>
            <color indexed="81"/>
            <rFont val="Tahoma"/>
            <family val="2"/>
          </rPr>
          <t>untuk mengisi persamaan garis, isi kolom X saja !!!!!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 satisfied Microsoft Office user</author>
  </authors>
  <commentList>
    <comment ref="AM19" authorId="0" shapeId="0" xr:uid="{5043A11E-6692-485D-819F-C54BFC92F547}">
      <text>
        <r>
          <rPr>
            <sz val="8"/>
            <color indexed="81"/>
            <rFont val="Tahoma"/>
            <family val="2"/>
          </rPr>
          <t>untuk mengisi persamaan garis, isi kolom X saja !!!!!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<sst xmlns="http://schemas.openxmlformats.org/spreadsheetml/2006/main" count="6152" uniqueCount="1563">
  <si>
    <t>NOTES :</t>
  </si>
  <si>
    <t>%</t>
  </si>
  <si>
    <t>mm</t>
  </si>
  <si>
    <t>min</t>
  </si>
  <si>
    <t>K</t>
  </si>
  <si>
    <t>D</t>
  </si>
  <si>
    <t>Reading</t>
  </si>
  <si>
    <t>HR</t>
  </si>
  <si>
    <t>Rh</t>
  </si>
  <si>
    <t>R'h</t>
  </si>
  <si>
    <t>t</t>
  </si>
  <si>
    <t>Than D</t>
  </si>
  <si>
    <t>Diameter</t>
  </si>
  <si>
    <t>Corrected</t>
  </si>
  <si>
    <t>depth</t>
  </si>
  <si>
    <t>reading</t>
  </si>
  <si>
    <t>Time</t>
  </si>
  <si>
    <t>mt</t>
  </si>
  <si>
    <t>Temp.</t>
  </si>
  <si>
    <t xml:space="preserve">Cw </t>
  </si>
  <si>
    <t>Percentage Finer</t>
  </si>
  <si>
    <t>Particle</t>
  </si>
  <si>
    <t>Fully</t>
  </si>
  <si>
    <t>Effective</t>
  </si>
  <si>
    <t>Hydrometer</t>
  </si>
  <si>
    <t>Elapsed</t>
  </si>
  <si>
    <t>density of water</t>
  </si>
  <si>
    <t>:</t>
  </si>
  <si>
    <t>Dispersant Correction, x</t>
  </si>
  <si>
    <t>Viscosity of water        :</t>
  </si>
  <si>
    <t>Clay</t>
  </si>
  <si>
    <t>temperature =</t>
  </si>
  <si>
    <t>Temperature Correction, mt</t>
  </si>
  <si>
    <t>Meniscus Correction,c :</t>
  </si>
  <si>
    <t>Hydrometer  No.</t>
  </si>
  <si>
    <t>Specific Gravity (Gs)    :</t>
  </si>
  <si>
    <t>Tube  No.</t>
  </si>
  <si>
    <t>g</t>
  </si>
  <si>
    <t>Weight of soil         :</t>
  </si>
  <si>
    <t>max</t>
  </si>
  <si>
    <t>Silt</t>
  </si>
  <si>
    <t>Sand</t>
  </si>
  <si>
    <t>Pan</t>
  </si>
  <si>
    <t>gravel</t>
  </si>
  <si>
    <t>Cobbles</t>
  </si>
  <si>
    <t>Gravel</t>
  </si>
  <si>
    <t>3/8"</t>
  </si>
  <si>
    <t>BS 1377</t>
  </si>
  <si>
    <t>ASTM D 422</t>
  </si>
  <si>
    <t>1/2"</t>
  </si>
  <si>
    <t>3/4"</t>
  </si>
  <si>
    <t>1"</t>
  </si>
  <si>
    <t>1 1/2"</t>
  </si>
  <si>
    <t>2"</t>
  </si>
  <si>
    <t>3"</t>
  </si>
  <si>
    <t xml:space="preserve"> </t>
  </si>
  <si>
    <t>Retained</t>
  </si>
  <si>
    <t>Finer</t>
  </si>
  <si>
    <t>Percent</t>
  </si>
  <si>
    <t>Opening</t>
  </si>
  <si>
    <t>No.</t>
  </si>
  <si>
    <t>Cumulative</t>
  </si>
  <si>
    <t>Wt. Soil</t>
  </si>
  <si>
    <t>Sieve</t>
  </si>
  <si>
    <t xml:space="preserve">Sieve </t>
  </si>
  <si>
    <t>Initial weight of dry soil :</t>
  </si>
  <si>
    <t>Graphic Type</t>
  </si>
  <si>
    <t>Sample Description    :</t>
  </si>
  <si>
    <t>m</t>
  </si>
  <si>
    <t>Depth          :</t>
  </si>
  <si>
    <t>Sample Type                :</t>
  </si>
  <si>
    <t>Hole No.      :</t>
  </si>
  <si>
    <t>Location      :</t>
  </si>
  <si>
    <t>PARTICLE SIZE DISTRIBUTION ANALYSIS</t>
  </si>
  <si>
    <t>Checked By</t>
  </si>
  <si>
    <t>Tested By</t>
  </si>
  <si>
    <t>Date</t>
  </si>
  <si>
    <t>Job No.</t>
  </si>
  <si>
    <t>dynamic viscosity</t>
  </si>
  <si>
    <t>T</t>
  </si>
  <si>
    <t>Percent finer</t>
  </si>
  <si>
    <t>Sieve opening</t>
  </si>
  <si>
    <t>Project</t>
  </si>
  <si>
    <t>LEMPUNG</t>
  </si>
  <si>
    <t>LANAU</t>
  </si>
  <si>
    <t xml:space="preserve">PASIR </t>
  </si>
  <si>
    <t>PASIR HALUS</t>
  </si>
  <si>
    <t>PASIR SEDANG</t>
  </si>
  <si>
    <t>PASIR KASAR</t>
  </si>
  <si>
    <t>KERIKIL</t>
  </si>
  <si>
    <t>KERIKIL HALUS</t>
  </si>
  <si>
    <t>KERIKIL KASAR</t>
  </si>
  <si>
    <r>
      <t xml:space="preserve">Penguji / </t>
    </r>
    <r>
      <rPr>
        <i/>
        <sz val="9"/>
        <color theme="1"/>
        <rFont val="Aptos"/>
        <family val="2"/>
      </rPr>
      <t>Test by</t>
    </r>
  </si>
  <si>
    <r>
      <t xml:space="preserve">Tanggal / </t>
    </r>
    <r>
      <rPr>
        <i/>
        <sz val="9"/>
        <color theme="1"/>
        <rFont val="Aptos"/>
        <family val="2"/>
      </rPr>
      <t>Dated</t>
    </r>
  </si>
  <si>
    <r>
      <t xml:space="preserve">Diperiksa / </t>
    </r>
    <r>
      <rPr>
        <i/>
        <sz val="9"/>
        <color theme="1"/>
        <rFont val="Aptos"/>
        <family val="2"/>
      </rPr>
      <t>Checked by</t>
    </r>
  </si>
  <si>
    <r>
      <t xml:space="preserve">Deskripsi Sampel / </t>
    </r>
    <r>
      <rPr>
        <b/>
        <i/>
        <sz val="10"/>
        <color theme="1"/>
        <rFont val="Aptos"/>
        <family val="2"/>
      </rPr>
      <t>Sample Description</t>
    </r>
  </si>
  <si>
    <r>
      <t xml:space="preserve">Parameter Tanah / </t>
    </r>
    <r>
      <rPr>
        <b/>
        <i/>
        <sz val="10"/>
        <color theme="1"/>
        <rFont val="Aptos"/>
        <family val="2"/>
      </rPr>
      <t>Soil Parameters</t>
    </r>
  </si>
  <si>
    <r>
      <t xml:space="preserve">Pelanggan / </t>
    </r>
    <r>
      <rPr>
        <i/>
        <sz val="9"/>
        <color theme="1"/>
        <rFont val="Aptos"/>
        <family val="2"/>
      </rPr>
      <t>Client</t>
    </r>
  </si>
  <si>
    <r>
      <t xml:space="preserve">Warna / </t>
    </r>
    <r>
      <rPr>
        <i/>
        <sz val="9"/>
        <color theme="1"/>
        <rFont val="Aptos"/>
        <family val="2"/>
      </rPr>
      <t>Colour</t>
    </r>
  </si>
  <si>
    <r>
      <t xml:space="preserve">Jenis Sampel / </t>
    </r>
    <r>
      <rPr>
        <i/>
        <sz val="9"/>
        <color theme="1"/>
        <rFont val="Aptos"/>
        <family val="2"/>
      </rPr>
      <t>Type of Sample</t>
    </r>
  </si>
  <si>
    <r>
      <t xml:space="preserve">Kedalaman / </t>
    </r>
    <r>
      <rPr>
        <i/>
        <sz val="9"/>
        <color theme="1"/>
        <rFont val="Aptos"/>
        <family val="2"/>
      </rPr>
      <t>Depth</t>
    </r>
  </si>
  <si>
    <r>
      <t xml:space="preserve">Tipe Tanah / </t>
    </r>
    <r>
      <rPr>
        <i/>
        <sz val="9"/>
        <color theme="1"/>
        <rFont val="Aptos"/>
        <family val="2"/>
      </rPr>
      <t>Soil Type</t>
    </r>
  </si>
  <si>
    <t>SNI 3423:2008</t>
  </si>
  <si>
    <t>UKURAN SARINGAN</t>
  </si>
  <si>
    <t>cm</t>
  </si>
  <si>
    <t>kg/div</t>
  </si>
  <si>
    <t>cm2</t>
  </si>
  <si>
    <t>H</t>
  </si>
  <si>
    <t>ANGEL OF INTERNAL FRICTION</t>
  </si>
  <si>
    <t>Yb</t>
  </si>
  <si>
    <t>Xb</t>
  </si>
  <si>
    <t>Ya</t>
  </si>
  <si>
    <t>Xa</t>
  </si>
  <si>
    <t>2 &amp; 3</t>
  </si>
  <si>
    <t>1 &amp; 2</t>
  </si>
  <si>
    <t>Y</t>
  </si>
  <si>
    <t>X</t>
  </si>
  <si>
    <t>Y min &amp; max (Lingkaran)</t>
  </si>
  <si>
    <t xml:space="preserve">  Pusat lingkaran (O)</t>
  </si>
  <si>
    <t xml:space="preserve">  Jari-jari lingkaran (r)</t>
  </si>
  <si>
    <t>N</t>
  </si>
  <si>
    <t>M</t>
  </si>
  <si>
    <t>G</t>
  </si>
  <si>
    <t>B</t>
  </si>
  <si>
    <t>A</t>
  </si>
  <si>
    <t xml:space="preserve">  Max. Vert. Stress</t>
  </si>
  <si>
    <t>( div )</t>
  </si>
  <si>
    <t xml:space="preserve">  Lateral Pressure</t>
  </si>
  <si>
    <t>READING</t>
  </si>
  <si>
    <t>MATION</t>
  </si>
  <si>
    <t xml:space="preserve">  Max. Dev Stress</t>
  </si>
  <si>
    <t>LOAD DIAL</t>
  </si>
  <si>
    <t>DEFOR-</t>
  </si>
  <si>
    <t xml:space="preserve">  SPECIMEN No</t>
  </si>
  <si>
    <t>SPECIMEN No. 3</t>
  </si>
  <si>
    <t>SPECIMEN No. 2</t>
  </si>
  <si>
    <t>SPECIMEN No. 1</t>
  </si>
  <si>
    <t>kg/cm2</t>
  </si>
  <si>
    <t xml:space="preserve">  Maximum Value Of Vertical Stress</t>
  </si>
  <si>
    <t xml:space="preserve">  Maximum Deviator Stress</t>
  </si>
  <si>
    <t xml:space="preserve">  Load Ring Constant</t>
  </si>
  <si>
    <t>kg/min</t>
  </si>
  <si>
    <t xml:space="preserve">  Load Rate</t>
  </si>
  <si>
    <t>mm/div</t>
  </si>
  <si>
    <t xml:space="preserve">  Dial Gauge Subdevision</t>
  </si>
  <si>
    <t xml:space="preserve">  Specimen Area</t>
  </si>
  <si>
    <t xml:space="preserve">  Specimen Height</t>
  </si>
  <si>
    <t xml:space="preserve">  Specimen Diameter</t>
  </si>
  <si>
    <t xml:space="preserve">  Number Of Specimen</t>
  </si>
  <si>
    <t>S  P  E  C  I  M  E  N     D  A  T  A</t>
  </si>
  <si>
    <t xml:space="preserve"> CHECKED BY</t>
  </si>
  <si>
    <t xml:space="preserve"> SAMPLE DEPTH</t>
  </si>
  <si>
    <t xml:space="preserve"> TESTED BY</t>
  </si>
  <si>
    <t xml:space="preserve"> SAMPLE No</t>
  </si>
  <si>
    <t xml:space="preserve"> DATE OF TEST</t>
  </si>
  <si>
    <t xml:space="preserve"> BORE HOLE No</t>
  </si>
  <si>
    <t xml:space="preserve"> L O C A T I O N</t>
  </si>
  <si>
    <t>Q</t>
  </si>
  <si>
    <t>P</t>
  </si>
  <si>
    <t>O</t>
  </si>
  <si>
    <t>J</t>
  </si>
  <si>
    <t>I</t>
  </si>
  <si>
    <t>E</t>
  </si>
  <si>
    <t>C</t>
  </si>
  <si>
    <t>( % )</t>
  </si>
  <si>
    <t>(dev)</t>
  </si>
  <si>
    <t>Stress</t>
  </si>
  <si>
    <t>Area</t>
  </si>
  <si>
    <t>Starin</t>
  </si>
  <si>
    <t>Dial</t>
  </si>
  <si>
    <t>mation</t>
  </si>
  <si>
    <t>Dev</t>
  </si>
  <si>
    <t>Correc</t>
  </si>
  <si>
    <t>Unit</t>
  </si>
  <si>
    <t>Load</t>
  </si>
  <si>
    <t>Defor-</t>
  </si>
  <si>
    <t>=</t>
  </si>
  <si>
    <t>C  O  H  E  S  I  O  N</t>
  </si>
  <si>
    <t>Ø</t>
  </si>
  <si>
    <t xml:space="preserve">TRIAXIAL COMPRESSION TEST (UU) </t>
  </si>
  <si>
    <t>LEMBAR PRINT OUT</t>
  </si>
  <si>
    <t>Halus/Fine</t>
  </si>
  <si>
    <t>Sedang/Medium</t>
  </si>
  <si>
    <t>Kasar/Coarse</t>
  </si>
  <si>
    <t xml:space="preserve"> Halus/Fine</t>
  </si>
  <si>
    <t>0.02 mm</t>
  </si>
  <si>
    <t>No. Lampiran</t>
  </si>
  <si>
    <t xml:space="preserve">Less Than </t>
  </si>
  <si>
    <t>o</t>
  </si>
  <si>
    <t>Ø =</t>
  </si>
  <si>
    <t>COHESION</t>
  </si>
  <si>
    <t>C =</t>
  </si>
  <si>
    <t>UJI TRIAXIAL UU/ TRIAXIAL UNDRAINED UNCONSOLIDATED TEST</t>
  </si>
  <si>
    <r>
      <rPr>
        <b/>
        <sz val="9"/>
        <color theme="1"/>
        <rFont val="Aptos"/>
        <family val="2"/>
      </rPr>
      <t>HASIL ANALISIS MEKANIKAL</t>
    </r>
    <r>
      <rPr>
        <sz val="9"/>
        <color theme="1"/>
        <rFont val="Aptos"/>
        <family val="2"/>
      </rPr>
      <t>/ Mechanical Analysis Results</t>
    </r>
  </si>
  <si>
    <r>
      <rPr>
        <b/>
        <sz val="9"/>
        <color theme="1"/>
        <rFont val="Aptos"/>
        <family val="2"/>
      </rPr>
      <t>ANALISIS SARINGAN/</t>
    </r>
    <r>
      <rPr>
        <sz val="9"/>
        <color theme="1"/>
        <rFont val="Aptos"/>
        <family val="2"/>
      </rPr>
      <t xml:space="preserve"> </t>
    </r>
    <r>
      <rPr>
        <i/>
        <sz val="9"/>
        <color theme="1"/>
        <rFont val="Aptos"/>
        <family val="2"/>
      </rPr>
      <t>SIEVE ANALYSIS</t>
    </r>
  </si>
  <si>
    <r>
      <t>ANALISIS HIDROMETER/</t>
    </r>
    <r>
      <rPr>
        <i/>
        <sz val="9"/>
        <color theme="1"/>
        <rFont val="Aptos"/>
        <family val="2"/>
      </rPr>
      <t>HIDROMETER ANALYSIS</t>
    </r>
  </si>
  <si>
    <r>
      <t xml:space="preserve">HASIL/ </t>
    </r>
    <r>
      <rPr>
        <b/>
        <i/>
        <sz val="9"/>
        <color theme="1"/>
        <rFont val="Aptos"/>
        <family val="2"/>
      </rPr>
      <t>Result</t>
    </r>
  </si>
  <si>
    <r>
      <t>Lempung/</t>
    </r>
    <r>
      <rPr>
        <b/>
        <i/>
        <sz val="9"/>
        <color theme="1"/>
        <rFont val="Aptos"/>
        <family val="2"/>
      </rPr>
      <t>Clay</t>
    </r>
  </si>
  <si>
    <r>
      <t>Lanau/</t>
    </r>
    <r>
      <rPr>
        <b/>
        <i/>
        <sz val="9"/>
        <color theme="1"/>
        <rFont val="Aptos"/>
        <family val="2"/>
      </rPr>
      <t>Silt</t>
    </r>
  </si>
  <si>
    <r>
      <t>Pasir/</t>
    </r>
    <r>
      <rPr>
        <b/>
        <i/>
        <sz val="9"/>
        <color theme="1"/>
        <rFont val="Aptos"/>
        <family val="2"/>
      </rPr>
      <t>Sand</t>
    </r>
  </si>
  <si>
    <r>
      <t xml:space="preserve">Kerikil/ </t>
    </r>
    <r>
      <rPr>
        <b/>
        <i/>
        <sz val="9"/>
        <color theme="1"/>
        <rFont val="Aptos"/>
        <family val="2"/>
      </rPr>
      <t>Gravel</t>
    </r>
  </si>
  <si>
    <r>
      <t>cm</t>
    </r>
    <r>
      <rPr>
        <vertAlign val="superscript"/>
        <sz val="9"/>
        <rFont val="Aptos"/>
        <family val="2"/>
      </rPr>
      <t>2</t>
    </r>
  </si>
  <si>
    <r>
      <t>kg/cm</t>
    </r>
    <r>
      <rPr>
        <vertAlign val="superscript"/>
        <sz val="9"/>
        <rFont val="Aptos"/>
        <family val="2"/>
      </rPr>
      <t>2</t>
    </r>
  </si>
  <si>
    <t>Sample Number</t>
  </si>
  <si>
    <t>Report Number</t>
  </si>
  <si>
    <t>Job Number</t>
  </si>
  <si>
    <t>Client</t>
  </si>
  <si>
    <t>Address</t>
  </si>
  <si>
    <t>Location</t>
  </si>
  <si>
    <t>Test Type</t>
  </si>
  <si>
    <t>Depth</t>
  </si>
  <si>
    <t>Computed By</t>
  </si>
  <si>
    <t>Sample Description</t>
  </si>
  <si>
    <t>Rafly</t>
  </si>
  <si>
    <r>
      <t>cm</t>
    </r>
    <r>
      <rPr>
        <vertAlign val="superscript"/>
        <sz val="7"/>
        <rFont val="Aptos"/>
        <family val="2"/>
      </rPr>
      <t>2</t>
    </r>
  </si>
  <si>
    <r>
      <t>kg/cm</t>
    </r>
    <r>
      <rPr>
        <vertAlign val="superscript"/>
        <sz val="7"/>
        <rFont val="Aptos"/>
        <family val="2"/>
      </rPr>
      <t>2</t>
    </r>
  </si>
  <si>
    <r>
      <t>kg/cm</t>
    </r>
    <r>
      <rPr>
        <vertAlign val="superscript"/>
        <sz val="8"/>
        <rFont val="Aptos"/>
        <family val="2"/>
      </rPr>
      <t>2</t>
    </r>
  </si>
  <si>
    <r>
      <t>(cm</t>
    </r>
    <r>
      <rPr>
        <vertAlign val="superscript"/>
        <sz val="7"/>
        <rFont val="Aptos"/>
        <family val="2"/>
      </rPr>
      <t>2</t>
    </r>
    <r>
      <rPr>
        <sz val="7"/>
        <rFont val="Aptos"/>
        <family val="2"/>
      </rPr>
      <t>)</t>
    </r>
  </si>
  <si>
    <r>
      <t>(kg/cm</t>
    </r>
    <r>
      <rPr>
        <vertAlign val="superscript"/>
        <sz val="7"/>
        <rFont val="Aptos"/>
        <family val="2"/>
      </rPr>
      <t>2</t>
    </r>
    <r>
      <rPr>
        <sz val="7"/>
        <rFont val="Aptos"/>
        <family val="2"/>
      </rPr>
      <t>)</t>
    </r>
  </si>
  <si>
    <r>
      <t xml:space="preserve">  Sudut </t>
    </r>
    <r>
      <rPr>
        <sz val="12"/>
        <color theme="1"/>
        <rFont val="Aptos"/>
        <family val="2"/>
      </rPr>
      <t>a</t>
    </r>
  </si>
  <si>
    <r>
      <t xml:space="preserve">  R/Cos </t>
    </r>
    <r>
      <rPr>
        <sz val="12"/>
        <color theme="1"/>
        <rFont val="Aptos"/>
        <family val="2"/>
      </rPr>
      <t>a</t>
    </r>
    <r>
      <rPr>
        <sz val="9"/>
        <color theme="1"/>
        <rFont val="Aptos"/>
        <family val="2"/>
      </rPr>
      <t xml:space="preserve"> = Y</t>
    </r>
  </si>
  <si>
    <t>Parameter</t>
  </si>
  <si>
    <t xml:space="preserve">Kadar Air </t>
  </si>
  <si>
    <t>Berat Jenis</t>
  </si>
  <si>
    <t>Berat Isi</t>
  </si>
  <si>
    <t>Derajat Kejenuhan</t>
  </si>
  <si>
    <t>(w)</t>
  </si>
  <si>
    <t>(Gs)</t>
  </si>
  <si>
    <t>(Sr)</t>
  </si>
  <si>
    <r>
      <t>(Y</t>
    </r>
    <r>
      <rPr>
        <vertAlign val="subscript"/>
        <sz val="9"/>
        <color theme="1"/>
        <rFont val="Aptos"/>
        <family val="2"/>
      </rPr>
      <t>n</t>
    </r>
    <r>
      <rPr>
        <sz val="9"/>
        <color theme="1"/>
        <rFont val="Aptos"/>
        <family val="2"/>
      </rPr>
      <t>)</t>
    </r>
  </si>
  <si>
    <r>
      <t>kg/m</t>
    </r>
    <r>
      <rPr>
        <vertAlign val="superscript"/>
        <sz val="9"/>
        <color theme="1"/>
        <rFont val="Aptos"/>
        <family val="2"/>
      </rPr>
      <t>3</t>
    </r>
  </si>
  <si>
    <t>INDEX PROPERTIES</t>
  </si>
  <si>
    <t>:   AW 1 - 10 SALAK</t>
  </si>
  <si>
    <t>JL.MAYAMIN -SAMARINDA / KAWASAN STATION SEMPAJA</t>
  </si>
  <si>
    <t>Sample Type</t>
  </si>
  <si>
    <t>temperature</t>
  </si>
  <si>
    <t>relative density</t>
  </si>
  <si>
    <t>correction</t>
  </si>
  <si>
    <t>calibration of picnometer + water at 25 C</t>
  </si>
  <si>
    <t>berat picnometer</t>
  </si>
  <si>
    <t>Sample No.</t>
  </si>
  <si>
    <t>of water</t>
  </si>
  <si>
    <t>factor of K</t>
  </si>
  <si>
    <t>No</t>
  </si>
  <si>
    <t>weight (gr)</t>
  </si>
  <si>
    <t>berat (gr)</t>
  </si>
  <si>
    <t>Bore Hole No</t>
  </si>
  <si>
    <t>Sample ID</t>
  </si>
  <si>
    <t>meter</t>
  </si>
  <si>
    <t>Soil Description</t>
  </si>
  <si>
    <t>Pycnometer No.</t>
  </si>
  <si>
    <t>R</t>
  </si>
  <si>
    <t>Wt. Of dry Soil (A)</t>
  </si>
  <si>
    <t>Temperature (T)</t>
  </si>
  <si>
    <r>
      <t>0</t>
    </r>
    <r>
      <rPr>
        <sz val="11"/>
        <rFont val="Aptos"/>
        <family val="2"/>
      </rPr>
      <t>C</t>
    </r>
  </si>
  <si>
    <t>Wt. Pycnometer + Water + Soil (B)</t>
  </si>
  <si>
    <r>
      <t>Wt Pycnometer + Water at T</t>
    </r>
    <r>
      <rPr>
        <vertAlign val="superscript"/>
        <sz val="11"/>
        <rFont val="Aptos"/>
        <family val="2"/>
      </rPr>
      <t xml:space="preserve">  0</t>
    </r>
    <r>
      <rPr>
        <sz val="11"/>
        <rFont val="Aptos"/>
        <family val="2"/>
      </rPr>
      <t>C (C)</t>
    </r>
  </si>
  <si>
    <t>A+(C-B)</t>
  </si>
  <si>
    <t>Specific Gravity (Gs)</t>
  </si>
  <si>
    <t>SPECIFIC GRAVITY Average (Gs)</t>
  </si>
  <si>
    <t xml:space="preserve">No. Container </t>
  </si>
  <si>
    <t>ID</t>
  </si>
  <si>
    <t>Wt. Container + Wet Soil</t>
  </si>
  <si>
    <t>Wt. Container + Dry Soil</t>
  </si>
  <si>
    <t>Wt. Container</t>
  </si>
  <si>
    <t>Wt. Water</t>
  </si>
  <si>
    <t>Wt. Dry Soil</t>
  </si>
  <si>
    <t>Moisture Content (w)</t>
  </si>
  <si>
    <t>MOISTURE CONTENT Average (w)</t>
  </si>
  <si>
    <t xml:space="preserve">No. Ring </t>
  </si>
  <si>
    <t>Wt. Ring + Wet Soil</t>
  </si>
  <si>
    <t xml:space="preserve">Wt. Ring </t>
  </si>
  <si>
    <t>Vol. Wet Soil (= Vol.  Ring)</t>
  </si>
  <si>
    <r>
      <t>cm</t>
    </r>
    <r>
      <rPr>
        <vertAlign val="superscript"/>
        <sz val="11"/>
        <rFont val="Aptos"/>
        <family val="2"/>
      </rPr>
      <t>3</t>
    </r>
  </si>
  <si>
    <t>BULK DENSITY (gm)</t>
  </si>
  <si>
    <r>
      <t>Mg/m</t>
    </r>
    <r>
      <rPr>
        <vertAlign val="superscript"/>
        <sz val="11"/>
        <rFont val="Aptos"/>
        <family val="2"/>
      </rPr>
      <t>3</t>
    </r>
  </si>
  <si>
    <t>DRY DENSITY (gd)</t>
  </si>
  <si>
    <t>VOID RATIO (e)</t>
  </si>
  <si>
    <t>POROSITY (n)</t>
  </si>
  <si>
    <t>DEGREE OF SATURATION (Sr)</t>
  </si>
  <si>
    <t>data ring</t>
  </si>
  <si>
    <t>no</t>
  </si>
  <si>
    <t>vol (cm3)</t>
  </si>
  <si>
    <t xml:space="preserve">Calibrated date  : </t>
  </si>
  <si>
    <t>Ring</t>
  </si>
  <si>
    <t>Height</t>
  </si>
  <si>
    <t xml:space="preserve">Weight  </t>
  </si>
  <si>
    <t>Volume</t>
  </si>
  <si>
    <t>( mm )</t>
  </si>
  <si>
    <t>( gr)</t>
  </si>
  <si>
    <t>LAPORAN HASIL UJI</t>
  </si>
  <si>
    <t>Report of Analysis</t>
  </si>
  <si>
    <t>Nama Pelanggan</t>
  </si>
  <si>
    <t>Kode Sampel</t>
  </si>
  <si>
    <t>( Sampel Code )</t>
  </si>
  <si>
    <t>Alamat</t>
  </si>
  <si>
    <t>Kedalaman</t>
  </si>
  <si>
    <t>( Depth )</t>
  </si>
  <si>
    <t>Tanggal Analisis</t>
  </si>
  <si>
    <t>Tanggal Terima Sampel</t>
  </si>
  <si>
    <t>Tanggal Laporan</t>
  </si>
  <si>
    <t>( Report Date )</t>
  </si>
  <si>
    <t>Sampel</t>
  </si>
  <si>
    <t>Hasil Pengujian</t>
  </si>
  <si>
    <t>Satuan</t>
  </si>
  <si>
    <t xml:space="preserve">Hasil </t>
  </si>
  <si>
    <t>Keterangan</t>
  </si>
  <si>
    <r>
      <t>Y</t>
    </r>
    <r>
      <rPr>
        <vertAlign val="subscript"/>
        <sz val="10"/>
        <color theme="1"/>
        <rFont val="Aptos"/>
        <family val="2"/>
      </rPr>
      <t>n</t>
    </r>
  </si>
  <si>
    <r>
      <t>gr/cm</t>
    </r>
    <r>
      <rPr>
        <vertAlign val="superscript"/>
        <sz val="10"/>
        <color theme="1"/>
        <rFont val="Aptos"/>
        <family val="2"/>
      </rPr>
      <t>3</t>
    </r>
  </si>
  <si>
    <t>-</t>
  </si>
  <si>
    <t>Unit Weight</t>
  </si>
  <si>
    <r>
      <t>G</t>
    </r>
    <r>
      <rPr>
        <vertAlign val="subscript"/>
        <sz val="10"/>
        <color theme="1"/>
        <rFont val="Aptos"/>
        <family val="2"/>
      </rPr>
      <t>s</t>
    </r>
  </si>
  <si>
    <t>Specific Gravity</t>
  </si>
  <si>
    <t>Kadar Air</t>
  </si>
  <si>
    <t>W</t>
  </si>
  <si>
    <t>Moisture Content</t>
  </si>
  <si>
    <t>Berat Kering</t>
  </si>
  <si>
    <t>Dry Density</t>
  </si>
  <si>
    <t>Kerikil Halus</t>
  </si>
  <si>
    <t>SNI 3423 : 2008</t>
  </si>
  <si>
    <t>Fine Gravel</t>
  </si>
  <si>
    <t>Batas Cair</t>
  </si>
  <si>
    <t>SNI 1967 : 2008</t>
  </si>
  <si>
    <t>LL</t>
  </si>
  <si>
    <t>Liquid Limit</t>
  </si>
  <si>
    <t>Batas Plastis</t>
  </si>
  <si>
    <t>PL</t>
  </si>
  <si>
    <t>Plastic Limit</t>
  </si>
  <si>
    <t>Indeks Plastis</t>
  </si>
  <si>
    <t>PI</t>
  </si>
  <si>
    <t>Plastic Index</t>
  </si>
  <si>
    <r>
      <t xml:space="preserve">Uji Konsolidasi / </t>
    </r>
    <r>
      <rPr>
        <b/>
        <i/>
        <sz val="10"/>
        <color theme="1"/>
        <rFont val="Aptos"/>
        <family val="2"/>
      </rPr>
      <t>Consolidation Test</t>
    </r>
  </si>
  <si>
    <t>SNI 2812 : 2011</t>
  </si>
  <si>
    <r>
      <t>C</t>
    </r>
    <r>
      <rPr>
        <vertAlign val="subscript"/>
        <sz val="10"/>
        <color theme="1"/>
        <rFont val="Aptos"/>
        <family val="2"/>
      </rPr>
      <t>c</t>
    </r>
  </si>
  <si>
    <t>Koefisien Konsolidasi</t>
  </si>
  <si>
    <r>
      <t>C</t>
    </r>
    <r>
      <rPr>
        <vertAlign val="subscript"/>
        <sz val="10"/>
        <color theme="1"/>
        <rFont val="Aptos"/>
        <family val="2"/>
      </rPr>
      <t>v</t>
    </r>
  </si>
  <si>
    <t>Coefficient of Consolidation</t>
  </si>
  <si>
    <t>e0</t>
  </si>
  <si>
    <t>Sudut Geser Dalam</t>
  </si>
  <si>
    <t>SNI 4813 : 2015</t>
  </si>
  <si>
    <t>⁰</t>
  </si>
  <si>
    <t>Kohesi</t>
  </si>
  <si>
    <r>
      <t>kg/cm</t>
    </r>
    <r>
      <rPr>
        <vertAlign val="superscript"/>
        <sz val="10"/>
        <color theme="1"/>
        <rFont val="Aptos"/>
        <family val="2"/>
      </rPr>
      <t>2</t>
    </r>
  </si>
  <si>
    <t>Cohesion</t>
  </si>
  <si>
    <t>SNI 3638 : 2012</t>
  </si>
  <si>
    <t>Cohession</t>
  </si>
  <si>
    <t>Kepala Laboratorium</t>
  </si>
  <si>
    <t>PT. Minearth Geo Solution</t>
  </si>
  <si>
    <t>Keterangan :</t>
  </si>
  <si>
    <t>1. Hasil uji di atas hanya berlaku untuk sampel yang di uji.</t>
  </si>
  <si>
    <t>2. Laporan Hasil Uji ini terdiri dari1 halaman.</t>
  </si>
  <si>
    <t>4. Laboratorium Melayani pengaduan /complaint maksimum 5 (lima) hari kerja terhitung dari tanggal penyerahan LHU.</t>
  </si>
  <si>
    <t>Note :</t>
  </si>
  <si>
    <t>ρd</t>
  </si>
  <si>
    <t>φ</t>
  </si>
  <si>
    <t>kg/cm²</t>
  </si>
  <si>
    <t>Compression Ratio</t>
  </si>
  <si>
    <t>Lokasi</t>
  </si>
  <si>
    <t>e</t>
  </si>
  <si>
    <t>Rasio Pori</t>
  </si>
  <si>
    <t>UJI BATAS PLASTIS, BATAS CAIR</t>
  </si>
  <si>
    <r>
      <rPr>
        <b/>
        <sz val="10"/>
        <color theme="1"/>
        <rFont val="Aptos"/>
        <family val="2"/>
      </rPr>
      <t>Uji Batas Cair</t>
    </r>
    <r>
      <rPr>
        <sz val="10"/>
        <color theme="1"/>
        <rFont val="Aptos"/>
        <family val="2"/>
      </rPr>
      <t xml:space="preserve"> / </t>
    </r>
    <r>
      <rPr>
        <i/>
        <sz val="10"/>
        <color theme="1"/>
        <rFont val="Aptos"/>
        <family val="2"/>
      </rPr>
      <t>Liquids Limit Test</t>
    </r>
  </si>
  <si>
    <t>Vertical Iine</t>
  </si>
  <si>
    <t>Horizontal Line</t>
  </si>
  <si>
    <t xml:space="preserve">Graphic Trend line </t>
  </si>
  <si>
    <t>PARAMETER</t>
  </si>
  <si>
    <t>Banyak Pukulan/No. of blows</t>
  </si>
  <si>
    <t>No. Cawan</t>
  </si>
  <si>
    <r>
      <t xml:space="preserve">Berat cawan kosong / </t>
    </r>
    <r>
      <rPr>
        <i/>
        <sz val="10"/>
        <color theme="1"/>
        <rFont val="Aptos"/>
        <family val="2"/>
      </rPr>
      <t xml:space="preserve">wt. empty can </t>
    </r>
  </si>
  <si>
    <t>( gr )</t>
  </si>
  <si>
    <t xml:space="preserve">Berat cawan + Tanah basah / wt.of can + moist soil </t>
  </si>
  <si>
    <r>
      <t xml:space="preserve">Berat cawan + Tanah Kering / </t>
    </r>
    <r>
      <rPr>
        <i/>
        <sz val="10"/>
        <color theme="1"/>
        <rFont val="Aptos"/>
        <family val="2"/>
      </rPr>
      <t>wt. of can + dry soil</t>
    </r>
    <r>
      <rPr>
        <sz val="10"/>
        <color theme="1"/>
        <rFont val="Aptos"/>
        <family val="2"/>
      </rPr>
      <t xml:space="preserve"> </t>
    </r>
  </si>
  <si>
    <t xml:space="preserve">Berat tanah basah / wt. of moist soil </t>
  </si>
  <si>
    <t>LIQUID LIMIT</t>
  </si>
  <si>
    <r>
      <t xml:space="preserve">Berat tanah kering  / </t>
    </r>
    <r>
      <rPr>
        <i/>
        <sz val="10"/>
        <color theme="1"/>
        <rFont val="Aptos"/>
        <family val="2"/>
      </rPr>
      <t xml:space="preserve">wt. of dry soil </t>
    </r>
  </si>
  <si>
    <r>
      <t xml:space="preserve">Berat air / </t>
    </r>
    <r>
      <rPr>
        <i/>
        <sz val="10"/>
        <color theme="1"/>
        <rFont val="Aptos"/>
        <family val="2"/>
      </rPr>
      <t>wt. of water</t>
    </r>
  </si>
  <si>
    <r>
      <t xml:space="preserve">Kadar air/ </t>
    </r>
    <r>
      <rPr>
        <i/>
        <sz val="10"/>
        <color theme="1"/>
        <rFont val="Aptos"/>
        <family val="2"/>
      </rPr>
      <t>Moisture content</t>
    </r>
    <r>
      <rPr>
        <sz val="10"/>
        <color theme="1"/>
        <rFont val="Aptos"/>
        <family val="2"/>
      </rPr>
      <t xml:space="preserve"> (M</t>
    </r>
    <r>
      <rPr>
        <vertAlign val="subscript"/>
        <sz val="10"/>
        <color theme="1"/>
        <rFont val="Aptos"/>
        <family val="2"/>
      </rPr>
      <t>c)</t>
    </r>
  </si>
  <si>
    <t xml:space="preserve">         </t>
  </si>
  <si>
    <t>A-Line</t>
  </si>
  <si>
    <t>Pl = 0.73(LL-20)</t>
  </si>
  <si>
    <r>
      <rPr>
        <b/>
        <sz val="10"/>
        <color theme="1"/>
        <rFont val="Aptos"/>
        <family val="2"/>
      </rPr>
      <t>Uji Batas Plastis</t>
    </r>
    <r>
      <rPr>
        <sz val="10"/>
        <color theme="1"/>
        <rFont val="Aptos"/>
        <family val="2"/>
      </rPr>
      <t xml:space="preserve"> / </t>
    </r>
    <r>
      <rPr>
        <i/>
        <sz val="10"/>
        <color theme="1"/>
        <rFont val="Aptos"/>
        <family val="2"/>
      </rPr>
      <t>Plastic Limit Test</t>
    </r>
  </si>
  <si>
    <t>U-Line</t>
  </si>
  <si>
    <t>Pl=0.9(LL-8)</t>
  </si>
  <si>
    <t xml:space="preserve">Berat cawan kosong / wt. empty can </t>
  </si>
  <si>
    <t xml:space="preserve">Berat cawan + Tanah Kering / wt. of can + dry soil </t>
  </si>
  <si>
    <t xml:space="preserve">Berat tanah kering  / wt. of dry soil </t>
  </si>
  <si>
    <t>(gr)</t>
  </si>
  <si>
    <t xml:space="preserve">Berat air / wt. of water </t>
  </si>
  <si>
    <t>Kadar air/ Moisture content (Mc)</t>
  </si>
  <si>
    <r>
      <t>Batas Plastis /</t>
    </r>
    <r>
      <rPr>
        <i/>
        <sz val="10"/>
        <color theme="1"/>
        <rFont val="Aptos"/>
        <family val="2"/>
      </rPr>
      <t>Plastic Limit</t>
    </r>
  </si>
  <si>
    <t>(%)</t>
  </si>
  <si>
    <t>Straight line</t>
  </si>
  <si>
    <t xml:space="preserve">CL-ML </t>
  </si>
  <si>
    <t>Region</t>
  </si>
  <si>
    <t>Penguji / Test by</t>
  </si>
  <si>
    <t>Tanggal / Dated</t>
  </si>
  <si>
    <t>Diperiksa / Checked by</t>
  </si>
  <si>
    <t>gr/cm3</t>
  </si>
  <si>
    <r>
      <t xml:space="preserve">Pelanggan / </t>
    </r>
    <r>
      <rPr>
        <i/>
        <sz val="10"/>
        <color theme="1"/>
        <rFont val="Aptos"/>
        <family val="2"/>
      </rPr>
      <t>Client</t>
    </r>
  </si>
  <si>
    <r>
      <t>No Sampel /</t>
    </r>
    <r>
      <rPr>
        <i/>
        <sz val="10"/>
        <color theme="1"/>
        <rFont val="Aptos"/>
        <family val="2"/>
      </rPr>
      <t xml:space="preserve"> Sample No</t>
    </r>
  </si>
  <si>
    <r>
      <t xml:space="preserve">Kedalaman / </t>
    </r>
    <r>
      <rPr>
        <i/>
        <sz val="10"/>
        <color theme="1"/>
        <rFont val="Aptos"/>
        <family val="2"/>
      </rPr>
      <t>Depth</t>
    </r>
  </si>
  <si>
    <r>
      <t xml:space="preserve">Jenis Tanah / </t>
    </r>
    <r>
      <rPr>
        <i/>
        <sz val="10"/>
        <color theme="1"/>
        <rFont val="Aptos"/>
        <family val="2"/>
      </rPr>
      <t>Soil Type</t>
    </r>
  </si>
  <si>
    <r>
      <t xml:space="preserve">Warna/ </t>
    </r>
    <r>
      <rPr>
        <i/>
        <sz val="10"/>
        <color theme="1"/>
        <rFont val="Aptos"/>
        <family val="2"/>
      </rPr>
      <t>Colour</t>
    </r>
  </si>
  <si>
    <t>Lempung</t>
  </si>
  <si>
    <t>Lanau</t>
  </si>
  <si>
    <t>Pasir</t>
  </si>
  <si>
    <t>Kerikil Kasar</t>
  </si>
  <si>
    <t>Coarse Gravel</t>
  </si>
  <si>
    <t>Porosity</t>
  </si>
  <si>
    <t>Degree of Saturation</t>
  </si>
  <si>
    <t>Sr</t>
  </si>
  <si>
    <t>n</t>
  </si>
  <si>
    <t xml:space="preserve">Height of Ring </t>
  </si>
  <si>
    <t>Ring Diameter</t>
  </si>
  <si>
    <t>gr</t>
  </si>
  <si>
    <t>mk</t>
  </si>
  <si>
    <t>berat vol. benda uji semula</t>
  </si>
  <si>
    <t>Weight of wet Soil</t>
  </si>
  <si>
    <t>Gs</t>
  </si>
  <si>
    <t>Weight of water</t>
  </si>
  <si>
    <t>Berat volume air</t>
  </si>
  <si>
    <t>Angka pori tanah semula</t>
  </si>
  <si>
    <t>eo</t>
  </si>
  <si>
    <t>Stress (kg/cm2)</t>
  </si>
  <si>
    <t>DDR</t>
  </si>
  <si>
    <t>∆e</t>
  </si>
  <si>
    <t>Hr</t>
  </si>
  <si>
    <t>𝛅e</t>
  </si>
  <si>
    <t>𝛅p</t>
  </si>
  <si>
    <t>Cv (cm2/sec)</t>
  </si>
  <si>
    <t>Cc</t>
  </si>
  <si>
    <t>Garis 1</t>
  </si>
  <si>
    <t>Garis 2</t>
  </si>
  <si>
    <t>Akar t90</t>
  </si>
  <si>
    <t>Weight of ring</t>
  </si>
  <si>
    <t>PARAMETER TANAH SEMULA</t>
  </si>
  <si>
    <t>PARAMETER TANAH SETELAH PENGUJIAN</t>
  </si>
  <si>
    <t>Weight of Soil + Ring</t>
  </si>
  <si>
    <t>Luas Benda Uji</t>
  </si>
  <si>
    <t>massa tanah setelah pengujian</t>
  </si>
  <si>
    <t>mf</t>
  </si>
  <si>
    <t xml:space="preserve">  CONTAINER NO.</t>
  </si>
  <si>
    <t>Volume Benda Uji</t>
  </si>
  <si>
    <t>Kadar air setelah pengujian</t>
  </si>
  <si>
    <t>CONSOLIDATION TEST</t>
  </si>
  <si>
    <t xml:space="preserve">  WT. CONTAINER </t>
  </si>
  <si>
    <t>Massa benda uji semula</t>
  </si>
  <si>
    <t xml:space="preserve">Berat volume tanah setelah pengujian </t>
  </si>
  <si>
    <t xml:space="preserve">  WT. CONTAINER + WET SOIL </t>
  </si>
  <si>
    <t>Massa Kering Benda uji Semula</t>
  </si>
  <si>
    <t>Berat volume benda uji kering setelah pengujian</t>
  </si>
  <si>
    <t xml:space="preserve">  WT. CONTAINER + DRY SOIL </t>
  </si>
  <si>
    <t>Kadar air semula</t>
  </si>
  <si>
    <t>Wo</t>
  </si>
  <si>
    <t xml:space="preserve">Derajat kejenuhan air setelah pengujian </t>
  </si>
  <si>
    <t xml:space="preserve">  WT. WET SOIL </t>
  </si>
  <si>
    <t>berat vol. benda uji kering semula</t>
  </si>
  <si>
    <t>WT. OF DRY SOIL</t>
  </si>
  <si>
    <t xml:space="preserve">  WT. WATER (Ww) IN g</t>
  </si>
  <si>
    <t>Derajat kejenuhan air Semula</t>
  </si>
  <si>
    <t>cm-1</t>
  </si>
  <si>
    <t>e max</t>
  </si>
  <si>
    <t>e min</t>
  </si>
  <si>
    <t>garis  e0</t>
  </si>
  <si>
    <t xml:space="preserve">Elapsed </t>
  </si>
  <si>
    <t>COMPRESSION DIAL (mm)</t>
  </si>
  <si>
    <t>(minute)</t>
  </si>
  <si>
    <t>∆H (cm)</t>
  </si>
  <si>
    <t>mv (cm2/</t>
  </si>
  <si>
    <t>Tinggi</t>
  </si>
  <si>
    <t>berat</t>
  </si>
  <si>
    <t>No ring</t>
  </si>
  <si>
    <t>DATA RING</t>
  </si>
  <si>
    <r>
      <t>cm</t>
    </r>
    <r>
      <rPr>
        <vertAlign val="superscript"/>
        <sz val="10"/>
        <color theme="1"/>
        <rFont val="Aptos"/>
        <family val="2"/>
      </rPr>
      <t>2</t>
    </r>
  </si>
  <si>
    <r>
      <t>V</t>
    </r>
    <r>
      <rPr>
        <vertAlign val="subscript"/>
        <sz val="10"/>
        <color theme="1"/>
        <rFont val="Aptos"/>
        <family val="2"/>
      </rPr>
      <t>o</t>
    </r>
  </si>
  <si>
    <r>
      <t>cm</t>
    </r>
    <r>
      <rPr>
        <vertAlign val="superscript"/>
        <sz val="10"/>
        <color theme="1"/>
        <rFont val="Aptos"/>
        <family val="2"/>
      </rPr>
      <t>3</t>
    </r>
  </si>
  <si>
    <r>
      <rPr>
        <b/>
        <sz val="10"/>
        <color theme="1"/>
        <rFont val="Aptos"/>
        <family val="2"/>
      </rPr>
      <t>𝜸</t>
    </r>
    <r>
      <rPr>
        <b/>
        <vertAlign val="subscript"/>
        <sz val="10"/>
        <color theme="1"/>
        <rFont val="Aptos"/>
        <family val="2"/>
      </rPr>
      <t>n</t>
    </r>
    <r>
      <rPr>
        <vertAlign val="subscript"/>
        <sz val="10"/>
        <color theme="1"/>
        <rFont val="Aptos"/>
        <family val="2"/>
      </rPr>
      <t>f</t>
    </r>
  </si>
  <si>
    <r>
      <rPr>
        <b/>
        <sz val="10"/>
        <color theme="1"/>
        <rFont val="Aptos"/>
        <family val="2"/>
      </rPr>
      <t>𝜸</t>
    </r>
    <r>
      <rPr>
        <vertAlign val="subscript"/>
        <sz val="10"/>
        <color theme="1"/>
        <rFont val="Aptos"/>
        <family val="2"/>
      </rPr>
      <t>df</t>
    </r>
  </si>
  <si>
    <r>
      <rPr>
        <b/>
        <sz val="10"/>
        <color theme="1"/>
        <rFont val="Aptos"/>
        <family val="2"/>
      </rPr>
      <t>𝜸</t>
    </r>
    <r>
      <rPr>
        <b/>
        <vertAlign val="subscript"/>
        <sz val="10"/>
        <color theme="1"/>
        <rFont val="Aptos"/>
        <family val="2"/>
      </rPr>
      <t>n</t>
    </r>
    <r>
      <rPr>
        <vertAlign val="subscript"/>
        <sz val="10"/>
        <color theme="1"/>
        <rFont val="Aptos"/>
        <family val="2"/>
      </rPr>
      <t>o</t>
    </r>
  </si>
  <si>
    <r>
      <t>S</t>
    </r>
    <r>
      <rPr>
        <vertAlign val="subscript"/>
        <sz val="10"/>
        <color theme="1"/>
        <rFont val="Aptos"/>
        <family val="2"/>
      </rPr>
      <t>o</t>
    </r>
  </si>
  <si>
    <r>
      <rPr>
        <b/>
        <sz val="10"/>
        <color theme="1"/>
        <rFont val="Aptos"/>
        <family val="2"/>
      </rPr>
      <t>𝜸</t>
    </r>
    <r>
      <rPr>
        <vertAlign val="subscript"/>
        <sz val="10"/>
        <color theme="1"/>
        <rFont val="Aptos"/>
        <family val="2"/>
      </rPr>
      <t>d0</t>
    </r>
  </si>
  <si>
    <r>
      <rPr>
        <b/>
        <sz val="10"/>
        <color theme="1"/>
        <rFont val="Aptos"/>
        <family val="2"/>
      </rPr>
      <t>𝜸</t>
    </r>
    <r>
      <rPr>
        <vertAlign val="subscript"/>
        <sz val="10"/>
        <color theme="1"/>
        <rFont val="Aptos"/>
        <family val="2"/>
      </rPr>
      <t>w</t>
    </r>
  </si>
  <si>
    <r>
      <t>0,25 kg/cm</t>
    </r>
    <r>
      <rPr>
        <vertAlign val="superscript"/>
        <sz val="10"/>
        <rFont val="Aptos"/>
        <family val="2"/>
      </rPr>
      <t>2</t>
    </r>
  </si>
  <si>
    <r>
      <t>0,50 kg/cm</t>
    </r>
    <r>
      <rPr>
        <vertAlign val="superscript"/>
        <sz val="10"/>
        <rFont val="Aptos"/>
        <family val="2"/>
      </rPr>
      <t>2</t>
    </r>
  </si>
  <si>
    <r>
      <t>1,00 kg/cm</t>
    </r>
    <r>
      <rPr>
        <vertAlign val="superscript"/>
        <sz val="10"/>
        <rFont val="Aptos"/>
        <family val="2"/>
      </rPr>
      <t>2</t>
    </r>
  </si>
  <si>
    <r>
      <t>2,00 kg/cm</t>
    </r>
    <r>
      <rPr>
        <vertAlign val="superscript"/>
        <sz val="10"/>
        <rFont val="Aptos"/>
        <family val="2"/>
      </rPr>
      <t>2</t>
    </r>
  </si>
  <si>
    <r>
      <t>4,00 kg/cm</t>
    </r>
    <r>
      <rPr>
        <vertAlign val="superscript"/>
        <sz val="10"/>
        <rFont val="Aptos"/>
        <family val="2"/>
      </rPr>
      <t>2</t>
    </r>
  </si>
  <si>
    <r>
      <t>8,00 kg/cm</t>
    </r>
    <r>
      <rPr>
        <vertAlign val="superscript"/>
        <sz val="10"/>
        <rFont val="Aptos"/>
        <family val="2"/>
      </rPr>
      <t>2</t>
    </r>
  </si>
  <si>
    <t>Koeff. Kompressibiltas Volume</t>
  </si>
  <si>
    <t>Penurunan</t>
  </si>
  <si>
    <t>Perubahan inkremental</t>
  </si>
  <si>
    <r>
      <t>√T</t>
    </r>
    <r>
      <rPr>
        <vertAlign val="subscript"/>
        <sz val="10"/>
        <color theme="1"/>
        <rFont val="Aptos"/>
        <family val="2"/>
      </rPr>
      <t>90</t>
    </r>
    <r>
      <rPr>
        <sz val="10"/>
        <color theme="1"/>
        <rFont val="Aptos"/>
        <family val="2"/>
      </rPr>
      <t xml:space="preserve"> (menit)</t>
    </r>
  </si>
  <si>
    <r>
      <t>T</t>
    </r>
    <r>
      <rPr>
        <vertAlign val="subscript"/>
        <sz val="10"/>
        <color theme="1"/>
        <rFont val="Aptos"/>
        <family val="2"/>
      </rPr>
      <t>90</t>
    </r>
    <r>
      <rPr>
        <sz val="10"/>
        <color theme="1"/>
        <rFont val="Aptos"/>
        <family val="2"/>
      </rPr>
      <t xml:space="preserve"> (detik)</t>
    </r>
  </si>
  <si>
    <t>Mv</t>
  </si>
  <si>
    <t>Cv</t>
  </si>
  <si>
    <t>Div</t>
  </si>
  <si>
    <t>mikro</t>
  </si>
  <si>
    <t>M Noval</t>
  </si>
  <si>
    <t xml:space="preserve">Cv </t>
  </si>
  <si>
    <t>Max</t>
  </si>
  <si>
    <t>Faktor Satuan CV</t>
  </si>
  <si>
    <t>Hs</t>
  </si>
  <si>
    <t>Solid Height</t>
  </si>
  <si>
    <t>Type of Sampel</t>
  </si>
  <si>
    <t>Soil Type /Tipe Tanah</t>
  </si>
  <si>
    <t>Penguji</t>
  </si>
  <si>
    <t>Type of Sample</t>
  </si>
  <si>
    <t>Title Vertical axis</t>
  </si>
  <si>
    <t>Derajat Saturasi</t>
  </si>
  <si>
    <t>Angka pori awal</t>
  </si>
  <si>
    <t>Initial Void Ratio</t>
  </si>
  <si>
    <t>Index Kompresibiltas</t>
  </si>
  <si>
    <t>Koefisien Kompresibilitas</t>
  </si>
  <si>
    <t>Compressability Coeff.</t>
  </si>
  <si>
    <r>
      <t>cm</t>
    </r>
    <r>
      <rPr>
        <vertAlign val="superscript"/>
        <sz val="10"/>
        <color theme="1"/>
        <rFont val="Aptos"/>
        <family val="2"/>
      </rPr>
      <t>2</t>
    </r>
    <r>
      <rPr>
        <sz val="10"/>
        <color theme="1"/>
        <rFont val="Aptos"/>
        <family val="2"/>
      </rPr>
      <t>/kg</t>
    </r>
  </si>
  <si>
    <t>mv</t>
  </si>
  <si>
    <t>Koefisien Permeabiltas</t>
  </si>
  <si>
    <t>Permeability Coefficient</t>
  </si>
  <si>
    <t>k</t>
  </si>
  <si>
    <t>Proyek</t>
  </si>
  <si>
    <t>( Customer Name )</t>
  </si>
  <si>
    <t>( Addres )</t>
  </si>
  <si>
    <t>( Project  )</t>
  </si>
  <si>
    <t>( Location )</t>
  </si>
  <si>
    <t>( Received Date )</t>
  </si>
  <si>
    <t>SNI 1964 : 2008</t>
  </si>
  <si>
    <t>cm/s</t>
  </si>
  <si>
    <t>AS Sumartadji</t>
  </si>
  <si>
    <t>Depth/Kedalaman</t>
  </si>
  <si>
    <t>Collour/Warna</t>
  </si>
  <si>
    <t xml:space="preserve">Klasifikasi Tanah/Soil Classification (USCS ) :       </t>
  </si>
  <si>
    <t>JANGAN DIGANTI!!!!!!!!!!</t>
  </si>
  <si>
    <t>Jenis Tanah</t>
  </si>
  <si>
    <r>
      <t>s</t>
    </r>
    <r>
      <rPr>
        <vertAlign val="subscript"/>
        <sz val="10"/>
        <rFont val="Aptos"/>
        <family val="2"/>
      </rPr>
      <t xml:space="preserve">3          </t>
    </r>
    <r>
      <rPr>
        <sz val="10"/>
        <rFont val="Aptos"/>
        <family val="2"/>
      </rPr>
      <t>=</t>
    </r>
  </si>
  <si>
    <t>Remolded</t>
  </si>
  <si>
    <t>Undisturb</t>
  </si>
  <si>
    <t>Warna</t>
  </si>
  <si>
    <t>Cell</t>
  </si>
  <si>
    <r>
      <t>s</t>
    </r>
    <r>
      <rPr>
        <vertAlign val="subscript"/>
        <sz val="10"/>
        <rFont val="Aptos"/>
        <family val="2"/>
      </rPr>
      <t xml:space="preserve">1          </t>
    </r>
    <r>
      <rPr>
        <sz val="10"/>
        <rFont val="Aptos"/>
        <family val="2"/>
      </rPr>
      <t>=</t>
    </r>
  </si>
  <si>
    <t xml:space="preserve">Preparation </t>
  </si>
  <si>
    <t>pressure</t>
  </si>
  <si>
    <r>
      <t>s</t>
    </r>
    <r>
      <rPr>
        <vertAlign val="subscript"/>
        <sz val="10"/>
        <rFont val="Aptos"/>
        <family val="2"/>
      </rPr>
      <t>1</t>
    </r>
    <r>
      <rPr>
        <sz val="10"/>
        <rFont val="Aptos"/>
        <family val="2"/>
      </rPr>
      <t>-s</t>
    </r>
    <r>
      <rPr>
        <vertAlign val="subscript"/>
        <sz val="10"/>
        <rFont val="Aptos"/>
        <family val="2"/>
      </rPr>
      <t xml:space="preserve">3     </t>
    </r>
    <r>
      <rPr>
        <sz val="10"/>
        <rFont val="Aptos"/>
        <family val="2"/>
      </rPr>
      <t>=</t>
    </r>
  </si>
  <si>
    <t>Specimen details</t>
  </si>
  <si>
    <t>Initial</t>
  </si>
  <si>
    <t>After test</t>
  </si>
  <si>
    <t>Machine details</t>
  </si>
  <si>
    <t>kPa</t>
  </si>
  <si>
    <r>
      <t>s</t>
    </r>
    <r>
      <rPr>
        <vertAlign val="subscript"/>
        <sz val="10"/>
        <rFont val="Aptos"/>
        <family val="2"/>
      </rPr>
      <t>1</t>
    </r>
    <r>
      <rPr>
        <sz val="10"/>
        <rFont val="Aptos"/>
        <family val="2"/>
      </rPr>
      <t>-s</t>
    </r>
    <r>
      <rPr>
        <vertAlign val="subscript"/>
        <sz val="10"/>
        <rFont val="Aptos"/>
        <family val="2"/>
      </rPr>
      <t>3/</t>
    </r>
    <r>
      <rPr>
        <vertAlign val="subscript"/>
        <sz val="8"/>
        <rFont val="Aptos"/>
        <family val="2"/>
      </rPr>
      <t xml:space="preserve">2 </t>
    </r>
    <r>
      <rPr>
        <sz val="10"/>
        <rFont val="Aptos"/>
        <family val="2"/>
      </rPr>
      <t>=</t>
    </r>
  </si>
  <si>
    <r>
      <t>s</t>
    </r>
    <r>
      <rPr>
        <vertAlign val="subscript"/>
        <sz val="10"/>
        <rFont val="Aptos"/>
        <family val="2"/>
      </rPr>
      <t>1</t>
    </r>
    <r>
      <rPr>
        <sz val="10"/>
        <rFont val="Aptos"/>
        <family val="2"/>
      </rPr>
      <t>-s</t>
    </r>
    <r>
      <rPr>
        <vertAlign val="subscript"/>
        <sz val="10"/>
        <rFont val="Aptos"/>
        <family val="2"/>
      </rPr>
      <t>3</t>
    </r>
    <r>
      <rPr>
        <sz val="10"/>
        <rFont val="Aptos"/>
        <family val="2"/>
      </rPr>
      <t>/2</t>
    </r>
    <r>
      <rPr>
        <vertAlign val="subscript"/>
        <sz val="10"/>
        <rFont val="Aptos"/>
        <family val="2"/>
      </rPr>
      <t xml:space="preserve"> </t>
    </r>
    <r>
      <rPr>
        <sz val="10"/>
        <rFont val="Aptos"/>
        <family val="2"/>
      </rPr>
      <t>=</t>
    </r>
  </si>
  <si>
    <t>Dmm</t>
  </si>
  <si>
    <t xml:space="preserve">Mass      </t>
  </si>
  <si>
    <t>Machine no</t>
  </si>
  <si>
    <r>
      <t>s</t>
    </r>
    <r>
      <rPr>
        <vertAlign val="subscript"/>
        <sz val="10"/>
        <rFont val="Aptos"/>
        <family val="2"/>
      </rPr>
      <t>1</t>
    </r>
    <r>
      <rPr>
        <sz val="10"/>
        <rFont val="Aptos"/>
        <family val="2"/>
      </rPr>
      <t>+s</t>
    </r>
    <r>
      <rPr>
        <vertAlign val="subscript"/>
        <sz val="10"/>
        <rFont val="Aptos"/>
        <family val="2"/>
      </rPr>
      <t xml:space="preserve">3/2    </t>
    </r>
    <r>
      <rPr>
        <sz val="10"/>
        <rFont val="Aptos"/>
        <family val="2"/>
      </rPr>
      <t>=</t>
    </r>
  </si>
  <si>
    <t>Ao mm2</t>
  </si>
  <si>
    <t xml:space="preserve">Dry mass     </t>
  </si>
  <si>
    <t>Rate of deformation</t>
  </si>
  <si>
    <t>mm/min</t>
  </si>
  <si>
    <t>Length</t>
  </si>
  <si>
    <t xml:space="preserve">Lo  mm </t>
  </si>
  <si>
    <t xml:space="preserve">W         </t>
  </si>
  <si>
    <t>PR Calibration</t>
  </si>
  <si>
    <t>kgf/div</t>
  </si>
  <si>
    <t>Undistrub</t>
  </si>
  <si>
    <t>cm3</t>
  </si>
  <si>
    <t>Mass</t>
  </si>
  <si>
    <t>Density</t>
  </si>
  <si>
    <t>g/cm3</t>
  </si>
  <si>
    <t>Compression test Single stage</t>
  </si>
  <si>
    <t>UNDISTURBED</t>
  </si>
  <si>
    <t>UNDISTURB</t>
  </si>
  <si>
    <t>REMOLDED</t>
  </si>
  <si>
    <t>Deformation</t>
  </si>
  <si>
    <t>Compression of</t>
  </si>
  <si>
    <t>Strain</t>
  </si>
  <si>
    <t>Force  gauge</t>
  </si>
  <si>
    <t>Axial</t>
  </si>
  <si>
    <t xml:space="preserve">Corrected </t>
  </si>
  <si>
    <t>Deviator stress</t>
  </si>
  <si>
    <t>gauge reading</t>
  </si>
  <si>
    <t xml:space="preserve"> specimen (d L)</t>
  </si>
  <si>
    <t>force</t>
  </si>
  <si>
    <t>INITIAL</t>
  </si>
  <si>
    <t>x 0.01mm</t>
  </si>
  <si>
    <t>(mm)</t>
  </si>
  <si>
    <t>(div)</t>
  </si>
  <si>
    <t>(N)</t>
  </si>
  <si>
    <r>
      <t>(mm</t>
    </r>
    <r>
      <rPr>
        <vertAlign val="superscript"/>
        <sz val="10"/>
        <rFont val="Aptos"/>
        <family val="2"/>
      </rPr>
      <t>2</t>
    </r>
    <r>
      <rPr>
        <sz val="10"/>
        <rFont val="Aptos"/>
        <family val="2"/>
      </rPr>
      <t>)</t>
    </r>
  </si>
  <si>
    <t>(kg/cm2)</t>
  </si>
  <si>
    <t>TEST RESULT :</t>
  </si>
  <si>
    <t>Sample</t>
  </si>
  <si>
    <t>At failure</t>
  </si>
  <si>
    <t>Undisturbed</t>
  </si>
  <si>
    <t>Sensitivity</t>
  </si>
  <si>
    <t>Undisturb.</t>
  </si>
  <si>
    <t xml:space="preserve">max </t>
  </si>
  <si>
    <t>N/div</t>
  </si>
  <si>
    <t xml:space="preserve">    </t>
  </si>
  <si>
    <t>Mg/m3</t>
  </si>
  <si>
    <r>
      <t>Compression test</t>
    </r>
    <r>
      <rPr>
        <b/>
        <sz val="10"/>
        <color indexed="14"/>
        <rFont val="Aptos"/>
        <family val="2"/>
      </rPr>
      <t xml:space="preserve"> </t>
    </r>
    <r>
      <rPr>
        <b/>
        <sz val="10"/>
        <rFont val="Aptos"/>
        <family val="2"/>
      </rPr>
      <t xml:space="preserve"> stage</t>
    </r>
  </si>
  <si>
    <t>Deskripsi Sampel / Sample Description</t>
  </si>
  <si>
    <t>Pelanggan / Client</t>
  </si>
  <si>
    <t>No Sampel / Sample No</t>
  </si>
  <si>
    <t>Kedalaman / Depth</t>
  </si>
  <si>
    <t>Warna / Colour</t>
  </si>
  <si>
    <t>Strain
%</t>
  </si>
  <si>
    <t>Strain - Undisturb</t>
  </si>
  <si>
    <t>Strain - Remolded</t>
  </si>
  <si>
    <t>unconfined compressive strength - Undisturb</t>
  </si>
  <si>
    <t>unconfined compressive strength - Remolded</t>
  </si>
  <si>
    <t>Kuat Tekan Bebas - Cetak Ulang</t>
  </si>
  <si>
    <t>Kuat Tekan Bebas - Tidak Terganggu</t>
  </si>
  <si>
    <t>Sensitivitas</t>
  </si>
  <si>
    <t>GRAFIK METODE AKAR WAKTU/SQUARE ROOT TIME (✓T90)</t>
  </si>
  <si>
    <t>….......................................................................................</t>
  </si>
  <si>
    <t>UNIT</t>
  </si>
  <si>
    <r>
      <t>cm</t>
    </r>
    <r>
      <rPr>
        <vertAlign val="superscript"/>
        <sz val="10"/>
        <rFont val="Aptos"/>
        <family val="2"/>
      </rPr>
      <t>3</t>
    </r>
  </si>
  <si>
    <r>
      <t>g/cm</t>
    </r>
    <r>
      <rPr>
        <vertAlign val="superscript"/>
        <sz val="10"/>
        <rFont val="Aptos"/>
        <family val="2"/>
      </rPr>
      <t>3</t>
    </r>
  </si>
  <si>
    <t>Regangan - Tidak Terganggu</t>
  </si>
  <si>
    <t>Regangan - Cetak Ulang</t>
  </si>
  <si>
    <t>Specimen details :</t>
  </si>
  <si>
    <r>
      <t>q</t>
    </r>
    <r>
      <rPr>
        <i/>
        <vertAlign val="subscript"/>
        <sz val="12"/>
        <color theme="1"/>
        <rFont val="Aptos"/>
        <family val="2"/>
      </rPr>
      <t>uu</t>
    </r>
  </si>
  <si>
    <r>
      <t>q</t>
    </r>
    <r>
      <rPr>
        <i/>
        <vertAlign val="subscript"/>
        <sz val="12"/>
        <color theme="1"/>
        <rFont val="Aptos"/>
        <family val="2"/>
      </rPr>
      <t>ur</t>
    </r>
  </si>
  <si>
    <r>
      <t>mm</t>
    </r>
    <r>
      <rPr>
        <vertAlign val="superscript"/>
        <sz val="10"/>
        <rFont val="Aptos"/>
        <family val="2"/>
      </rPr>
      <t>2</t>
    </r>
  </si>
  <si>
    <t xml:space="preserve">mm </t>
  </si>
  <si>
    <t>Dark Grayish Brown</t>
  </si>
  <si>
    <t>#3D2B1F</t>
  </si>
  <si>
    <t>Very Dark Gray</t>
  </si>
  <si>
    <t>#2C2C2C</t>
  </si>
  <si>
    <t>Dark Brown</t>
  </si>
  <si>
    <t>#654321</t>
  </si>
  <si>
    <t>Brown</t>
  </si>
  <si>
    <t>#836539</t>
  </si>
  <si>
    <t>Light Brown</t>
  </si>
  <si>
    <t>#A1866F</t>
  </si>
  <si>
    <t>Very Pale Brown</t>
  </si>
  <si>
    <t>#CBBBA0</t>
  </si>
  <si>
    <t>Yellowish Brown</t>
  </si>
  <si>
    <t>#D2B48C</t>
  </si>
  <si>
    <t>Very Dark Reddish Brown</t>
  </si>
  <si>
    <t>#5A2A19</t>
  </si>
  <si>
    <t>Dark Reddish Brown</t>
  </si>
  <si>
    <t>#7C3F1D</t>
  </si>
  <si>
    <t>Reddish Brown</t>
  </si>
  <si>
    <t>#8B4000</t>
  </si>
  <si>
    <t>Strong Brown</t>
  </si>
  <si>
    <t>#A0522D</t>
  </si>
  <si>
    <t>#783C1D</t>
  </si>
  <si>
    <t>#8B3E2F</t>
  </si>
  <si>
    <t>Strong Red</t>
  </si>
  <si>
    <t>#B94E3A</t>
  </si>
  <si>
    <t>#C2B280</t>
  </si>
  <si>
    <t>Pale Brown</t>
  </si>
  <si>
    <t>#D6C7A1</t>
  </si>
  <si>
    <t>Dark Gray</t>
  </si>
  <si>
    <t>#555555</t>
  </si>
  <si>
    <t>Light Olive Gray</t>
  </si>
  <si>
    <t>#A9A9A9</t>
  </si>
  <si>
    <t>Black</t>
  </si>
  <si>
    <t>#000000</t>
  </si>
  <si>
    <t>#404040</t>
  </si>
  <si>
    <t>Gray</t>
  </si>
  <si>
    <t>#808080</t>
  </si>
  <si>
    <t>Light Gray</t>
  </si>
  <si>
    <t>#D3D3D3</t>
  </si>
  <si>
    <t>Cokelat</t>
  </si>
  <si>
    <t>Hitam</t>
  </si>
  <si>
    <t>Cokelat Abu-Abu Tua</t>
  </si>
  <si>
    <t>Abu-Abu Sangat Tua</t>
  </si>
  <si>
    <t xml:space="preserve">Cokelat Tua </t>
  </si>
  <si>
    <t xml:space="preserve">Cokelat  </t>
  </si>
  <si>
    <t xml:space="preserve">Cokelat Muda </t>
  </si>
  <si>
    <t>Cokelat Sangat Pucat</t>
  </si>
  <si>
    <t xml:space="preserve">Cokelat Kekuningan </t>
  </si>
  <si>
    <t>Cokelat Kemerahan Sangat</t>
  </si>
  <si>
    <t>Cokelat Kemerahan Tua</t>
  </si>
  <si>
    <t xml:space="preserve">Cokelat Kemerahan </t>
  </si>
  <si>
    <t>Cokelat Tua Kuat</t>
  </si>
  <si>
    <t xml:space="preserve">Merah Kuat </t>
  </si>
  <si>
    <t xml:space="preserve">Cokelat Pucat </t>
  </si>
  <si>
    <t xml:space="preserve">Abu-Abu Tua </t>
  </si>
  <si>
    <t>Abu-Abu Muda Terang</t>
  </si>
  <si>
    <t xml:space="preserve">Hitam  </t>
  </si>
  <si>
    <t xml:space="preserve">Abu-Abu  </t>
  </si>
  <si>
    <t xml:space="preserve">Abu-Abu Muda  </t>
  </si>
  <si>
    <t>Warna Tanah (English)</t>
  </si>
  <si>
    <t>Terjemahan Bahasa Indonesia</t>
  </si>
  <si>
    <t>Cokelat keabu-abuan tua</t>
  </si>
  <si>
    <t>Abu-abu sangat tua</t>
  </si>
  <si>
    <t>Cokelat tua</t>
  </si>
  <si>
    <t>Cokelat muda</t>
  </si>
  <si>
    <t>Cokelat sangat pucat</t>
  </si>
  <si>
    <t>Cokelat kekuningan</t>
  </si>
  <si>
    <t>Cokelat kemerahan sangat tua</t>
  </si>
  <si>
    <t>Cokelat kemerahan tua</t>
  </si>
  <si>
    <t>Cokelat kemerahan</t>
  </si>
  <si>
    <t>Cokelat kuat</t>
  </si>
  <si>
    <t>Merah menyala</t>
  </si>
  <si>
    <t>Cokelat pucat</t>
  </si>
  <si>
    <t>Abu-abu tua</t>
  </si>
  <si>
    <t>Abu-abu zaitun muda</t>
  </si>
  <si>
    <t>Abu-abu</t>
  </si>
  <si>
    <t>Abu-abu terang</t>
  </si>
  <si>
    <t>SNI 1965 : 2008</t>
  </si>
  <si>
    <t>SNI 1966 : 2008</t>
  </si>
  <si>
    <t>0,002 mm</t>
  </si>
  <si>
    <t>0,001 mm</t>
  </si>
  <si>
    <t>area</t>
  </si>
  <si>
    <t>height</t>
  </si>
  <si>
    <t>volume</t>
  </si>
  <si>
    <t>Dia.</t>
  </si>
  <si>
    <t>Calibration</t>
  </si>
  <si>
    <t>UJI KUAT GESER LANGSUNG TANAH UU/ DIRECT SHEAR UU TEST</t>
  </si>
  <si>
    <t>SNI 3420 : 2016</t>
  </si>
  <si>
    <t>Shear</t>
  </si>
  <si>
    <t>Proving reading</t>
  </si>
  <si>
    <t>Shear strenght kg/cm</t>
  </si>
  <si>
    <t>SPECIMENT</t>
  </si>
  <si>
    <t>Tinggi awal/ Initial height</t>
  </si>
  <si>
    <t>Ho</t>
  </si>
  <si>
    <t>Diameter sample/sample diameter</t>
  </si>
  <si>
    <t>Do</t>
  </si>
  <si>
    <r>
      <t>cm</t>
    </r>
    <r>
      <rPr>
        <vertAlign val="superscript"/>
        <sz val="10"/>
        <rFont val="Aptos"/>
        <family val="2"/>
      </rPr>
      <t>2</t>
    </r>
  </si>
  <si>
    <t>Volume awal/initial volume</t>
  </si>
  <si>
    <t>Vo</t>
  </si>
  <si>
    <t>Proving ring Calibration</t>
  </si>
  <si>
    <t>kgf/dif</t>
  </si>
  <si>
    <r>
      <t>Berat isi tanah basah/ wet density</t>
    </r>
    <r>
      <rPr>
        <vertAlign val="superscript"/>
        <sz val="10"/>
        <rFont val="Aptos"/>
        <family val="2"/>
      </rPr>
      <t>*1</t>
    </r>
  </si>
  <si>
    <t>γw</t>
  </si>
  <si>
    <r>
      <t>gr/cm</t>
    </r>
    <r>
      <rPr>
        <vertAlign val="superscript"/>
        <sz val="10"/>
        <rFont val="Aptos"/>
        <family val="2"/>
      </rPr>
      <t>3</t>
    </r>
  </si>
  <si>
    <r>
      <t>Berat Isi Tanah Kering/dry density</t>
    </r>
    <r>
      <rPr>
        <vertAlign val="superscript"/>
        <sz val="10"/>
        <rFont val="Aptos"/>
        <family val="2"/>
      </rPr>
      <t>*1</t>
    </r>
  </si>
  <si>
    <t>γd</t>
  </si>
  <si>
    <r>
      <t>Kadar air/</t>
    </r>
    <r>
      <rPr>
        <i/>
        <sz val="10"/>
        <rFont val="Aptos"/>
        <family val="2"/>
      </rPr>
      <t>moisture content</t>
    </r>
  </si>
  <si>
    <t>Tegangan geser max/Max. shear strength</t>
  </si>
  <si>
    <t>τ</t>
  </si>
  <si>
    <r>
      <t>kg/cm</t>
    </r>
    <r>
      <rPr>
        <vertAlign val="superscript"/>
        <sz val="10"/>
        <rFont val="Aptos"/>
        <family val="2"/>
      </rPr>
      <t>2</t>
    </r>
  </si>
  <si>
    <t>BERAT ISI TANAH NON KOHESIF</t>
  </si>
  <si>
    <t>Tegangan normal/Normal strength</t>
  </si>
  <si>
    <t>σ</t>
  </si>
  <si>
    <t>SNI 03-4804-1998</t>
  </si>
  <si>
    <t>Sudut geser dalam /angel of internal friction</t>
  </si>
  <si>
    <t>MAX</t>
  </si>
  <si>
    <t>Kohesi/Cohesion</t>
  </si>
  <si>
    <r>
      <t>C</t>
    </r>
    <r>
      <rPr>
        <vertAlign val="subscript"/>
        <sz val="10"/>
        <rFont val="Aptos"/>
        <family val="2"/>
      </rPr>
      <t>u</t>
    </r>
  </si>
  <si>
    <t>x</t>
  </si>
  <si>
    <t>y</t>
  </si>
  <si>
    <t>Kuat geser langsung/direct shear</t>
  </si>
  <si>
    <t>S</t>
  </si>
  <si>
    <t>nilai kohesi</t>
  </si>
  <si>
    <t>Berat alat penakar Kosong (w1)</t>
  </si>
  <si>
    <t>Kpa</t>
  </si>
  <si>
    <t>Berat tanah basah + alat penakar(W2)</t>
  </si>
  <si>
    <t>Berat tanah basah</t>
  </si>
  <si>
    <t>Volume alat penakar</t>
  </si>
  <si>
    <r>
      <t>Berat isi tanah  basah (</t>
    </r>
    <r>
      <rPr>
        <i/>
        <sz val="12"/>
        <color theme="1"/>
        <rFont val="Aptos"/>
        <family val="2"/>
      </rPr>
      <t>p)</t>
    </r>
  </si>
  <si>
    <t>Berat tanah kering + alat penakar</t>
  </si>
  <si>
    <t>Berat Tanah kering</t>
  </si>
  <si>
    <t>Tanah Non Kohesif</t>
  </si>
  <si>
    <t>SPECIMENT TANAH</t>
  </si>
  <si>
    <t>Berat isi tanah Kering</t>
  </si>
  <si>
    <t>Massa tanah basah + ring</t>
  </si>
  <si>
    <t>Massa ring</t>
  </si>
  <si>
    <t>Tinggi  awal Contoh</t>
  </si>
  <si>
    <t>Tinggi akhir</t>
  </si>
  <si>
    <t>Diameter Contoh</t>
  </si>
  <si>
    <t>*</t>
  </si>
  <si>
    <t>Vol contoh</t>
  </si>
  <si>
    <t>Rata-rata berat tanah basah</t>
  </si>
  <si>
    <t>Berat Isi basah</t>
  </si>
  <si>
    <t>Data Kadar Air</t>
  </si>
  <si>
    <t>Massa tanah basah+cawan</t>
  </si>
  <si>
    <t>Massa tanah kering+cawan</t>
  </si>
  <si>
    <t>Massa air</t>
  </si>
  <si>
    <t>Massa cawan</t>
  </si>
  <si>
    <t>Massa tanah kering</t>
  </si>
  <si>
    <t>Kadar air</t>
  </si>
  <si>
    <t>Rata-rata kadar air</t>
  </si>
  <si>
    <t>Berat isi tanah kering</t>
  </si>
  <si>
    <t>Kuat Geser Langsung</t>
  </si>
  <si>
    <t>s</t>
  </si>
  <si>
    <t>Direct Shear</t>
  </si>
  <si>
    <t>Internal Friction Angle</t>
  </si>
  <si>
    <t>Metode Uji</t>
  </si>
  <si>
    <t>Bandung</t>
  </si>
  <si>
    <t>5. Data teknis tambahan tersedia dan dapat diberikan kepada pelanggan berdasarkan permintaan tertulis.</t>
  </si>
  <si>
    <t>5. Additional technical data is available and will be provided to the customer upon formal written request.</t>
  </si>
  <si>
    <r>
      <t xml:space="preserve">Uji Tekan Bebas / </t>
    </r>
    <r>
      <rPr>
        <b/>
        <i/>
        <sz val="10"/>
        <color theme="1"/>
        <rFont val="Aptos"/>
        <family val="2"/>
      </rPr>
      <t>Unconfined Compression Test</t>
    </r>
  </si>
  <si>
    <r>
      <t xml:space="preserve">Uji Triaxial UU / </t>
    </r>
    <r>
      <rPr>
        <b/>
        <i/>
        <sz val="10"/>
        <color theme="1"/>
        <rFont val="Aptos"/>
        <family val="2"/>
      </rPr>
      <t>Triaxial Unconsolidated Undrained Test</t>
    </r>
  </si>
  <si>
    <t>UJI ANALISIS UKURAN BUTIR / SIEVE AND HYDROMETER ANALYSIS</t>
  </si>
  <si>
    <r>
      <t xml:space="preserve">Berat Jenis / </t>
    </r>
    <r>
      <rPr>
        <i/>
        <sz val="9"/>
        <color theme="1"/>
        <rFont val="Aptos"/>
        <family val="2"/>
      </rPr>
      <t xml:space="preserve"> Specific Gravity</t>
    </r>
  </si>
  <si>
    <r>
      <t xml:space="preserve">No Sampel / </t>
    </r>
    <r>
      <rPr>
        <i/>
        <sz val="9"/>
        <color theme="1"/>
        <rFont val="Aptos"/>
        <family val="2"/>
      </rPr>
      <t>Sample Number</t>
    </r>
  </si>
  <si>
    <t>Persen Lolos / Percent Passing</t>
  </si>
  <si>
    <t>No. Saringan / Sieve No.</t>
  </si>
  <si>
    <t>Standar, mm</t>
  </si>
  <si>
    <r>
      <t xml:space="preserve">Persen / </t>
    </r>
    <r>
      <rPr>
        <b/>
        <i/>
        <sz val="9"/>
        <color theme="1"/>
        <rFont val="Aptos"/>
        <family val="2"/>
      </rPr>
      <t>Percent</t>
    </r>
  </si>
  <si>
    <r>
      <t xml:space="preserve">Lebih Kecil / 
</t>
    </r>
    <r>
      <rPr>
        <b/>
        <i/>
        <sz val="9"/>
        <color theme="1"/>
        <rFont val="Aptos"/>
        <family val="2"/>
      </rPr>
      <t>Les Than</t>
    </r>
  </si>
  <si>
    <t>Notes :</t>
  </si>
  <si>
    <r>
      <t xml:space="preserve">Berat Jenis /  </t>
    </r>
    <r>
      <rPr>
        <i/>
        <sz val="10"/>
        <color theme="1"/>
        <rFont val="Aptos"/>
        <family val="2"/>
      </rPr>
      <t>Specific Gravity</t>
    </r>
  </si>
  <si>
    <r>
      <t xml:space="preserve">Jenis Sampel / </t>
    </r>
    <r>
      <rPr>
        <i/>
        <sz val="10"/>
        <color theme="1"/>
        <rFont val="Aptos"/>
        <family val="2"/>
      </rPr>
      <t>Sample Type</t>
    </r>
  </si>
  <si>
    <r>
      <t xml:space="preserve">Warna / </t>
    </r>
    <r>
      <rPr>
        <i/>
        <sz val="10"/>
        <color theme="1"/>
        <rFont val="Aptos"/>
        <family val="2"/>
      </rPr>
      <t>Colour</t>
    </r>
  </si>
  <si>
    <t>SNI 2812:2011</t>
  </si>
  <si>
    <t>Diterima list uji tanggal</t>
  </si>
  <si>
    <t>PREPARASI DI MULAI</t>
  </si>
  <si>
    <t>tempat</t>
  </si>
  <si>
    <t>SNI 03 - 3637 : 1994</t>
  </si>
  <si>
    <t xml:space="preserve">SIEVE ANALYSIS </t>
  </si>
  <si>
    <t>HYDROMETER ANALYSIS SNI 3423 : 2008</t>
  </si>
  <si>
    <t>Rizki</t>
  </si>
  <si>
    <r>
      <t>( mm</t>
    </r>
    <r>
      <rPr>
        <vertAlign val="superscript"/>
        <sz val="14"/>
        <rFont val="Aptos"/>
        <family val="2"/>
      </rPr>
      <t>2</t>
    </r>
    <r>
      <rPr>
        <sz val="14"/>
        <rFont val="Aptos"/>
        <family val="2"/>
      </rPr>
      <t xml:space="preserve"> )</t>
    </r>
  </si>
  <si>
    <r>
      <t>( cm</t>
    </r>
    <r>
      <rPr>
        <vertAlign val="superscript"/>
        <sz val="14"/>
        <rFont val="Aptos"/>
        <family val="2"/>
      </rPr>
      <t>3</t>
    </r>
    <r>
      <rPr>
        <sz val="14"/>
        <rFont val="Aptos"/>
        <family val="2"/>
      </rPr>
      <t xml:space="preserve"> )</t>
    </r>
  </si>
  <si>
    <t>Lithology</t>
  </si>
  <si>
    <t>USCS</t>
  </si>
  <si>
    <t>Tanggal Sampel Datang</t>
  </si>
  <si>
    <t>Awal Pengujian</t>
  </si>
  <si>
    <t>selesai Uji</t>
  </si>
  <si>
    <t>Tanggal Pelaporan</t>
  </si>
  <si>
    <t>SPECIFIC GRAVITY TEST (SNI 1964 : 2008)</t>
  </si>
  <si>
    <t>MOISTURE CONTENT TEST (SNI 1965 : 2008)</t>
  </si>
  <si>
    <t>DENSITY TEST (SNI 03-3637 : 1994)</t>
  </si>
  <si>
    <r>
      <t xml:space="preserve">Proyek / </t>
    </r>
    <r>
      <rPr>
        <i/>
        <sz val="10"/>
        <color theme="1"/>
        <rFont val="Aptos"/>
        <family val="2"/>
      </rPr>
      <t>Project</t>
    </r>
  </si>
  <si>
    <t>JL. Nata Endah, Komplek Indahco No.22 Kel. Margahayu Tengah</t>
  </si>
  <si>
    <t>Kec. Margahayu, Kab. Bandung 40225</t>
  </si>
  <si>
    <t>GEOLAND QUATTRO TECHNOLAB</t>
  </si>
  <si>
    <t>No. PKS</t>
  </si>
  <si>
    <t>PT. MGS</t>
  </si>
  <si>
    <t>001/PKS GQT-MGS/VIII/2025</t>
  </si>
  <si>
    <r>
      <t xml:space="preserve">Proyek / </t>
    </r>
    <r>
      <rPr>
        <i/>
        <sz val="9"/>
        <color theme="1"/>
        <rFont val="Aptos"/>
        <family val="2"/>
      </rPr>
      <t>Project</t>
    </r>
  </si>
  <si>
    <t>3. This test Report may not be duplicated, except in full and with written permission from the Soil Mechanics Laboratory PT. Geoland Quattro Technolab.</t>
  </si>
  <si>
    <t>Email : geolandquattro@gmail.com; geolandquattro@geolandtechnolab.com</t>
  </si>
  <si>
    <t>Berat</t>
  </si>
  <si>
    <r>
      <t xml:space="preserve">Uji Batas Plastis, Indeks Plastisitas dan Batas Cair Tanah / </t>
    </r>
    <r>
      <rPr>
        <b/>
        <i/>
        <sz val="10"/>
        <color theme="1"/>
        <rFont val="Aptos"/>
        <family val="2"/>
      </rPr>
      <t>Atterberg Limit Test</t>
    </r>
  </si>
  <si>
    <t>Telp/WhatsApp : 082115618130</t>
  </si>
  <si>
    <t>3. Laporan Hasil Uji ini tidak boleh digandakan, kecuali secara lengkap dan seijin tertulis dari Laboratorium Mekanika Tanah PT. Geoland Quattro Technolab.</t>
  </si>
  <si>
    <t>( Date of Analysis )</t>
  </si>
  <si>
    <t>2. This test Result Report consists of 1 pages.</t>
  </si>
  <si>
    <t>1. The above test results apply only to the sample being tasted.</t>
  </si>
  <si>
    <t>4. The laboratory accepts complaints within a maximum of 5 (five) working days from the date of submission of Report of Analysis.</t>
  </si>
  <si>
    <r>
      <t xml:space="preserve">Batas &amp; Parameter Fisik / </t>
    </r>
    <r>
      <rPr>
        <b/>
        <i/>
        <sz val="10"/>
        <color theme="1"/>
        <rFont val="Aptos"/>
        <family val="2"/>
      </rPr>
      <t>Index and Physical Properties</t>
    </r>
  </si>
  <si>
    <t>Sieve Analysis &amp; Hydrometer test</t>
  </si>
  <si>
    <t>Cokelat / Brown</t>
  </si>
  <si>
    <t>Undisturbed Sample / UDS</t>
  </si>
  <si>
    <t>Disturbed Sample / DS</t>
  </si>
  <si>
    <t>Bulk Sample / DS</t>
  </si>
  <si>
    <t>Proyek / Project</t>
  </si>
  <si>
    <t>Jenis Tanah / Soil Type</t>
  </si>
  <si>
    <t>Jenis Sampel / Sample Type</t>
  </si>
  <si>
    <r>
      <t xml:space="preserve">Deskripsi Sampel / </t>
    </r>
    <r>
      <rPr>
        <b/>
        <i/>
        <sz val="9"/>
        <color theme="1"/>
        <rFont val="Aptos"/>
        <family val="2"/>
      </rPr>
      <t>Sample Description</t>
    </r>
  </si>
  <si>
    <t>ANGLE OF INTERNAL FRICTION</t>
  </si>
  <si>
    <t>Disclaimer :</t>
  </si>
  <si>
    <t>0,5 KG</t>
  </si>
  <si>
    <t>1 KG</t>
  </si>
  <si>
    <t>2 KG</t>
  </si>
  <si>
    <t>degre</t>
  </si>
  <si>
    <t>Undis</t>
  </si>
  <si>
    <t>Remold</t>
  </si>
  <si>
    <t>Investigasi Geoteknik Area Pit dan Disposal Rajawali PT. Triaryani Batch 2</t>
  </si>
  <si>
    <t>clayey, sandy SILT</t>
  </si>
  <si>
    <r>
      <t xml:space="preserve">No Sampel / </t>
    </r>
    <r>
      <rPr>
        <i/>
        <sz val="10"/>
        <color theme="1"/>
        <rFont val="Aptos"/>
        <family val="2"/>
      </rPr>
      <t>Sample No</t>
    </r>
  </si>
  <si>
    <r>
      <t xml:space="preserve">Tipe Tanah / </t>
    </r>
    <r>
      <rPr>
        <i/>
        <sz val="10"/>
        <color theme="1"/>
        <rFont val="Aptos"/>
        <family val="2"/>
      </rPr>
      <t>Soil Type</t>
    </r>
  </si>
  <si>
    <r>
      <t xml:space="preserve">Jenis Sampel / </t>
    </r>
    <r>
      <rPr>
        <i/>
        <sz val="10"/>
        <color theme="1"/>
        <rFont val="Aptos"/>
        <family val="2"/>
      </rPr>
      <t>Type of Sample</t>
    </r>
  </si>
  <si>
    <r>
      <t>cm</t>
    </r>
    <r>
      <rPr>
        <vertAlign val="superscript"/>
        <sz val="10"/>
        <color theme="1"/>
        <rFont val="Aptos"/>
        <family val="2"/>
      </rPr>
      <t>2</t>
    </r>
    <r>
      <rPr>
        <sz val="10"/>
        <color theme="1"/>
        <rFont val="Aptos"/>
        <family val="2"/>
      </rPr>
      <t>/s</t>
    </r>
  </si>
  <si>
    <r>
      <t xml:space="preserve">No Sampel / </t>
    </r>
    <r>
      <rPr>
        <i/>
        <sz val="9"/>
        <color theme="1"/>
        <rFont val="Aptos"/>
        <family val="2"/>
      </rPr>
      <t>Sample No</t>
    </r>
  </si>
  <si>
    <r>
      <t xml:space="preserve">Koeff. Permebilitas
</t>
    </r>
    <r>
      <rPr>
        <i/>
        <sz val="9"/>
        <rFont val="Aptos"/>
        <family val="2"/>
      </rPr>
      <t>( Permeability coeff ) k</t>
    </r>
  </si>
  <si>
    <r>
      <t xml:space="preserve">Indeks Kompresibilitas
</t>
    </r>
    <r>
      <rPr>
        <i/>
        <sz val="9"/>
        <color theme="1"/>
        <rFont val="Aptos"/>
        <family val="2"/>
      </rPr>
      <t>( Compressibilty Index ) Cc</t>
    </r>
  </si>
  <si>
    <r>
      <t xml:space="preserve">Koefisien Konsolidasi 
</t>
    </r>
    <r>
      <rPr>
        <i/>
        <sz val="9"/>
        <color theme="1"/>
        <rFont val="Aptos"/>
        <family val="2"/>
      </rPr>
      <t>( Coeff. of Consolidation ) C</t>
    </r>
    <r>
      <rPr>
        <i/>
        <vertAlign val="subscript"/>
        <sz val="9"/>
        <color theme="1"/>
        <rFont val="Aptos"/>
        <family val="2"/>
      </rPr>
      <t>v</t>
    </r>
  </si>
  <si>
    <r>
      <t xml:space="preserve">Koef.Kompresibilitas  
</t>
    </r>
    <r>
      <rPr>
        <i/>
        <sz val="9"/>
        <color theme="1"/>
        <rFont val="Aptos"/>
        <family val="2"/>
      </rPr>
      <t>( Coeff.of Compressibilty )  m</t>
    </r>
    <r>
      <rPr>
        <i/>
        <vertAlign val="subscript"/>
        <sz val="9"/>
        <color theme="1"/>
        <rFont val="Aptos"/>
        <family val="2"/>
      </rPr>
      <t>v</t>
    </r>
  </si>
  <si>
    <r>
      <t xml:space="preserve">Angka pori awal 
</t>
    </r>
    <r>
      <rPr>
        <i/>
        <sz val="9"/>
        <color theme="1"/>
        <rFont val="Aptos"/>
        <family val="2"/>
      </rPr>
      <t>( Initial Void Ratio ) e</t>
    </r>
    <r>
      <rPr>
        <i/>
        <vertAlign val="subscript"/>
        <sz val="9"/>
        <color theme="1"/>
        <rFont val="Aptos"/>
        <family val="2"/>
      </rPr>
      <t>0</t>
    </r>
  </si>
  <si>
    <r>
      <t>cm</t>
    </r>
    <r>
      <rPr>
        <vertAlign val="superscript"/>
        <sz val="9"/>
        <color theme="1"/>
        <rFont val="Aptos"/>
        <family val="2"/>
      </rPr>
      <t>2</t>
    </r>
    <r>
      <rPr>
        <sz val="9"/>
        <color theme="1"/>
        <rFont val="Aptos"/>
        <family val="2"/>
      </rPr>
      <t>/s</t>
    </r>
  </si>
  <si>
    <r>
      <t>cm</t>
    </r>
    <r>
      <rPr>
        <vertAlign val="superscript"/>
        <sz val="9"/>
        <color theme="1"/>
        <rFont val="Aptos"/>
        <family val="2"/>
      </rPr>
      <t>2</t>
    </r>
    <r>
      <rPr>
        <sz val="9"/>
        <color theme="1"/>
        <rFont val="Aptos"/>
        <family val="2"/>
      </rPr>
      <t>/kg</t>
    </r>
  </si>
  <si>
    <t>Sampel Tidak Terganggu / UDS</t>
  </si>
  <si>
    <t>Sampel Terganggu / DS</t>
  </si>
  <si>
    <t>Sampel Curah / DS</t>
  </si>
  <si>
    <r>
      <t xml:space="preserve">Uji Permeabilitas / </t>
    </r>
    <r>
      <rPr>
        <b/>
        <i/>
        <sz val="10"/>
        <color theme="1"/>
        <rFont val="Aptos"/>
        <family val="2"/>
      </rPr>
      <t>Permeability Falling Head Test</t>
    </r>
  </si>
  <si>
    <t>SNI 03-6870 : 2002</t>
  </si>
  <si>
    <t>PERMEABILITY - FALLING HEAD TEST</t>
  </si>
  <si>
    <t>2.3 (f/F) . (l/t)  log (h1/h2)</t>
  </si>
  <si>
    <t>SOIL PARAMTER</t>
  </si>
  <si>
    <t>APPARATUS PERMEAMETER</t>
  </si>
  <si>
    <t>Wn</t>
  </si>
  <si>
    <t>Weight of Sample</t>
  </si>
  <si>
    <r>
      <t>A</t>
    </r>
    <r>
      <rPr>
        <vertAlign val="subscript"/>
        <sz val="10"/>
        <rFont val="Aptos"/>
        <family val="2"/>
      </rPr>
      <t>pipe</t>
    </r>
  </si>
  <si>
    <t>Leght of Sample</t>
  </si>
  <si>
    <t>L</t>
  </si>
  <si>
    <r>
      <t>A</t>
    </r>
    <r>
      <rPr>
        <vertAlign val="subscript"/>
        <sz val="10"/>
        <rFont val="Aptos"/>
        <family val="2"/>
      </rPr>
      <t>sample</t>
    </r>
  </si>
  <si>
    <t>Specfic Gravity</t>
  </si>
  <si>
    <t>Weight tara</t>
  </si>
  <si>
    <t>Yn</t>
  </si>
  <si>
    <t>Dry Weight</t>
  </si>
  <si>
    <r>
      <t>W</t>
    </r>
    <r>
      <rPr>
        <vertAlign val="subscript"/>
        <sz val="10"/>
        <rFont val="Aptos"/>
        <family val="2"/>
      </rPr>
      <t>1</t>
    </r>
  </si>
  <si>
    <r>
      <t>W</t>
    </r>
    <r>
      <rPr>
        <vertAlign val="subscript"/>
        <sz val="10"/>
        <rFont val="Aptos"/>
        <family val="2"/>
      </rPr>
      <t>1</t>
    </r>
    <r>
      <rPr>
        <sz val="10"/>
        <rFont val="Aptos"/>
        <family val="2"/>
      </rPr>
      <t xml:space="preserve"> + Contoh = W</t>
    </r>
    <r>
      <rPr>
        <vertAlign val="subscript"/>
        <sz val="10"/>
        <rFont val="Aptos"/>
        <family val="2"/>
      </rPr>
      <t>2</t>
    </r>
  </si>
  <si>
    <t>Void Ratio</t>
  </si>
  <si>
    <r>
      <t>W</t>
    </r>
    <r>
      <rPr>
        <vertAlign val="subscript"/>
        <sz val="10"/>
        <rFont val="Aptos"/>
        <family val="2"/>
      </rPr>
      <t>2</t>
    </r>
    <r>
      <rPr>
        <sz val="10"/>
        <rFont val="Aptos"/>
        <family val="2"/>
      </rPr>
      <t xml:space="preserve"> - W</t>
    </r>
    <r>
      <rPr>
        <vertAlign val="subscript"/>
        <sz val="10"/>
        <rFont val="Aptos"/>
        <family val="2"/>
      </rPr>
      <t>1</t>
    </r>
    <r>
      <rPr>
        <sz val="10"/>
        <rFont val="Aptos"/>
        <family val="2"/>
      </rPr>
      <t xml:space="preserve"> = W</t>
    </r>
  </si>
  <si>
    <r>
      <t>h</t>
    </r>
    <r>
      <rPr>
        <b/>
        <vertAlign val="subscript"/>
        <sz val="10"/>
        <rFont val="Aptos"/>
        <family val="2"/>
      </rPr>
      <t>1</t>
    </r>
  </si>
  <si>
    <r>
      <t>h</t>
    </r>
    <r>
      <rPr>
        <b/>
        <vertAlign val="subscript"/>
        <sz val="10"/>
        <rFont val="Aptos"/>
        <family val="2"/>
      </rPr>
      <t>2</t>
    </r>
  </si>
  <si>
    <r>
      <t>h</t>
    </r>
    <r>
      <rPr>
        <b/>
        <vertAlign val="subscript"/>
        <sz val="10"/>
        <rFont val="Aptos"/>
        <family val="2"/>
      </rPr>
      <t>1</t>
    </r>
    <r>
      <rPr>
        <b/>
        <sz val="10"/>
        <rFont val="Aptos"/>
        <family val="2"/>
      </rPr>
      <t>/h</t>
    </r>
    <r>
      <rPr>
        <b/>
        <vertAlign val="subscript"/>
        <sz val="10"/>
        <rFont val="Aptos"/>
        <family val="2"/>
      </rPr>
      <t>2</t>
    </r>
  </si>
  <si>
    <r>
      <t>log h</t>
    </r>
    <r>
      <rPr>
        <b/>
        <vertAlign val="subscript"/>
        <sz val="10"/>
        <rFont val="Aptos"/>
        <family val="2"/>
      </rPr>
      <t>1</t>
    </r>
    <r>
      <rPr>
        <b/>
        <sz val="10"/>
        <rFont val="Aptos"/>
        <family val="2"/>
      </rPr>
      <t>/h</t>
    </r>
    <r>
      <rPr>
        <b/>
        <vertAlign val="subscript"/>
        <sz val="10"/>
        <rFont val="Aptos"/>
        <family val="2"/>
      </rPr>
      <t>2</t>
    </r>
  </si>
  <si>
    <t>l/t</t>
  </si>
  <si>
    <t>temp</t>
  </si>
  <si>
    <t>Tanggal</t>
  </si>
  <si>
    <t>Waktu</t>
  </si>
  <si>
    <t>Nilai</t>
  </si>
  <si>
    <t>Detik</t>
  </si>
  <si>
    <r>
      <t>k</t>
    </r>
    <r>
      <rPr>
        <b/>
        <vertAlign val="subscript"/>
        <sz val="10"/>
        <color theme="1"/>
        <rFont val="Aptos"/>
        <family val="2"/>
      </rPr>
      <t>rata-rata</t>
    </r>
    <r>
      <rPr>
        <b/>
        <sz val="10"/>
        <color theme="1"/>
        <rFont val="Aptos"/>
        <family val="2"/>
      </rPr>
      <t xml:space="preserve"> (cm/sec)</t>
    </r>
  </si>
  <si>
    <t>For Graph :</t>
  </si>
  <si>
    <r>
      <t>-                     exp.          cm</t>
    </r>
    <r>
      <rPr>
        <vertAlign val="superscript"/>
        <sz val="10"/>
        <rFont val="Aptos"/>
        <family val="2"/>
      </rPr>
      <t>3</t>
    </r>
  </si>
  <si>
    <r>
      <t>+                     consol     cm</t>
    </r>
    <r>
      <rPr>
        <vertAlign val="superscript"/>
        <sz val="10"/>
        <rFont val="Aptos"/>
        <family val="2"/>
      </rPr>
      <t>3</t>
    </r>
  </si>
  <si>
    <t>diff</t>
  </si>
  <si>
    <t>after</t>
  </si>
  <si>
    <t>before</t>
  </si>
  <si>
    <r>
      <t>kN/m</t>
    </r>
    <r>
      <rPr>
        <vertAlign val="superscript"/>
        <sz val="10"/>
        <rFont val="Aptos"/>
        <family val="2"/>
      </rPr>
      <t>2</t>
    </r>
  </si>
  <si>
    <t>Cell volume change LHS/ RHS</t>
  </si>
  <si>
    <t>Back pressure volume change</t>
  </si>
  <si>
    <t>B               value</t>
  </si>
  <si>
    <t>pwp difference</t>
  </si>
  <si>
    <t>Pore pressure</t>
  </si>
  <si>
    <t>Back pressure</t>
  </si>
  <si>
    <t>Cell pressure</t>
  </si>
  <si>
    <t>SATURATION</t>
  </si>
  <si>
    <r>
      <t>kg/cm</t>
    </r>
    <r>
      <rPr>
        <vertAlign val="superscript"/>
        <sz val="10"/>
        <rFont val="Aptos"/>
        <family val="2"/>
      </rPr>
      <t>3</t>
    </r>
  </si>
  <si>
    <t>Dry density</t>
  </si>
  <si>
    <t>Moisture content</t>
  </si>
  <si>
    <t>Wet density</t>
  </si>
  <si>
    <t>Volume, Vo</t>
  </si>
  <si>
    <t>Weight of dry soil</t>
  </si>
  <si>
    <t>mm2</t>
  </si>
  <si>
    <t>Area, Ao</t>
  </si>
  <si>
    <t>Weight of wet soil</t>
  </si>
  <si>
    <t>INITIAL CONDITIONS</t>
  </si>
  <si>
    <t>Weight of container</t>
  </si>
  <si>
    <r>
      <t xml:space="preserve">Mean </t>
    </r>
    <r>
      <rPr>
        <i/>
        <sz val="10"/>
        <rFont val="Aptos"/>
        <family val="2"/>
      </rPr>
      <t>Do</t>
    </r>
  </si>
  <si>
    <r>
      <t>Mean</t>
    </r>
    <r>
      <rPr>
        <i/>
        <sz val="10"/>
        <rFont val="Aptos"/>
        <family val="2"/>
      </rPr>
      <t xml:space="preserve"> Lo</t>
    </r>
  </si>
  <si>
    <t>Weight of dry specimen + container</t>
  </si>
  <si>
    <t>Weight of wet specimen + container</t>
  </si>
  <si>
    <t>Container no.</t>
  </si>
  <si>
    <t>after test</t>
  </si>
  <si>
    <t>initially</t>
  </si>
  <si>
    <t>Diameter (mm)</t>
  </si>
  <si>
    <t>Length (mm)</t>
  </si>
  <si>
    <t>Specimen</t>
  </si>
  <si>
    <t>WEIGHINGS</t>
  </si>
  <si>
    <t>MEASUREMENT</t>
  </si>
  <si>
    <t>SPECIMEN</t>
  </si>
  <si>
    <t>Sample no.</t>
  </si>
  <si>
    <t>Soil description</t>
  </si>
  <si>
    <t>Boring no</t>
  </si>
  <si>
    <t>Sample type</t>
  </si>
  <si>
    <t>CU - TRIAXIAL COMPRESSION TEST</t>
  </si>
  <si>
    <r>
      <t>-                     exp.         cm</t>
    </r>
    <r>
      <rPr>
        <vertAlign val="superscript"/>
        <sz val="10"/>
        <rFont val="Aptos"/>
        <family val="2"/>
      </rPr>
      <t>3</t>
    </r>
  </si>
  <si>
    <t>diff.</t>
  </si>
  <si>
    <r>
      <t>m</t>
    </r>
    <r>
      <rPr>
        <vertAlign val="superscript"/>
        <sz val="10"/>
        <rFont val="Aptos"/>
        <family val="2"/>
      </rPr>
      <t>2</t>
    </r>
    <r>
      <rPr>
        <sz val="10"/>
        <rFont val="Aptos"/>
        <family val="2"/>
      </rPr>
      <t>/year</t>
    </r>
  </si>
  <si>
    <r>
      <t>c</t>
    </r>
    <r>
      <rPr>
        <vertAlign val="subscript"/>
        <sz val="10"/>
        <rFont val="Aptos"/>
        <family val="2"/>
      </rPr>
      <t>vi                        :</t>
    </r>
  </si>
  <si>
    <r>
      <t>m</t>
    </r>
    <r>
      <rPr>
        <vertAlign val="superscript"/>
        <sz val="10"/>
        <rFont val="Aptos"/>
        <family val="2"/>
      </rPr>
      <t>2</t>
    </r>
    <r>
      <rPr>
        <sz val="10"/>
        <rFont val="Aptos"/>
        <family val="2"/>
      </rPr>
      <t>/MN</t>
    </r>
  </si>
  <si>
    <r>
      <t>m</t>
    </r>
    <r>
      <rPr>
        <vertAlign val="subscript"/>
        <sz val="10"/>
        <rFont val="Aptos"/>
        <family val="2"/>
      </rPr>
      <t>vi                     :</t>
    </r>
  </si>
  <si>
    <t>Calculated rate of strain          :</t>
  </si>
  <si>
    <t>hrs</t>
  </si>
  <si>
    <t>Time to failure                             :</t>
  </si>
  <si>
    <r>
      <t>t</t>
    </r>
    <r>
      <rPr>
        <vertAlign val="subscript"/>
        <sz val="10"/>
        <rFont val="Aptos"/>
        <family val="2"/>
      </rPr>
      <t>100</t>
    </r>
  </si>
  <si>
    <t>Assumed strain to failure       :</t>
  </si>
  <si>
    <r>
      <t xml:space="preserve">        t</t>
    </r>
    <r>
      <rPr>
        <vertAlign val="subscript"/>
        <sz val="10"/>
        <rFont val="Aptos"/>
        <family val="2"/>
      </rPr>
      <t>100</t>
    </r>
  </si>
  <si>
    <t>minutes</t>
  </si>
  <si>
    <t>dissipation</t>
  </si>
  <si>
    <t>gauge</t>
  </si>
  <si>
    <t>Volume change</t>
  </si>
  <si>
    <t>Clock time</t>
  </si>
  <si>
    <t>Difference</t>
  </si>
  <si>
    <t>PWP After build-up</t>
  </si>
  <si>
    <t>Effective pressure</t>
  </si>
  <si>
    <t>CONSOLIDATION</t>
  </si>
  <si>
    <r>
      <t>c</t>
    </r>
    <r>
      <rPr>
        <vertAlign val="subscript"/>
        <sz val="10"/>
        <rFont val="Aptos"/>
        <family val="2"/>
      </rPr>
      <t>vi                       :</t>
    </r>
  </si>
  <si>
    <r>
      <t xml:space="preserve">         t</t>
    </r>
    <r>
      <rPr>
        <vertAlign val="subscript"/>
        <sz val="10"/>
        <rFont val="Aptos"/>
        <family val="2"/>
      </rPr>
      <t>100</t>
    </r>
  </si>
  <si>
    <r>
      <t>m</t>
    </r>
    <r>
      <rPr>
        <vertAlign val="subscript"/>
        <sz val="10"/>
        <rFont val="Aptos"/>
        <family val="2"/>
      </rPr>
      <t>vi                    :</t>
    </r>
  </si>
  <si>
    <t>With</t>
  </si>
  <si>
    <t>Calculated rate of strain         :</t>
  </si>
  <si>
    <t>Side drains</t>
  </si>
  <si>
    <t>PWP after build-up</t>
  </si>
  <si>
    <t>s3</t>
  </si>
  <si>
    <r>
      <t>s1</t>
    </r>
    <r>
      <rPr>
        <sz val="10"/>
        <rFont val="Arial"/>
        <family val="2"/>
      </rPr>
      <t/>
    </r>
  </si>
  <si>
    <r>
      <t>s'1</t>
    </r>
    <r>
      <rPr>
        <sz val="10"/>
        <rFont val="Arial"/>
        <family val="2"/>
      </rPr>
      <t/>
    </r>
  </si>
  <si>
    <t>s'3</t>
  </si>
  <si>
    <t>U</t>
  </si>
  <si>
    <t>s1 - s3</t>
  </si>
  <si>
    <t>CONDITION</t>
  </si>
  <si>
    <t xml:space="preserve">FAILURE </t>
  </si>
  <si>
    <t>div</t>
  </si>
  <si>
    <t>s1' / s3'</t>
  </si>
  <si>
    <t>s3'</t>
  </si>
  <si>
    <t>s1'</t>
  </si>
  <si>
    <t>s1</t>
  </si>
  <si>
    <t>s1-s3</t>
  </si>
  <si>
    <t>U                        diff</t>
  </si>
  <si>
    <t>DL</t>
  </si>
  <si>
    <t>Stress ratio</t>
  </si>
  <si>
    <t>Axial force</t>
  </si>
  <si>
    <t>Axial strain</t>
  </si>
  <si>
    <t>SHEARING</t>
  </si>
  <si>
    <t>PR calibration</t>
  </si>
  <si>
    <t>Proving ring no.</t>
  </si>
  <si>
    <t xml:space="preserve">Consolidated volume,   Vc </t>
  </si>
  <si>
    <t xml:space="preserve">Consolidated length,     Lc </t>
  </si>
  <si>
    <t xml:space="preserve">Consolidated area,         Ac </t>
  </si>
  <si>
    <t>2/3 Ev</t>
  </si>
  <si>
    <t>Boring no.</t>
  </si>
  <si>
    <t>1/3 Ev</t>
  </si>
  <si>
    <t>Ev</t>
  </si>
  <si>
    <t>Cu</t>
  </si>
  <si>
    <t>g x Depth</t>
  </si>
  <si>
    <t>Efective</t>
  </si>
  <si>
    <t>Total</t>
  </si>
  <si>
    <t>JANGAN DIRUBAH !!!!</t>
  </si>
  <si>
    <t>2. Multi Triaxial CU-BP Test</t>
  </si>
  <si>
    <t>1. With Side drains</t>
  </si>
  <si>
    <t>NOTE :</t>
  </si>
  <si>
    <t>MODE OF FAILURE  :</t>
  </si>
  <si>
    <r>
      <t>kN/m</t>
    </r>
    <r>
      <rPr>
        <vertAlign val="superscript"/>
        <sz val="9"/>
        <rFont val="Aptos"/>
        <family val="2"/>
      </rPr>
      <t>2</t>
    </r>
  </si>
  <si>
    <t>C'</t>
  </si>
  <si>
    <t>STRENGTH PARAMETERS</t>
  </si>
  <si>
    <r>
      <t>m</t>
    </r>
    <r>
      <rPr>
        <vertAlign val="subscript"/>
        <sz val="9"/>
        <rFont val="Aptos"/>
        <family val="2"/>
      </rPr>
      <t>v</t>
    </r>
  </si>
  <si>
    <t>PARAMETERS</t>
  </si>
  <si>
    <r>
      <t>m</t>
    </r>
    <r>
      <rPr>
        <vertAlign val="superscript"/>
        <sz val="9"/>
        <rFont val="Aptos"/>
        <family val="2"/>
      </rPr>
      <t>2</t>
    </r>
    <r>
      <rPr>
        <sz val="9"/>
        <rFont val="Aptos"/>
        <family val="2"/>
      </rPr>
      <t>/year</t>
    </r>
  </si>
  <si>
    <r>
      <t>c</t>
    </r>
    <r>
      <rPr>
        <vertAlign val="subscript"/>
        <sz val="9"/>
        <rFont val="Aptos"/>
        <family val="2"/>
      </rPr>
      <t>v</t>
    </r>
  </si>
  <si>
    <r>
      <t>s</t>
    </r>
    <r>
      <rPr>
        <vertAlign val="subscript"/>
        <sz val="9"/>
        <rFont val="Aptos"/>
        <family val="2"/>
      </rPr>
      <t>1</t>
    </r>
    <r>
      <rPr>
        <sz val="9"/>
        <rFont val="Aptos"/>
        <family val="2"/>
      </rPr>
      <t>+s</t>
    </r>
    <r>
      <rPr>
        <vertAlign val="subscript"/>
        <sz val="9"/>
        <rFont val="Aptos"/>
        <family val="2"/>
      </rPr>
      <t xml:space="preserve">3/2    </t>
    </r>
    <r>
      <rPr>
        <sz val="9"/>
        <rFont val="Aptos"/>
        <family val="2"/>
      </rPr>
      <t>=</t>
    </r>
  </si>
  <si>
    <r>
      <t>s</t>
    </r>
    <r>
      <rPr>
        <vertAlign val="subscript"/>
        <sz val="9"/>
        <rFont val="Aptos"/>
        <family val="2"/>
      </rPr>
      <t>1</t>
    </r>
    <r>
      <rPr>
        <sz val="9"/>
        <rFont val="Aptos"/>
        <family val="2"/>
      </rPr>
      <t>-s</t>
    </r>
    <r>
      <rPr>
        <vertAlign val="subscript"/>
        <sz val="9"/>
        <rFont val="Aptos"/>
        <family val="2"/>
      </rPr>
      <t>3</t>
    </r>
    <r>
      <rPr>
        <sz val="9"/>
        <rFont val="Aptos"/>
        <family val="2"/>
      </rPr>
      <t>/2</t>
    </r>
    <r>
      <rPr>
        <vertAlign val="subscript"/>
        <sz val="9"/>
        <rFont val="Aptos"/>
        <family val="2"/>
      </rPr>
      <t xml:space="preserve"> </t>
    </r>
    <r>
      <rPr>
        <sz val="9"/>
        <rFont val="Aptos"/>
        <family val="2"/>
      </rPr>
      <t>=</t>
    </r>
  </si>
  <si>
    <r>
      <t>s</t>
    </r>
    <r>
      <rPr>
        <vertAlign val="subscript"/>
        <sz val="9"/>
        <rFont val="Aptos"/>
        <family val="2"/>
      </rPr>
      <t>1</t>
    </r>
    <r>
      <rPr>
        <sz val="9"/>
        <rFont val="Aptos"/>
        <family val="2"/>
      </rPr>
      <t>-s</t>
    </r>
    <r>
      <rPr>
        <vertAlign val="subscript"/>
        <sz val="9"/>
        <rFont val="Aptos"/>
        <family val="2"/>
      </rPr>
      <t xml:space="preserve">3     </t>
    </r>
    <r>
      <rPr>
        <sz val="9"/>
        <rFont val="Aptos"/>
        <family val="2"/>
      </rPr>
      <t>=</t>
    </r>
  </si>
  <si>
    <r>
      <t>s</t>
    </r>
    <r>
      <rPr>
        <vertAlign val="subscript"/>
        <sz val="9"/>
        <rFont val="Aptos"/>
        <family val="2"/>
      </rPr>
      <t xml:space="preserve">1          </t>
    </r>
    <r>
      <rPr>
        <sz val="9"/>
        <rFont val="Aptos"/>
        <family val="2"/>
      </rPr>
      <t>=</t>
    </r>
  </si>
  <si>
    <r>
      <t>s</t>
    </r>
    <r>
      <rPr>
        <vertAlign val="subscript"/>
        <sz val="9"/>
        <rFont val="Aptos"/>
        <family val="2"/>
      </rPr>
      <t xml:space="preserve">1'          </t>
    </r>
    <r>
      <rPr>
        <sz val="9"/>
        <rFont val="Aptos"/>
        <family val="2"/>
      </rPr>
      <t>=</t>
    </r>
  </si>
  <si>
    <r>
      <t>s</t>
    </r>
    <r>
      <rPr>
        <vertAlign val="subscript"/>
        <sz val="9"/>
        <rFont val="Aptos"/>
        <family val="2"/>
      </rPr>
      <t xml:space="preserve">3          </t>
    </r>
    <r>
      <rPr>
        <sz val="9"/>
        <rFont val="Aptos"/>
        <family val="2"/>
      </rPr>
      <t>=</t>
    </r>
  </si>
  <si>
    <r>
      <t>s</t>
    </r>
    <r>
      <rPr>
        <vertAlign val="subscript"/>
        <sz val="9"/>
        <rFont val="Aptos"/>
        <family val="2"/>
      </rPr>
      <t xml:space="preserve">3 '         </t>
    </r>
    <r>
      <rPr>
        <sz val="9"/>
        <rFont val="Aptos"/>
        <family val="2"/>
      </rPr>
      <t>=</t>
    </r>
  </si>
  <si>
    <t>EFFECTIF</t>
  </si>
  <si>
    <t>% / hour</t>
  </si>
  <si>
    <t>Rate of strain</t>
  </si>
  <si>
    <t>Initial s'3</t>
  </si>
  <si>
    <t>Initial pwp</t>
  </si>
  <si>
    <t>STAGE</t>
  </si>
  <si>
    <t>COMPRESSION</t>
  </si>
  <si>
    <t>Final pwp</t>
  </si>
  <si>
    <t xml:space="preserve">                   </t>
  </si>
  <si>
    <t>B value</t>
  </si>
  <si>
    <t>Final cell presure</t>
  </si>
  <si>
    <t>TOTAL</t>
  </si>
  <si>
    <t>Saturated pwp</t>
  </si>
  <si>
    <r>
      <t>Mg/m</t>
    </r>
    <r>
      <rPr>
        <vertAlign val="superscript"/>
        <sz val="9"/>
        <rFont val="Aptos"/>
        <family val="2"/>
      </rPr>
      <t>3</t>
    </r>
  </si>
  <si>
    <t>AFTER</t>
  </si>
  <si>
    <r>
      <t xml:space="preserve">Jenis Sampel /  </t>
    </r>
    <r>
      <rPr>
        <i/>
        <sz val="9"/>
        <color theme="1"/>
        <rFont val="Aptos"/>
        <family val="2"/>
      </rPr>
      <t>Sample Type</t>
    </r>
  </si>
  <si>
    <t>SNI 2455:2015</t>
  </si>
  <si>
    <t>UJI TRIAXIAL TERKONSOLIDASI TIDAK TERDRAINASE / TRIAXIAL CU-BP TEST</t>
  </si>
  <si>
    <t>PP</t>
  </si>
  <si>
    <t>GS</t>
  </si>
  <si>
    <t>CT90</t>
  </si>
  <si>
    <t>UCS</t>
  </si>
  <si>
    <t>Remol</t>
  </si>
  <si>
    <t>TRX UU</t>
  </si>
  <si>
    <t>DS</t>
  </si>
  <si>
    <t>SG</t>
  </si>
  <si>
    <t>suhu</t>
  </si>
  <si>
    <t>MC</t>
  </si>
  <si>
    <t>UW</t>
  </si>
  <si>
    <t>dry soil</t>
  </si>
  <si>
    <t>container no</t>
  </si>
  <si>
    <t>con + wet soil</t>
  </si>
  <si>
    <t>container w</t>
  </si>
  <si>
    <t>Uji Triaxial CU / Triaxial Consolidated Undrained Test</t>
  </si>
  <si>
    <t>SNI 2455 : 2015</t>
  </si>
  <si>
    <r>
      <t>kN/m</t>
    </r>
    <r>
      <rPr>
        <vertAlign val="superscript"/>
        <sz val="10"/>
        <color theme="1"/>
        <rFont val="Aptos"/>
        <family val="2"/>
      </rPr>
      <t>2</t>
    </r>
  </si>
  <si>
    <t>Kohesi Efektif</t>
  </si>
  <si>
    <t>Cohesion Effective</t>
  </si>
  <si>
    <t>Sudut Geser Dalam Efektif</t>
  </si>
  <si>
    <t>φ'</t>
  </si>
  <si>
    <t>Internal Friction Angle Effective</t>
  </si>
  <si>
    <t>Abu-abu / Gray</t>
  </si>
  <si>
    <t>Cokelat tua / Dark brown</t>
  </si>
  <si>
    <t>Abu-abu tua / Dark gray</t>
  </si>
  <si>
    <t>Cokelat kemerahan / Reddish brown</t>
  </si>
  <si>
    <t>Cokelat kekuningan / Yellowish brown</t>
  </si>
  <si>
    <t>Cokelat terang / Light brown</t>
  </si>
  <si>
    <t>Cokelat pucat / Pale brown</t>
  </si>
  <si>
    <t>Cokelat kemerahan sangat tua / Very dark grayish brown</t>
  </si>
  <si>
    <t>Cokelat abu-abu tua / Dark grayish brown</t>
  </si>
  <si>
    <t>Abu-abu muda / Light gray</t>
  </si>
  <si>
    <t>Abu-abu sangat tua / Very dark gray</t>
  </si>
  <si>
    <t>Cokelat sangat tua / Very dark brown</t>
  </si>
  <si>
    <t xml:space="preserve">No </t>
  </si>
  <si>
    <t>Collour</t>
  </si>
  <si>
    <t>Hitam / Black</t>
  </si>
  <si>
    <t>Cokelat kekuningan pucat / Pale yellowish brown</t>
  </si>
  <si>
    <t>Merah kuat / Strong red</t>
  </si>
  <si>
    <t>Merah muda / Pinkish red</t>
  </si>
  <si>
    <t>Merah terang / Light red</t>
  </si>
  <si>
    <t>masukan kode warna</t>
  </si>
  <si>
    <t>Hidro &amp; Sieve</t>
  </si>
  <si>
    <t>Consol</t>
  </si>
  <si>
    <t>UCT</t>
  </si>
  <si>
    <t>Tanggal Uji</t>
  </si>
  <si>
    <t>ATB</t>
  </si>
  <si>
    <t>TRX CU</t>
  </si>
  <si>
    <t>Cokelat kemerahan tua / Dark reddish brown</t>
  </si>
  <si>
    <t>No Cawan</t>
  </si>
  <si>
    <t>F</t>
  </si>
  <si>
    <t>PB</t>
  </si>
  <si>
    <t>Report No.</t>
  </si>
  <si>
    <t>Test Date</t>
  </si>
  <si>
    <t>Report Date</t>
  </si>
  <si>
    <t>UJI GESER LANGSUNG(KONDISI KONSOLIDASI-TERDRAINASE / CD) /DiIRECT SHEAR TEST (CONSOLIDATED–DRAINED / CD Condition)</t>
  </si>
  <si>
    <t>SNI 2813 : 2008</t>
  </si>
  <si>
    <t>Test Method: ASTM D3080</t>
  </si>
  <si>
    <t>Borehole No.</t>
  </si>
  <si>
    <t>Description</t>
  </si>
  <si>
    <t>Speciment -1</t>
  </si>
  <si>
    <t>Checked by</t>
  </si>
  <si>
    <t>Approved by</t>
  </si>
  <si>
    <t>Speciment-2</t>
  </si>
  <si>
    <t>Speciment-3</t>
  </si>
  <si>
    <t>Filename</t>
  </si>
  <si>
    <t>DATA GRAFIK</t>
  </si>
  <si>
    <t>DATA GARIS</t>
  </si>
  <si>
    <t>Speciment</t>
  </si>
  <si>
    <t>Normal Stress</t>
  </si>
  <si>
    <t>Shear Stress</t>
  </si>
  <si>
    <t>Soil Parameter at Peak Condition</t>
  </si>
  <si>
    <t>kN/m2</t>
  </si>
  <si>
    <t>c'</t>
  </si>
  <si>
    <t>Internal friction Angle</t>
  </si>
  <si>
    <t>CATATAN/NOTES :</t>
  </si>
  <si>
    <r>
      <t xml:space="preserve">Uji Direct Shear CD dilakukan pada </t>
    </r>
    <r>
      <rPr>
        <b/>
        <sz val="10"/>
        <rFont val="Aptos"/>
        <family val="2"/>
      </rPr>
      <t>sampel curah (disturbed)</t>
    </r>
    <r>
      <rPr>
        <sz val="10"/>
        <rFont val="Aptos"/>
        <family val="2"/>
      </rPr>
      <t xml:space="preserve">; parameter yang diperoleh merepresentasikan </t>
    </r>
    <r>
      <rPr>
        <b/>
        <sz val="10"/>
        <rFont val="Aptos"/>
        <family val="2"/>
      </rPr>
      <t>sifat material tanah</t>
    </r>
    <r>
      <rPr>
        <sz val="10"/>
        <rFont val="Aptos"/>
        <family val="2"/>
      </rPr>
      <t xml:space="preserve"> dan digunakan </t>
    </r>
    <r>
      <rPr>
        <b/>
        <sz val="10"/>
        <rFont val="Aptos"/>
        <family val="2"/>
      </rPr>
      <t>secara konservatif</t>
    </r>
    <r>
      <rPr>
        <sz val="10"/>
        <rFont val="Aptos"/>
        <family val="2"/>
      </rPr>
      <t xml:space="preserve">, bukan kondisi </t>
    </r>
    <r>
      <rPr>
        <b/>
        <sz val="10"/>
        <rFont val="Aptos"/>
        <family val="2"/>
      </rPr>
      <t>in-situ</t>
    </r>
    <r>
      <rPr>
        <sz val="10"/>
        <rFont val="Aptos"/>
        <family val="2"/>
      </rPr>
      <t>./</t>
    </r>
    <r>
      <rPr>
        <i/>
        <sz val="10"/>
        <rFont val="Aptos"/>
        <family val="2"/>
      </rPr>
      <t>The Direct Shear CD test was performed on a bulk (disturbed) sample; the parameters represent soil material behavior and are used conservatively, not in-situ conditions.</t>
    </r>
  </si>
  <si>
    <t>DIRECT SHEAR CURVE  RESIDUAL</t>
  </si>
  <si>
    <t>Uji Direct Shear (CD – Kondisi Residual)/Direct Shear Test (CD Condition – Residual Shear Strength)</t>
  </si>
  <si>
    <t>Hole No</t>
  </si>
  <si>
    <t>Peak</t>
  </si>
  <si>
    <t>Residual</t>
  </si>
  <si>
    <r>
      <t>s</t>
    </r>
    <r>
      <rPr>
        <sz val="10"/>
        <rFont val="Aptos"/>
        <family val="2"/>
      </rPr>
      <t>n</t>
    </r>
  </si>
  <si>
    <t>Peak  Strength</t>
  </si>
  <si>
    <t>f</t>
  </si>
  <si>
    <t>SPECIMENS</t>
  </si>
  <si>
    <t>Normal stress</t>
  </si>
  <si>
    <t>Failure</t>
  </si>
  <si>
    <t>Peak shear stress</t>
  </si>
  <si>
    <t xml:space="preserve">Depth </t>
  </si>
  <si>
    <t>Residual shear stress</t>
  </si>
  <si>
    <t>Start of shear</t>
  </si>
  <si>
    <t>CD Peak</t>
  </si>
  <si>
    <t>CD Res</t>
  </si>
  <si>
    <t>Voids ratio</t>
  </si>
  <si>
    <t>CATATAN/NOTE :</t>
  </si>
  <si>
    <r>
      <t xml:space="preserve">Uji Direct Shear dilakukan hingga </t>
    </r>
    <r>
      <rPr>
        <b/>
        <sz val="9"/>
        <rFont val="Aptos"/>
        <family val="2"/>
      </rPr>
      <t>kondisi residual</t>
    </r>
    <r>
      <rPr>
        <sz val="9"/>
        <rFont val="Aptos"/>
        <family val="2"/>
      </rPr>
      <t xml:space="preserve"> menggunakan </t>
    </r>
    <r>
      <rPr>
        <b/>
        <sz val="9"/>
        <rFont val="Aptos"/>
        <family val="2"/>
      </rPr>
      <t>sampel curah (disturbed)</t>
    </r>
    <r>
      <rPr>
        <sz val="9"/>
        <rFont val="Aptos"/>
        <family val="2"/>
      </rPr>
      <t xml:space="preserve">. Parameter kuat geser residual yang diperoleh merepresentasikan </t>
    </r>
    <r>
      <rPr>
        <b/>
        <sz val="9"/>
        <rFont val="Aptos"/>
        <family val="2"/>
      </rPr>
      <t>perilaku material tanah</t>
    </r>
    <r>
      <rPr>
        <sz val="9"/>
        <rFont val="Aptos"/>
        <family val="2"/>
      </rPr>
      <t xml:space="preserve"> pada kondisi terdrainase dan digunakan </t>
    </r>
    <r>
      <rPr>
        <b/>
        <sz val="9"/>
        <rFont val="Aptos"/>
        <family val="2"/>
      </rPr>
      <t>secara konservatif</t>
    </r>
    <r>
      <rPr>
        <sz val="9"/>
        <rFont val="Aptos"/>
        <family val="2"/>
      </rPr>
      <t xml:space="preserve">, bukan kondisi </t>
    </r>
    <r>
      <rPr>
        <b/>
        <sz val="9"/>
        <rFont val="Aptos"/>
        <family val="2"/>
      </rPr>
      <t xml:space="preserve">in-situ / </t>
    </r>
    <r>
      <rPr>
        <i/>
        <sz val="9"/>
        <rFont val="Aptos"/>
        <family val="2"/>
      </rPr>
      <t>The Direct Shear test was continued to the residual condition using a bulk (disturbed) sample. The residual shear strength parameters represent soil material behavior under drained conditions and are applied conservatively, not in-situ conditions.</t>
    </r>
  </si>
  <si>
    <t>Result</t>
  </si>
  <si>
    <r>
      <t>kN/m</t>
    </r>
    <r>
      <rPr>
        <vertAlign val="superscript"/>
        <sz val="9"/>
        <color theme="1"/>
        <rFont val="Aptos"/>
        <family val="2"/>
      </rPr>
      <t>2</t>
    </r>
  </si>
  <si>
    <r>
      <t>C'</t>
    </r>
    <r>
      <rPr>
        <vertAlign val="subscript"/>
        <sz val="12"/>
        <rFont val="Aptos"/>
        <family val="2"/>
      </rPr>
      <t>r</t>
    </r>
  </si>
  <si>
    <r>
      <t>(kN/m</t>
    </r>
    <r>
      <rPr>
        <vertAlign val="superscript"/>
        <sz val="10"/>
        <rFont val="Aptos"/>
        <family val="2"/>
      </rPr>
      <t>2</t>
    </r>
    <r>
      <rPr>
        <sz val="10"/>
        <rFont val="Aptos"/>
        <family val="2"/>
      </rPr>
      <t>)</t>
    </r>
  </si>
  <si>
    <r>
      <t>φ'</t>
    </r>
    <r>
      <rPr>
        <i/>
        <vertAlign val="subscript"/>
        <sz val="12"/>
        <rFont val="Aptos"/>
        <family val="2"/>
      </rPr>
      <t>r</t>
    </r>
  </si>
  <si>
    <t>Spesimen 1</t>
  </si>
  <si>
    <t>Spesimen 2</t>
  </si>
  <si>
    <t>Spesimen 3</t>
  </si>
  <si>
    <t>Uji Geser Langsung (CD – Kondisi Residu) / Direct Shear Test (Consolidated Drained – Residual Shear Strength)</t>
  </si>
  <si>
    <t>Sudut Geser Dalam Puncak</t>
  </si>
  <si>
    <r>
      <t>φ'</t>
    </r>
    <r>
      <rPr>
        <vertAlign val="subscript"/>
        <sz val="12"/>
        <color theme="1"/>
        <rFont val="Aptos"/>
        <family val="2"/>
      </rPr>
      <t>r</t>
    </r>
  </si>
  <si>
    <t>Internal Friction Angle Peak</t>
  </si>
  <si>
    <t>Kohesi Puncak</t>
  </si>
  <si>
    <r>
      <t>C'</t>
    </r>
    <r>
      <rPr>
        <vertAlign val="subscript"/>
        <sz val="12"/>
        <color theme="1"/>
        <rFont val="Aptos"/>
        <family val="2"/>
      </rPr>
      <t>r</t>
    </r>
  </si>
  <si>
    <t>kN/m²</t>
  </si>
  <si>
    <t>Cohession Pea</t>
  </si>
  <si>
    <t>Sudut Geser Dalam Residu</t>
  </si>
  <si>
    <t>Internal Friction Angle Residual</t>
  </si>
  <si>
    <t>Kohesi Residu</t>
  </si>
  <si>
    <t>Cohession Residua</t>
  </si>
  <si>
    <t>Uji Geser Langsung Terkonsolidasi Terdrainase (Direct Shear Test – Consolidated Drained / CD)</t>
  </si>
  <si>
    <t>Ring No.</t>
  </si>
  <si>
    <t>Weight</t>
  </si>
  <si>
    <t>(cm)</t>
  </si>
  <si>
    <t>(gram)</t>
  </si>
  <si>
    <t>DIRECT SHEAR CD TEST REPORT</t>
  </si>
  <si>
    <t>Specimen No.</t>
  </si>
  <si>
    <t>Specimen Depth</t>
  </si>
  <si>
    <t>0.00 - 00.00</t>
  </si>
  <si>
    <t>Normal Force</t>
  </si>
  <si>
    <t>kg</t>
  </si>
  <si>
    <t>Final</t>
  </si>
  <si>
    <t>Diameter of Ring</t>
  </si>
  <si>
    <t>Height of Ring</t>
  </si>
  <si>
    <t>Average</t>
  </si>
  <si>
    <t>Area of Ring</t>
  </si>
  <si>
    <t>Volume of Ring</t>
  </si>
  <si>
    <t>Mass of Ring</t>
  </si>
  <si>
    <t>Mass of wet Soil + Ring</t>
  </si>
  <si>
    <t>Mass of dry Soil + Ring</t>
  </si>
  <si>
    <t>Bulk Density</t>
  </si>
  <si>
    <t>Spesific Gravity</t>
  </si>
  <si>
    <t>Consolidation</t>
  </si>
  <si>
    <t>Dial Reading</t>
  </si>
  <si>
    <t>Settlement</t>
  </si>
  <si>
    <t>Square Root</t>
  </si>
  <si>
    <t>DIRECT SHEAR TEST REPORT</t>
  </si>
  <si>
    <t>LOGTIME</t>
  </si>
  <si>
    <t>(min)</t>
  </si>
  <si>
    <t>From Graph</t>
  </si>
  <si>
    <t>Ht2</t>
  </si>
  <si>
    <t>t100</t>
  </si>
  <si>
    <t>d50</t>
  </si>
  <si>
    <t>Adjust series 8</t>
  </si>
  <si>
    <t>Adjust series 9</t>
  </si>
  <si>
    <t>menit</t>
  </si>
  <si>
    <t>t1</t>
  </si>
  <si>
    <t>minute</t>
  </si>
  <si>
    <t>t2</t>
  </si>
  <si>
    <t>Vertical</t>
  </si>
  <si>
    <t>v. t1</t>
  </si>
  <si>
    <t>v. t2</t>
  </si>
  <si>
    <t>Horizontal</t>
  </si>
  <si>
    <t>h. t1</t>
  </si>
  <si>
    <t>h. t2</t>
  </si>
  <si>
    <t>d100</t>
  </si>
  <si>
    <t>Shear Rate</t>
  </si>
  <si>
    <t>Mean Calibration for Load</t>
  </si>
  <si>
    <t>Shearing Stage</t>
  </si>
  <si>
    <t>Horizontal Displacement</t>
  </si>
  <si>
    <t>Vertical Reading</t>
  </si>
  <si>
    <t>Force Reading</t>
  </si>
  <si>
    <t>6.42.9</t>
  </si>
  <si>
    <t>Direct shear</t>
  </si>
  <si>
    <t>Dimension of Sample (cm )</t>
  </si>
  <si>
    <t>Dia</t>
  </si>
  <si>
    <r>
      <rPr>
        <sz val="10"/>
        <rFont val="Arial"/>
        <family val="2"/>
      </rPr>
      <t xml:space="preserve">Under </t>
    </r>
    <r>
      <rPr>
        <b/>
        <sz val="11"/>
        <color theme="1"/>
        <rFont val="Calibri"/>
        <family val="2"/>
        <scheme val="minor"/>
      </rPr>
      <t>Ground Water Level</t>
    </r>
  </si>
  <si>
    <t>Laut</t>
  </si>
  <si>
    <t>( Offshore)</t>
  </si>
  <si>
    <r>
      <rPr>
        <sz val="10"/>
        <rFont val="Arial"/>
        <family val="2"/>
      </rPr>
      <t xml:space="preserve">Upper </t>
    </r>
    <r>
      <rPr>
        <b/>
        <sz val="11"/>
        <color theme="1"/>
        <rFont val="Calibri"/>
        <family val="2"/>
        <scheme val="minor"/>
      </rPr>
      <t>Ground Water Level</t>
    </r>
  </si>
  <si>
    <t>Darat</t>
  </si>
  <si>
    <t>( Onshore)</t>
  </si>
  <si>
    <t>Overburden</t>
  </si>
  <si>
    <r>
      <t xml:space="preserve">{(hw x  </t>
    </r>
    <r>
      <rPr>
        <b/>
        <sz val="14"/>
        <color theme="1"/>
        <rFont val="Symbol"/>
        <family val="1"/>
        <charset val="2"/>
      </rPr>
      <t>g</t>
    </r>
    <r>
      <rPr>
        <b/>
        <sz val="14"/>
        <color theme="1"/>
        <rFont val="Calibri"/>
        <family val="2"/>
        <scheme val="minor"/>
      </rPr>
      <t>w ) + (h</t>
    </r>
    <r>
      <rPr>
        <b/>
        <vertAlign val="subscript"/>
        <sz val="14"/>
        <color theme="1"/>
        <rFont val="Calibri"/>
        <family val="2"/>
        <scheme val="minor"/>
      </rPr>
      <t>soil</t>
    </r>
    <r>
      <rPr>
        <b/>
        <sz val="14"/>
        <color theme="1"/>
        <rFont val="Calibri"/>
        <family val="2"/>
        <scheme val="minor"/>
      </rPr>
      <t xml:space="preserve"> x(  </t>
    </r>
    <r>
      <rPr>
        <b/>
        <sz val="14"/>
        <color theme="1"/>
        <rFont val="Symbol"/>
        <family val="1"/>
        <charset val="2"/>
      </rPr>
      <t>g</t>
    </r>
    <r>
      <rPr>
        <b/>
        <vertAlign val="subscript"/>
        <sz val="14"/>
        <color theme="1"/>
        <rFont val="Calibri"/>
        <family val="2"/>
      </rPr>
      <t>soil</t>
    </r>
    <r>
      <rPr>
        <b/>
        <sz val="14"/>
        <color theme="1"/>
        <rFont val="Calibri"/>
        <family val="2"/>
      </rPr>
      <t xml:space="preserve"> -</t>
    </r>
    <r>
      <rPr>
        <b/>
        <sz val="14"/>
        <color theme="1"/>
        <rFont val="Symbol"/>
        <family val="1"/>
        <charset val="2"/>
      </rPr>
      <t>g</t>
    </r>
    <r>
      <rPr>
        <b/>
        <sz val="14"/>
        <color theme="1"/>
        <rFont val="Calibri"/>
        <family val="2"/>
      </rPr>
      <t>w</t>
    </r>
    <r>
      <rPr>
        <b/>
        <sz val="14"/>
        <color theme="1"/>
        <rFont val="Symbol"/>
        <family val="1"/>
        <charset val="2"/>
      </rPr>
      <t>)}</t>
    </r>
  </si>
  <si>
    <r>
      <t>h</t>
    </r>
    <r>
      <rPr>
        <b/>
        <vertAlign val="subscript"/>
        <sz val="14"/>
        <color theme="1"/>
        <rFont val="Calibri"/>
        <family val="2"/>
        <scheme val="minor"/>
      </rPr>
      <t>soil1</t>
    </r>
    <r>
      <rPr>
        <b/>
        <sz val="14"/>
        <color theme="1"/>
        <rFont val="Calibri"/>
        <family val="2"/>
        <scheme val="minor"/>
      </rPr>
      <t xml:space="preserve"> x  </t>
    </r>
    <r>
      <rPr>
        <b/>
        <sz val="14"/>
        <color theme="1"/>
        <rFont val="Symbol"/>
        <family val="1"/>
        <charset val="2"/>
      </rPr>
      <t>g</t>
    </r>
    <r>
      <rPr>
        <b/>
        <vertAlign val="subscript"/>
        <sz val="14"/>
        <color theme="1"/>
        <rFont val="Calibri"/>
        <family val="2"/>
        <scheme val="minor"/>
      </rPr>
      <t>soil</t>
    </r>
    <r>
      <rPr>
        <b/>
        <sz val="14"/>
        <color theme="1"/>
        <rFont val="Calibri"/>
        <family val="2"/>
        <scheme val="minor"/>
      </rPr>
      <t xml:space="preserve">  + h</t>
    </r>
    <r>
      <rPr>
        <b/>
        <vertAlign val="subscript"/>
        <sz val="14"/>
        <color theme="1"/>
        <rFont val="Calibri"/>
        <family val="2"/>
        <scheme val="minor"/>
      </rPr>
      <t>soil2</t>
    </r>
    <r>
      <rPr>
        <b/>
        <sz val="14"/>
        <color theme="1"/>
        <rFont val="Calibri"/>
        <family val="2"/>
        <scheme val="minor"/>
      </rPr>
      <t xml:space="preserve"> x(  </t>
    </r>
    <r>
      <rPr>
        <b/>
        <sz val="14"/>
        <color theme="1"/>
        <rFont val="Symbol"/>
        <family val="1"/>
        <charset val="2"/>
      </rPr>
      <t>g</t>
    </r>
    <r>
      <rPr>
        <b/>
        <vertAlign val="subscript"/>
        <sz val="14"/>
        <color theme="1"/>
        <rFont val="Calibri"/>
        <family val="2"/>
      </rPr>
      <t>soil</t>
    </r>
    <r>
      <rPr>
        <b/>
        <sz val="14"/>
        <color theme="1"/>
        <rFont val="Calibri"/>
        <family val="2"/>
      </rPr>
      <t xml:space="preserve"> -</t>
    </r>
    <r>
      <rPr>
        <b/>
        <sz val="14"/>
        <color theme="1"/>
        <rFont val="Symbol"/>
        <family val="1"/>
        <charset val="2"/>
      </rPr>
      <t>g</t>
    </r>
    <r>
      <rPr>
        <b/>
        <sz val="14"/>
        <color theme="1"/>
        <rFont val="Calibri"/>
        <family val="2"/>
      </rPr>
      <t>w)</t>
    </r>
  </si>
  <si>
    <t>Exemple               =</t>
  </si>
  <si>
    <t xml:space="preserve">   (</t>
  </si>
  <si>
    <t>) + (</t>
  </si>
  <si>
    <t>x (</t>
  </si>
  <si>
    <t>)  =</t>
  </si>
  <si>
    <t xml:space="preserve">Exemple        </t>
  </si>
  <si>
    <t>)+(</t>
  </si>
  <si>
    <t xml:space="preserve">) </t>
  </si>
  <si>
    <t>Depth of Sample</t>
  </si>
  <si>
    <t>GWL</t>
  </si>
  <si>
    <t>Weight of Sample   =</t>
  </si>
  <si>
    <t>gram</t>
  </si>
  <si>
    <r>
      <rPr>
        <sz val="14"/>
        <color theme="1"/>
        <rFont val="Symbol"/>
        <family val="1"/>
        <charset val="2"/>
      </rPr>
      <t xml:space="preserve">g </t>
    </r>
    <r>
      <rPr>
        <vertAlign val="subscript"/>
        <sz val="14"/>
        <color theme="1"/>
        <rFont val="Calibri"/>
        <family val="2"/>
        <scheme val="minor"/>
      </rPr>
      <t>water</t>
    </r>
    <r>
      <rPr>
        <sz val="14"/>
        <color theme="1"/>
        <rFont val="Calibri"/>
        <family val="2"/>
        <scheme val="minor"/>
      </rPr>
      <t xml:space="preserve">     =</t>
    </r>
  </si>
  <si>
    <t>kN/m3</t>
  </si>
  <si>
    <r>
      <t xml:space="preserve">h </t>
    </r>
    <r>
      <rPr>
        <vertAlign val="subscript"/>
        <sz val="14"/>
        <color theme="1"/>
        <rFont val="Calibri"/>
        <family val="2"/>
        <scheme val="minor"/>
      </rPr>
      <t xml:space="preserve">water  </t>
    </r>
    <r>
      <rPr>
        <sz val="14"/>
        <color theme="1"/>
        <rFont val="Calibri"/>
        <family val="2"/>
        <scheme val="minor"/>
      </rPr>
      <t xml:space="preserve">    =</t>
    </r>
  </si>
  <si>
    <r>
      <t xml:space="preserve">h </t>
    </r>
    <r>
      <rPr>
        <vertAlign val="subscript"/>
        <sz val="14"/>
        <color theme="1"/>
        <rFont val="Calibri"/>
        <family val="2"/>
        <scheme val="minor"/>
      </rPr>
      <t>soil1       =</t>
    </r>
  </si>
  <si>
    <r>
      <t>h</t>
    </r>
    <r>
      <rPr>
        <vertAlign val="subscript"/>
        <sz val="11"/>
        <rFont val="Calibri"/>
        <family val="2"/>
        <scheme val="minor"/>
      </rPr>
      <t xml:space="preserve"> soil1</t>
    </r>
    <r>
      <rPr>
        <sz val="11"/>
        <rFont val="Calibri"/>
        <family val="2"/>
        <scheme val="minor"/>
      </rPr>
      <t xml:space="preserve">       =</t>
    </r>
  </si>
  <si>
    <r>
      <t xml:space="preserve"> h </t>
    </r>
    <r>
      <rPr>
        <vertAlign val="subscript"/>
        <sz val="14"/>
        <color theme="1"/>
        <rFont val="Calibri"/>
        <family val="2"/>
        <scheme val="minor"/>
      </rPr>
      <t>soil</t>
    </r>
    <r>
      <rPr>
        <sz val="14"/>
        <color theme="1"/>
        <rFont val="Calibri"/>
        <family val="2"/>
        <scheme val="minor"/>
      </rPr>
      <t xml:space="preserve">        =</t>
    </r>
  </si>
  <si>
    <r>
      <t xml:space="preserve"> h </t>
    </r>
    <r>
      <rPr>
        <vertAlign val="subscript"/>
        <sz val="14"/>
        <color theme="1"/>
        <rFont val="Calibri"/>
        <family val="2"/>
        <scheme val="minor"/>
      </rPr>
      <t>soil2</t>
    </r>
    <r>
      <rPr>
        <sz val="14"/>
        <color theme="1"/>
        <rFont val="Calibri"/>
        <family val="2"/>
        <scheme val="minor"/>
      </rPr>
      <t xml:space="preserve">     =</t>
    </r>
  </si>
  <si>
    <r>
      <t>g</t>
    </r>
    <r>
      <rPr>
        <sz val="14"/>
        <color theme="1"/>
        <rFont val="Calibri"/>
        <family val="2"/>
      </rPr>
      <t xml:space="preserve"> </t>
    </r>
    <r>
      <rPr>
        <vertAlign val="subscript"/>
        <sz val="14"/>
        <color theme="1"/>
        <rFont val="Calibri"/>
        <family val="2"/>
      </rPr>
      <t xml:space="preserve">soil            </t>
    </r>
    <r>
      <rPr>
        <sz val="14"/>
        <color theme="1"/>
        <rFont val="Calibri"/>
        <family val="2"/>
      </rPr>
      <t xml:space="preserve">  =</t>
    </r>
  </si>
  <si>
    <r>
      <t>g</t>
    </r>
    <r>
      <rPr>
        <vertAlign val="subscript"/>
        <sz val="14"/>
        <color theme="1"/>
        <rFont val="Calibri"/>
        <family val="2"/>
      </rPr>
      <t xml:space="preserve"> (soil -water)</t>
    </r>
    <r>
      <rPr>
        <sz val="14"/>
        <color theme="1"/>
        <rFont val="Calibri"/>
        <family val="2"/>
      </rPr>
      <t xml:space="preserve">   =</t>
    </r>
  </si>
  <si>
    <r>
      <t xml:space="preserve">h </t>
    </r>
    <r>
      <rPr>
        <vertAlign val="subscript"/>
        <sz val="11"/>
        <color theme="1"/>
        <rFont val="Calibri"/>
        <family val="2"/>
        <scheme val="minor"/>
      </rPr>
      <t>water</t>
    </r>
    <r>
      <rPr>
        <sz val="10"/>
        <rFont val="Arial"/>
        <family val="2"/>
      </rPr>
      <t xml:space="preserve">   =</t>
    </r>
  </si>
  <si>
    <r>
      <t xml:space="preserve"> h </t>
    </r>
    <r>
      <rPr>
        <vertAlign val="subscript"/>
        <sz val="11"/>
        <rFont val="Calibri"/>
        <family val="2"/>
        <scheme val="minor"/>
      </rPr>
      <t>soil2</t>
    </r>
    <r>
      <rPr>
        <sz val="11"/>
        <rFont val="Calibri"/>
        <family val="2"/>
        <scheme val="minor"/>
      </rPr>
      <t xml:space="preserve">     =</t>
    </r>
  </si>
  <si>
    <t>darat</t>
  </si>
  <si>
    <t xml:space="preserve">P  = </t>
  </si>
  <si>
    <r>
      <rPr>
        <b/>
        <sz val="16"/>
        <color theme="1"/>
        <rFont val="Calibri"/>
        <family val="2"/>
      </rPr>
      <t>σ</t>
    </r>
    <r>
      <rPr>
        <b/>
        <vertAlign val="subscript"/>
        <sz val="14"/>
        <color theme="1"/>
        <rFont val="Calibri"/>
        <family val="2"/>
      </rPr>
      <t xml:space="preserve">vo </t>
    </r>
    <r>
      <rPr>
        <b/>
        <sz val="14"/>
        <color theme="1"/>
        <rFont val="Calibri"/>
        <family val="2"/>
      </rPr>
      <t>x A  =</t>
    </r>
  </si>
  <si>
    <t xml:space="preserve">Perbandingan Lengan pada alat  </t>
  </si>
  <si>
    <t>P1 =</t>
  </si>
  <si>
    <t>P2 =</t>
  </si>
  <si>
    <t>P3 =</t>
  </si>
  <si>
    <r>
      <rPr>
        <b/>
        <sz val="14"/>
        <color rgb="FF00B050"/>
        <rFont val="Calibri"/>
        <family val="2"/>
        <scheme val="minor"/>
      </rPr>
      <t xml:space="preserve">Direct shear </t>
    </r>
    <r>
      <rPr>
        <b/>
        <sz val="14"/>
        <color rgb="FF0070C0"/>
        <rFont val="Calibri"/>
        <family val="2"/>
        <scheme val="minor"/>
      </rPr>
      <t xml:space="preserve">dan </t>
    </r>
    <r>
      <rPr>
        <b/>
        <sz val="14"/>
        <color rgb="FF00B050"/>
        <rFont val="Calibri"/>
        <family val="2"/>
        <scheme val="minor"/>
      </rPr>
      <t>Konsolidasi</t>
    </r>
    <r>
      <rPr>
        <b/>
        <sz val="14"/>
        <color rgb="FF0070C0"/>
        <rFont val="Calibri"/>
        <family val="2"/>
        <scheme val="minor"/>
      </rPr>
      <t xml:space="preserve"> 1 : 10, maka                   →      </t>
    </r>
    <r>
      <rPr>
        <b/>
        <sz val="14"/>
        <color rgb="FF00B050"/>
        <rFont val="Calibri"/>
        <family val="2"/>
        <scheme val="minor"/>
      </rPr>
      <t>P1 =</t>
    </r>
  </si>
  <si>
    <t xml:space="preserve"> CALIBRATION OF RING CONSOLIDATION</t>
  </si>
  <si>
    <t>Date : 08/02/2001</t>
  </si>
  <si>
    <t>Calibrated by : YA, AT</t>
  </si>
  <si>
    <t>Checked by : RUS</t>
  </si>
  <si>
    <t>DIRECT SHEAR RESIDUAL  TEST</t>
  </si>
  <si>
    <t>DIRECT SHEAR RSIDUAL  TEST</t>
  </si>
  <si>
    <t>( cm )</t>
  </si>
  <si>
    <t>Before</t>
  </si>
  <si>
    <t>After</t>
  </si>
  <si>
    <t>Wt. of wet sample + container</t>
  </si>
  <si>
    <t>Sample diameter</t>
  </si>
  <si>
    <t>Wt. of dry sample + continer</t>
  </si>
  <si>
    <t>Sample Height</t>
  </si>
  <si>
    <t>Wt. of container</t>
  </si>
  <si>
    <t>Area of sample</t>
  </si>
  <si>
    <t>Wt. of wet sample</t>
  </si>
  <si>
    <t>Volume of sample</t>
  </si>
  <si>
    <t>Wt. of dry sample</t>
  </si>
  <si>
    <t>Mean calibration</t>
  </si>
  <si>
    <t>Normal load</t>
  </si>
  <si>
    <t>Rate of displacement</t>
  </si>
  <si>
    <t>Specific gravity</t>
  </si>
  <si>
    <t>Voids ration</t>
  </si>
  <si>
    <t xml:space="preserve">Load </t>
  </si>
  <si>
    <t>Shear stress</t>
  </si>
  <si>
    <t>Vertical Movement</t>
  </si>
  <si>
    <t>Remarks</t>
  </si>
  <si>
    <t>Displacement</t>
  </si>
  <si>
    <t>Expansion (-)</t>
  </si>
  <si>
    <t>Settlement (+)</t>
  </si>
  <si>
    <t>Av</t>
  </si>
  <si>
    <t>DIRECT SHEAR TEST</t>
  </si>
  <si>
    <r>
      <t>(cm</t>
    </r>
    <r>
      <rPr>
        <vertAlign val="superscript"/>
        <sz val="10"/>
        <color theme="1"/>
        <rFont val="Aptos"/>
        <family val="2"/>
      </rPr>
      <t>2</t>
    </r>
    <r>
      <rPr>
        <sz val="10"/>
        <rFont val="Aptos"/>
        <family val="2"/>
      </rPr>
      <t>)</t>
    </r>
  </si>
  <si>
    <r>
      <t>(cm</t>
    </r>
    <r>
      <rPr>
        <vertAlign val="superscript"/>
        <sz val="10"/>
        <color theme="1"/>
        <rFont val="Aptos"/>
        <family val="2"/>
      </rPr>
      <t>3</t>
    </r>
    <r>
      <rPr>
        <sz val="10"/>
        <rFont val="Aptos"/>
        <family val="2"/>
      </rPr>
      <t>)</t>
    </r>
  </si>
  <si>
    <r>
      <t>g/cm</t>
    </r>
    <r>
      <rPr>
        <vertAlign val="superscript"/>
        <sz val="10"/>
        <color theme="1"/>
        <rFont val="Aptos"/>
        <family val="2"/>
      </rPr>
      <t>3</t>
    </r>
  </si>
  <si>
    <r>
      <t>t</t>
    </r>
    <r>
      <rPr>
        <vertAlign val="subscript"/>
        <sz val="10"/>
        <color theme="1"/>
        <rFont val="Aptos"/>
        <family val="2"/>
      </rPr>
      <t>f</t>
    </r>
  </si>
  <si>
    <r>
      <t>Axis y</t>
    </r>
    <r>
      <rPr>
        <vertAlign val="subscript"/>
        <sz val="10"/>
        <color theme="1"/>
        <rFont val="Aptos"/>
        <family val="2"/>
      </rPr>
      <t>min</t>
    </r>
  </si>
  <si>
    <r>
      <t>d</t>
    </r>
    <r>
      <rPr>
        <vertAlign val="subscript"/>
        <sz val="10"/>
        <color theme="1"/>
        <rFont val="Aptos"/>
        <family val="2"/>
      </rPr>
      <t>f</t>
    </r>
  </si>
  <si>
    <r>
      <t>Axis y</t>
    </r>
    <r>
      <rPr>
        <vertAlign val="subscript"/>
        <sz val="10"/>
        <color theme="1"/>
        <rFont val="Aptos"/>
        <family val="2"/>
      </rPr>
      <t>max</t>
    </r>
  </si>
  <si>
    <r>
      <t>d</t>
    </r>
    <r>
      <rPr>
        <vertAlign val="subscript"/>
        <sz val="10"/>
        <color theme="1"/>
        <rFont val="Aptos"/>
        <family val="2"/>
      </rPr>
      <t>r</t>
    </r>
  </si>
  <si>
    <r>
      <t>t</t>
    </r>
    <r>
      <rPr>
        <vertAlign val="subscript"/>
        <sz val="10"/>
        <color theme="1"/>
        <rFont val="Aptos"/>
        <family val="2"/>
      </rPr>
      <t>50</t>
    </r>
  </si>
  <si>
    <r>
      <t>d</t>
    </r>
    <r>
      <rPr>
        <vertAlign val="subscript"/>
        <sz val="10"/>
        <color theme="1"/>
        <rFont val="Aptos"/>
        <family val="2"/>
      </rPr>
      <t>0</t>
    </r>
  </si>
  <si>
    <t>Dx</t>
  </si>
  <si>
    <r>
      <t>d</t>
    </r>
    <r>
      <rPr>
        <vertAlign val="subscript"/>
        <sz val="10"/>
        <color theme="1"/>
        <rFont val="Aptos"/>
        <family val="2"/>
      </rPr>
      <t>100</t>
    </r>
  </si>
  <si>
    <r>
      <t>t</t>
    </r>
    <r>
      <rPr>
        <vertAlign val="subscript"/>
        <sz val="10"/>
        <color theme="1"/>
        <rFont val="Aptos"/>
        <family val="2"/>
      </rPr>
      <t>90</t>
    </r>
  </si>
  <si>
    <r>
      <t>Mg/cm</t>
    </r>
    <r>
      <rPr>
        <vertAlign val="superscript"/>
        <sz val="10"/>
        <rFont val="Aptos"/>
        <family val="2"/>
      </rPr>
      <t>3</t>
    </r>
  </si>
  <si>
    <r>
      <t>kN/m</t>
    </r>
    <r>
      <rPr>
        <vertAlign val="superscript"/>
        <sz val="10"/>
        <color indexed="8"/>
        <rFont val="Aptos"/>
        <family val="2"/>
      </rPr>
      <t>2</t>
    </r>
  </si>
  <si>
    <r>
      <t>( cm</t>
    </r>
    <r>
      <rPr>
        <vertAlign val="superscript"/>
        <sz val="10"/>
        <rFont val="Aptos"/>
        <family val="2"/>
      </rPr>
      <t>2</t>
    </r>
    <r>
      <rPr>
        <sz val="10"/>
        <rFont val="Aptos"/>
        <family val="2"/>
      </rPr>
      <t xml:space="preserve"> )</t>
    </r>
  </si>
  <si>
    <r>
      <t>( cm</t>
    </r>
    <r>
      <rPr>
        <vertAlign val="superscript"/>
        <sz val="10"/>
        <rFont val="Aptos"/>
        <family val="2"/>
      </rPr>
      <t>3</t>
    </r>
    <r>
      <rPr>
        <sz val="10"/>
        <rFont val="Aptos"/>
        <family val="2"/>
      </rPr>
      <t xml:space="preserve"> )</t>
    </r>
  </si>
  <si>
    <t>CALIBRATION OF RING DIRECT SHEAR</t>
  </si>
  <si>
    <t>ff</t>
  </si>
  <si>
    <t>Id Lab / Lab ID</t>
  </si>
  <si>
    <t>Id Lab</t>
  </si>
  <si>
    <t>Id Lab / Lab Id</t>
  </si>
  <si>
    <t>Id Lab / Lab id</t>
  </si>
  <si>
    <t>Id lab / Lab id</t>
  </si>
  <si>
    <t>Nilai √t saat ΔV pertama kali = Δvmax</t>
  </si>
  <si>
    <t>√t90</t>
  </si>
  <si>
    <t>t90</t>
  </si>
  <si>
    <t>akar t90</t>
  </si>
  <si>
    <t>Dengan Side drain-menggunakan diameter (Rata-rata) /2 masing2 spesimen</t>
  </si>
  <si>
    <t>Hdr</t>
  </si>
  <si>
    <t>m/year</t>
  </si>
  <si>
    <t>speciment diameter :</t>
  </si>
  <si>
    <t>volume :</t>
  </si>
  <si>
    <t>eff. Preassure :</t>
  </si>
  <si>
    <t>max vol. change :</t>
  </si>
  <si>
    <r>
      <t>cm</t>
    </r>
    <r>
      <rPr>
        <vertAlign val="superscript"/>
        <sz val="10"/>
        <rFont val="Aptos"/>
        <family val="2"/>
      </rPr>
      <t>2</t>
    </r>
    <r>
      <rPr>
        <sz val="10"/>
        <rFont val="Aptos"/>
        <family val="2"/>
      </rPr>
      <t>/menit</t>
    </r>
  </si>
  <si>
    <r>
      <t>cm</t>
    </r>
    <r>
      <rPr>
        <vertAlign val="superscript"/>
        <sz val="10"/>
        <rFont val="Aptos"/>
        <family val="2"/>
      </rPr>
      <t>2</t>
    </r>
    <r>
      <rPr>
        <sz val="10"/>
        <rFont val="Aptos"/>
        <family val="2"/>
      </rPr>
      <t>/sec</t>
    </r>
  </si>
  <si>
    <r>
      <t>m</t>
    </r>
    <r>
      <rPr>
        <vertAlign val="superscript"/>
        <sz val="10"/>
        <rFont val="Aptos"/>
        <family val="2"/>
      </rPr>
      <t>2</t>
    </r>
    <r>
      <rPr>
        <sz val="10"/>
        <rFont val="Aptos"/>
        <family val="2"/>
      </rPr>
      <t>/kN</t>
    </r>
  </si>
  <si>
    <t>Garis 1,15</t>
  </si>
  <si>
    <r>
      <t>t</t>
    </r>
    <r>
      <rPr>
        <vertAlign val="subscript"/>
        <sz val="10"/>
        <rFont val="Aptos"/>
        <family val="2"/>
      </rPr>
      <t>90</t>
    </r>
  </si>
  <si>
    <r>
      <t xml:space="preserve">        t</t>
    </r>
    <r>
      <rPr>
        <vertAlign val="subscript"/>
        <sz val="10"/>
        <rFont val="Aptos"/>
        <family val="2"/>
      </rPr>
      <t>90</t>
    </r>
  </si>
  <si>
    <t>DS CD</t>
  </si>
  <si>
    <t>Rafli</t>
  </si>
  <si>
    <t>DS CD Residual</t>
  </si>
  <si>
    <t>kalo di uji dan NP, di sisi di isi NP</t>
  </si>
  <si>
    <r>
      <t>m</t>
    </r>
    <r>
      <rPr>
        <vertAlign val="superscript"/>
        <sz val="9"/>
        <rFont val="Aptos"/>
        <family val="2"/>
      </rPr>
      <t>2</t>
    </r>
    <r>
      <rPr>
        <sz val="9"/>
        <rFont val="Aptos"/>
        <family val="2"/>
      </rPr>
      <t>/kN</t>
    </r>
  </si>
  <si>
    <t>LAB ID</t>
  </si>
  <si>
    <t>Grainsize Analisys</t>
  </si>
  <si>
    <t>FU-GS-23-004</t>
  </si>
  <si>
    <r>
      <t>qu
kgf/cm</t>
    </r>
    <r>
      <rPr>
        <vertAlign val="superscript"/>
        <sz val="10"/>
        <rFont val="Aptos"/>
        <family val="2"/>
      </rPr>
      <t>2</t>
    </r>
  </si>
  <si>
    <t>Berat Cawan (g)</t>
  </si>
  <si>
    <r>
      <t xml:space="preserve">UJI KUAT TEKAN BEBAS TANAH KOHESIF  </t>
    </r>
    <r>
      <rPr>
        <b/>
        <i/>
        <sz val="12"/>
        <color theme="1"/>
        <rFont val="Aptos"/>
        <family val="2"/>
      </rPr>
      <t>- Unconfined Compressive Test</t>
    </r>
  </si>
  <si>
    <r>
      <t>kg/cm</t>
    </r>
    <r>
      <rPr>
        <vertAlign val="superscript"/>
        <sz val="9"/>
        <color theme="1"/>
        <rFont val="Aptos"/>
        <family val="2"/>
      </rPr>
      <t>2</t>
    </r>
  </si>
  <si>
    <t>corection</t>
  </si>
  <si>
    <t>koreksi suhu</t>
  </si>
  <si>
    <t xml:space="preserve">      CONSOLIDATION</t>
  </si>
  <si>
    <t>Alansyah</t>
  </si>
  <si>
    <t>CBR</t>
  </si>
  <si>
    <r>
      <t xml:space="preserve">Uji Triaxial CU / </t>
    </r>
    <r>
      <rPr>
        <b/>
        <i/>
        <sz val="10"/>
        <color theme="1"/>
        <rFont val="Aptos"/>
        <family val="2"/>
      </rPr>
      <t>Triaxial Consolidated Undrained Test</t>
    </r>
    <r>
      <rPr>
        <b/>
        <sz val="10"/>
        <color theme="1"/>
        <rFont val="Aptos"/>
        <family val="2"/>
      </rPr>
      <t xml:space="preserve"> - Spesimen Dipadatkan pada 70% Kepadatan Maksimum Standard Proctor</t>
    </r>
  </si>
  <si>
    <t>Uji Pemadatan Ringan / Standard Proctor</t>
  </si>
  <si>
    <t xml:space="preserve">Kadar air Optimum  ( OMC )  </t>
  </si>
  <si>
    <t>SNI 1742 : 2008</t>
  </si>
  <si>
    <t>Optimum Moisture Content (OMC)</t>
  </si>
  <si>
    <t>Berat Isi kering ( MDD )</t>
  </si>
  <si>
    <t>Maximum Dry Density (MDD)</t>
  </si>
  <si>
    <t>Berat isi Basah</t>
  </si>
  <si>
    <t>Wet Density</t>
  </si>
  <si>
    <t>Uji CBR Soaked</t>
  </si>
  <si>
    <t>SNI 1744 : 2012</t>
  </si>
  <si>
    <t>Dry Density 100 %</t>
  </si>
  <si>
    <t>Dry Density 70 %</t>
  </si>
  <si>
    <t>CBR Soaked Value 100 %</t>
  </si>
  <si>
    <t>CBR Soaked Value 70 %</t>
  </si>
  <si>
    <t>Uji CBR</t>
  </si>
  <si>
    <t>CBR Unsoaked</t>
  </si>
  <si>
    <t>Vertical Line :</t>
  </si>
  <si>
    <t>Horizontal Line :</t>
  </si>
  <si>
    <r>
      <t>t</t>
    </r>
    <r>
      <rPr>
        <vertAlign val="subscript"/>
        <sz val="10"/>
        <rFont val="Aptos"/>
        <family val="2"/>
      </rPr>
      <t>f</t>
    </r>
  </si>
  <si>
    <t>Vertical Line</t>
  </si>
  <si>
    <t>Trendline</t>
  </si>
  <si>
    <t>UJI TRIAXIAL TERKONSOLIDASI TIDAK TERDRAINASE / TRIAXIAL CU-BP TEST – Spesimen Dipadatkan pada 70% Kepadatan</t>
  </si>
  <si>
    <r>
      <t>g/cm</t>
    </r>
    <r>
      <rPr>
        <vertAlign val="superscript"/>
        <sz val="9"/>
        <rFont val="Aptos"/>
        <family val="2"/>
      </rPr>
      <t>3</t>
    </r>
  </si>
  <si>
    <r>
      <t>m</t>
    </r>
    <r>
      <rPr>
        <vertAlign val="superscript"/>
        <sz val="9"/>
        <rFont val="Aptos"/>
        <family val="2"/>
      </rPr>
      <t>2</t>
    </r>
    <r>
      <rPr>
        <sz val="9"/>
        <rFont val="Aptos"/>
        <family val="2"/>
      </rPr>
      <t>/MN</t>
    </r>
  </si>
  <si>
    <t>m/s</t>
  </si>
  <si>
    <t xml:space="preserve">1.4E-08		</t>
  </si>
  <si>
    <t xml:space="preserve">PT Itamatra Nusantara </t>
  </si>
  <si>
    <t>Ganda Ganda, Petasia, Morowali Regency, Central Sulawesi</t>
  </si>
  <si>
    <t>Morowali Utara</t>
  </si>
  <si>
    <t>Uji Geser Langsung / Direct Shear Test</t>
  </si>
  <si>
    <t>PO-GQT-19</t>
  </si>
  <si>
    <t>PROJECT : GEOTECH INVESTIGATIONLAND SLIDE STUDY</t>
  </si>
  <si>
    <t>CLIENT    : THE LODGE MARIBAYA, BANDUNG</t>
  </si>
  <si>
    <t>JOB          :</t>
  </si>
  <si>
    <t>Date                : 16-10-2017</t>
  </si>
  <si>
    <t>TESTED BY: Rafli Cs</t>
  </si>
  <si>
    <t>CHECKED BY  : ALAN</t>
  </si>
  <si>
    <t>PERHATIAN !!!! Tidak boleh dihapus</t>
  </si>
  <si>
    <t xml:space="preserve">UNSOAKED CALIFORNIA BEARING TEST </t>
  </si>
  <si>
    <r>
      <t xml:space="preserve">CALIFORNIA BEARING RATIO TEST </t>
    </r>
    <r>
      <rPr>
        <b/>
        <u/>
        <sz val="10"/>
        <color rgb="FFFF0000"/>
        <rFont val="Aptos"/>
        <family val="2"/>
      </rPr>
      <t>(UNSoaked)</t>
    </r>
  </si>
  <si>
    <t>SNI 1744 : 2008</t>
  </si>
  <si>
    <t>ASTM D 1883</t>
  </si>
  <si>
    <t>( 12 blows )</t>
  </si>
  <si>
    <t>Sample No.              :</t>
  </si>
  <si>
    <t>Sample Type            :</t>
  </si>
  <si>
    <t>Sample Description  :</t>
  </si>
  <si>
    <t>DENSITY</t>
  </si>
  <si>
    <t>SWELLING</t>
  </si>
  <si>
    <t>DATE</t>
  </si>
  <si>
    <t>pers. garis koreksi</t>
  </si>
  <si>
    <t>Mass of Wet Soil + Mould</t>
  </si>
  <si>
    <t>DIAL READING</t>
  </si>
  <si>
    <t>top</t>
  </si>
  <si>
    <t>Calibration of Ring No. : 6.000</t>
  </si>
  <si>
    <t>Calibration of ring No. 10.000</t>
  </si>
  <si>
    <t>Mass of Mould</t>
  </si>
  <si>
    <t>lbs/div</t>
  </si>
  <si>
    <t>( 10 blows )</t>
  </si>
  <si>
    <t>Mass of Wet Soil</t>
  </si>
  <si>
    <t>Soil Volume</t>
  </si>
  <si>
    <r>
      <t xml:space="preserve"> cm</t>
    </r>
    <r>
      <rPr>
        <vertAlign val="superscript"/>
        <sz val="8"/>
        <color theme="1"/>
        <rFont val="Aptos"/>
        <family val="2"/>
      </rPr>
      <t>3</t>
    </r>
    <r>
      <rPr>
        <sz val="8"/>
        <color theme="1"/>
        <rFont val="Aptos"/>
        <family val="2"/>
      </rPr>
      <t xml:space="preserve"> </t>
    </r>
  </si>
  <si>
    <t>BULK DENSITY</t>
  </si>
  <si>
    <r>
      <t>Mg/m</t>
    </r>
    <r>
      <rPr>
        <vertAlign val="superscript"/>
        <sz val="8"/>
        <color theme="1"/>
        <rFont val="Aptos"/>
        <family val="2"/>
      </rPr>
      <t>3</t>
    </r>
  </si>
  <si>
    <t>MOISTURE CONTENT</t>
  </si>
  <si>
    <t>y = ax + b</t>
  </si>
  <si>
    <t>DRY DENSITY</t>
  </si>
  <si>
    <t xml:space="preserve">utk y = </t>
  </si>
  <si>
    <r>
      <t xml:space="preserve"> cm</t>
    </r>
    <r>
      <rPr>
        <vertAlign val="superscript"/>
        <sz val="9"/>
        <color theme="1"/>
        <rFont val="Aptos"/>
        <family val="2"/>
      </rPr>
      <t>3</t>
    </r>
    <r>
      <rPr>
        <sz val="9"/>
        <color theme="1"/>
        <rFont val="Aptos"/>
        <family val="2"/>
      </rPr>
      <t xml:space="preserve"> </t>
    </r>
  </si>
  <si>
    <t>a</t>
  </si>
  <si>
    <t>b</t>
  </si>
  <si>
    <t>PENETRATION TEST</t>
  </si>
  <si>
    <r>
      <t>g/cm</t>
    </r>
    <r>
      <rPr>
        <vertAlign val="superscript"/>
        <sz val="9"/>
        <color theme="1"/>
        <rFont val="Aptos"/>
        <family val="2"/>
      </rPr>
      <t>3</t>
    </r>
  </si>
  <si>
    <t>Proving Ring No. 6000      :</t>
  </si>
  <si>
    <t>Lbf / div</t>
  </si>
  <si>
    <t>Area of piston</t>
  </si>
  <si>
    <t xml:space="preserve">    :</t>
  </si>
  <si>
    <t>sq.inch</t>
  </si>
  <si>
    <t>Penetration</t>
  </si>
  <si>
    <t>Load Dial</t>
  </si>
  <si>
    <t>penetrasi</t>
  </si>
  <si>
    <t>load</t>
  </si>
  <si>
    <t>inch</t>
  </si>
  <si>
    <t>Lbs</t>
  </si>
  <si>
    <t>psi</t>
  </si>
  <si>
    <t>Proving Ring No. 6000</t>
  </si>
  <si>
    <t>Mass of Wet Soil+Container</t>
  </si>
  <si>
    <t>Mass of Dry Soil+Container</t>
  </si>
  <si>
    <t>Mass of Water</t>
  </si>
  <si>
    <t>Mass of Container</t>
  </si>
  <si>
    <t>Mass of Dry Soil</t>
  </si>
  <si>
    <t>CBR VALUE</t>
  </si>
  <si>
    <t>Standard Load</t>
  </si>
  <si>
    <t>Standard load</t>
  </si>
  <si>
    <t>Mpa</t>
  </si>
  <si>
    <r>
      <t>CALIFORNIA BEARING RATIO TEST</t>
    </r>
    <r>
      <rPr>
        <b/>
        <u/>
        <sz val="10"/>
        <color rgb="FFFF0000"/>
        <rFont val="Arial"/>
        <family val="2"/>
      </rPr>
      <t xml:space="preserve"> (UNSoaked)</t>
    </r>
  </si>
  <si>
    <t>( 25 blows )</t>
  </si>
  <si>
    <t>(25 blows )</t>
  </si>
  <si>
    <r>
      <t xml:space="preserve"> cm</t>
    </r>
    <r>
      <rPr>
        <vertAlign val="super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</t>
    </r>
  </si>
  <si>
    <r>
      <t>Mg/m</t>
    </r>
    <r>
      <rPr>
        <vertAlign val="superscript"/>
        <sz val="8"/>
        <color theme="1"/>
        <rFont val="Arial"/>
        <family val="2"/>
      </rPr>
      <t>3</t>
    </r>
  </si>
  <si>
    <t>Rev. 00/290798</t>
  </si>
  <si>
    <r>
      <t xml:space="preserve">CALIFORNIA BEARING RATIO TEST </t>
    </r>
    <r>
      <rPr>
        <b/>
        <u/>
        <sz val="10"/>
        <color rgb="FFFF0000"/>
        <rFont val="Arial"/>
        <family val="2"/>
      </rPr>
      <t>(UNSoaked)</t>
    </r>
  </si>
  <si>
    <t>( 56 blows )</t>
  </si>
  <si>
    <r>
      <t xml:space="preserve">DRY DENSITY  vs  CBR </t>
    </r>
    <r>
      <rPr>
        <b/>
        <u/>
        <sz val="12"/>
        <color rgb="FFFF0000"/>
        <rFont val="Aptos"/>
        <family val="2"/>
      </rPr>
      <t>(UNSoaked)</t>
    </r>
  </si>
  <si>
    <t>ASTM D 1883 - SNI 1744:2012</t>
  </si>
  <si>
    <t>Hole No.</t>
  </si>
  <si>
    <t xml:space="preserve">Sample Type </t>
  </si>
  <si>
    <t>Max. Particle Size Received</t>
  </si>
  <si>
    <t>No. of Layers</t>
  </si>
  <si>
    <t>Max. Particle Size Used</t>
  </si>
  <si>
    <t>Rammer's Weight</t>
  </si>
  <si>
    <t>Specific Gravity of Particle</t>
  </si>
  <si>
    <t>Drop Height</t>
  </si>
  <si>
    <t>For Graph</t>
  </si>
  <si>
    <t>Natural Moisture Content</t>
  </si>
  <si>
    <t>No. of Blows Per Layer</t>
  </si>
  <si>
    <t>COMPACTION</t>
  </si>
  <si>
    <t>moist. content</t>
  </si>
  <si>
    <t>dryDensity</t>
  </si>
  <si>
    <t>ZAV</t>
  </si>
  <si>
    <t>5 % Air Void</t>
  </si>
  <si>
    <t>10 % Air Void</t>
  </si>
  <si>
    <t>MODIFIED PROCTORE</t>
  </si>
  <si>
    <t>Determination of Compaction</t>
  </si>
  <si>
    <t>Passing 4.76 mm</t>
  </si>
  <si>
    <t>WET DENSITY</t>
  </si>
  <si>
    <r>
      <t>Mg/m</t>
    </r>
    <r>
      <rPr>
        <vertAlign val="superscript"/>
        <sz val="10"/>
        <rFont val="Aptos"/>
        <family val="2"/>
      </rPr>
      <t>3</t>
    </r>
  </si>
  <si>
    <t>DRY DENSITY (ZAV)</t>
  </si>
  <si>
    <t>CBR DESIGN</t>
  </si>
  <si>
    <t>DRY DENSITY (5 % Air Void)</t>
  </si>
  <si>
    <t>DRY DENSITY (10 % Air Void)</t>
  </si>
  <si>
    <t>Optimum Moisture Content</t>
  </si>
  <si>
    <t>Maximum Dry Density</t>
  </si>
  <si>
    <t>DRY DENSITY (5% AIR VOID)</t>
  </si>
  <si>
    <t>DRY DENSITY (10% AIR VOID)</t>
  </si>
  <si>
    <t>cbr</t>
  </si>
  <si>
    <t>dry</t>
  </si>
  <si>
    <t>Determination of CBR</t>
  </si>
  <si>
    <r>
      <t>Dry Density (Mg/m</t>
    </r>
    <r>
      <rPr>
        <vertAlign val="superscript"/>
        <sz val="10"/>
        <rFont val="Aptos"/>
        <family val="2"/>
      </rPr>
      <t>3</t>
    </r>
    <r>
      <rPr>
        <sz val="10"/>
        <rFont val="Aptos"/>
        <family val="2"/>
      </rPr>
      <t>)</t>
    </r>
  </si>
  <si>
    <t>CBR  Value (%)</t>
  </si>
  <si>
    <r>
      <t>Dry Density (g/cm</t>
    </r>
    <r>
      <rPr>
        <vertAlign val="superscript"/>
        <sz val="10"/>
        <rFont val="Aptos"/>
        <family val="2"/>
      </rPr>
      <t>3</t>
    </r>
    <r>
      <rPr>
        <sz val="10"/>
        <rFont val="Aptos"/>
        <family val="2"/>
      </rPr>
      <t>)</t>
    </r>
  </si>
  <si>
    <t>56 Blows</t>
  </si>
  <si>
    <t>25 Blows</t>
  </si>
  <si>
    <t>10 Blows</t>
  </si>
  <si>
    <t xml:space="preserve"> 100 % of Maximum Dry Density</t>
  </si>
  <si>
    <t xml:space="preserve"> 95 % of Maximum Dry Density</t>
  </si>
  <si>
    <t>UJI PEMADATAN RINGAN/STANDARD PROCTOR</t>
  </si>
  <si>
    <t>KEPADATAN</t>
  </si>
  <si>
    <t>MOULD</t>
  </si>
  <si>
    <t>Berat Cetakan + Tanah basah</t>
  </si>
  <si>
    <t>Dia  =</t>
  </si>
  <si>
    <t>Berat Cetakan</t>
  </si>
  <si>
    <t>T     =</t>
  </si>
  <si>
    <t>Berat Tanah basah</t>
  </si>
  <si>
    <t>Vol  =</t>
  </si>
  <si>
    <t>Isi Cetakan</t>
  </si>
  <si>
    <t>g/cc</t>
  </si>
  <si>
    <t>Berat isi basah</t>
  </si>
  <si>
    <t>Berat isi kering</t>
  </si>
  <si>
    <t>KADAR AIR</t>
  </si>
  <si>
    <t>KEPADATAN KERING</t>
  </si>
  <si>
    <t>Berat Cawan + Tanah basah</t>
  </si>
  <si>
    <t>Berat Cawan + Tanah kering</t>
  </si>
  <si>
    <t>Berat Cawan</t>
  </si>
  <si>
    <t>Berat air</t>
  </si>
  <si>
    <t>Berat Isi kering (MDD)</t>
  </si>
  <si>
    <t xml:space="preserve">g / cc </t>
  </si>
  <si>
    <t>METHOD  :</t>
  </si>
  <si>
    <t xml:space="preserve">STANDARD PROCTOR   </t>
  </si>
  <si>
    <t>A : Mold 4" (101.6 mm), material passing # 4 sieve</t>
  </si>
  <si>
    <t>No. of layer</t>
  </si>
  <si>
    <t>B : Mold 4" (101.6 mm), material passing 3/8" (9.5 mm) sieve</t>
  </si>
  <si>
    <t>Hammer's weight</t>
  </si>
  <si>
    <t>2,39       kg</t>
  </si>
  <si>
    <t>C : Mold 6" (152.4 mm), material passing 3/4" (19 mm) sieve</t>
  </si>
  <si>
    <t xml:space="preserve">Drop height </t>
  </si>
  <si>
    <t>D : Mold 6" (152.4 mm), material passing 3/4" (19 mm) sieve, corrected by replacement</t>
  </si>
  <si>
    <t xml:space="preserve">No. of blows per layer </t>
  </si>
  <si>
    <t>25    X</t>
  </si>
  <si>
    <t xml:space="preserve">       for material retained on 3/4 " (19 mm) sieve.</t>
  </si>
  <si>
    <t>CE</t>
  </si>
  <si>
    <t>595  kj/m3</t>
  </si>
  <si>
    <t>NOTE/CATATAN</t>
  </si>
  <si>
    <t>- Volume/berat sampel tidak memenuhi persyaratan SNI</t>
  </si>
  <si>
    <t>- Hasil mungkin tidak merepresentasikan nilai yang sebenarnya</t>
  </si>
  <si>
    <t>- Pengujian dilakukan atas permintaan / instruksi klien</t>
  </si>
  <si>
    <t>;</t>
  </si>
  <si>
    <t>BH-05_UDS-01</t>
  </si>
  <si>
    <t>0,00-0,50</t>
  </si>
  <si>
    <t>menentukan puncak maksimal</t>
  </si>
  <si>
    <t>Berat isi kering (ZAV)</t>
  </si>
  <si>
    <t>zav 5</t>
  </si>
  <si>
    <t>zav 90</t>
  </si>
  <si>
    <t>Munjo</t>
  </si>
  <si>
    <t>CMP-STD</t>
  </si>
  <si>
    <t>CBR-Unsoaked</t>
  </si>
  <si>
    <t>Jenis Uji</t>
  </si>
  <si>
    <t>Block Sample / UDS</t>
  </si>
  <si>
    <t>Sampel Blok / UDS</t>
  </si>
  <si>
    <t xml:space="preserve">     </t>
  </si>
  <si>
    <r>
      <t>cm</t>
    </r>
    <r>
      <rPr>
        <vertAlign val="superscript"/>
        <sz val="9"/>
        <rFont val="Aptos"/>
        <family val="2"/>
      </rPr>
      <t>3</t>
    </r>
  </si>
  <si>
    <t>Compaction Standar</t>
  </si>
  <si>
    <t>Tinggi (mm)</t>
  </si>
  <si>
    <t>Berat (g)</t>
  </si>
  <si>
    <t>Mould yang di pakai</t>
  </si>
  <si>
    <t>kalibrasi mould cbr</t>
  </si>
  <si>
    <t>Luas mm²</t>
  </si>
  <si>
    <t>Volume cm³</t>
  </si>
  <si>
    <t>Reamer CBR</t>
  </si>
  <si>
    <t>Berat (kg)</t>
  </si>
  <si>
    <t>Moulc CBR yang di pilih</t>
  </si>
  <si>
    <t>MGS/02/VI/2026</t>
  </si>
  <si>
    <t>piston</t>
  </si>
  <si>
    <t xml:space="preserve">diamter </t>
  </si>
  <si>
    <t>hidroplogi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</si>
</sst>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0.0000"/>
    <numFmt numFmtId="166" formatCode="0.0"/>
    <numFmt numFmtId="167" formatCode="0.000"/>
    <numFmt numFmtId="168" formatCode="0.00000"/>
    <numFmt numFmtId="169" formatCode=";;;"/>
    <numFmt numFmtId="170" formatCode="mm/dd/yyyy"/>
    <numFmt numFmtId="171" formatCode="dd\-mm\-yy"/>
    <numFmt numFmtId="172" formatCode="0.000000"/>
    <numFmt numFmtId="173" formatCode="dd\ \ mmm\ \ yyyy"/>
    <numFmt numFmtId="174" formatCode="dd\-mmm\-yyyy"/>
    <numFmt numFmtId="175" formatCode="[$-13809]dd\ mmmm\ yyyy;@"/>
    <numFmt numFmtId="176" formatCode="[$-421]dd\ mmmm\ yyyy;@"/>
    <numFmt numFmtId="177" formatCode="0.000_)"/>
    <numFmt numFmtId="178" formatCode="0.00_)"/>
    <numFmt numFmtId="179" formatCode="0.0000_)"/>
    <numFmt numFmtId="180" formatCode="0_)"/>
    <numFmt numFmtId="181" formatCode="0.000E+00"/>
    <numFmt numFmtId="182" formatCode="0.00000_)"/>
    <numFmt numFmtId="183" formatCode="0.0000000_)"/>
    <numFmt numFmtId="184" formatCode="0.000000_)"/>
    <numFmt numFmtId="185" formatCode="[$-13809]hh:mm:ss;@"/>
    <numFmt numFmtId="186" formatCode="m/d"/>
    <numFmt numFmtId="187" formatCode="[$-13809]d\ mmm\ yyyy;@"/>
    <numFmt numFmtId="188" formatCode="_-* #,##0.000_-;\-* #,##0.000_-;_-* &quot;-&quot;??_-;_-@_-"/>
    <numFmt numFmtId="189" formatCode="[$-409]d\-mmm\-yy;@"/>
    <numFmt numFmtId="190" formatCode="#,##0.000"/>
    <numFmt numFmtId="191" formatCode="dd/mm/yy;@"/>
    <numFmt numFmtId="192" formatCode="_(* #,##0_);_(* \(#,##0\);_(* &quot;-&quot;_);_(@_)"/>
    <numFmt numFmtId="193" formatCode="m/d;@"/>
    <numFmt numFmtId="194" formatCode="_-* #,##0_-;\-* #,##0_-;_-* &quot;-&quot;??_-;_-@_-"/>
    <numFmt numFmtId="195" formatCode="@\ * &quot;:&quot;"/>
    <numFmt numFmtId="196" formatCode="_-* #,##0.0_-;\-* #,##0.0_-;_-* &quot;-&quot;??_-;_-@_-"/>
    <numFmt numFmtId="197" formatCode="_-* #,##0.0000_-;\-* #,##0.0000_-;_-* &quot;-&quot;??_-;_-@_-"/>
  </numFmts>
  <fonts count="23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8"/>
      <color indexed="81"/>
      <name val="Tahoma"/>
      <family val="2"/>
    </font>
    <font>
      <sz val="12"/>
      <color theme="1"/>
      <name val="Aptos"/>
      <family val="2"/>
    </font>
    <font>
      <sz val="10"/>
      <color theme="1"/>
      <name val="Aptos"/>
      <family val="2"/>
    </font>
    <font>
      <b/>
      <sz val="12"/>
      <color theme="1"/>
      <name val="Aptos"/>
      <family val="2"/>
    </font>
    <font>
      <sz val="9"/>
      <color theme="1"/>
      <name val="Aptos"/>
      <family val="2"/>
    </font>
    <font>
      <i/>
      <sz val="9"/>
      <color theme="1"/>
      <name val="Aptos"/>
      <family val="2"/>
    </font>
    <font>
      <sz val="6.5"/>
      <color theme="1"/>
      <name val="Aptos"/>
      <family val="2"/>
    </font>
    <font>
      <b/>
      <sz val="10"/>
      <color theme="1"/>
      <name val="Aptos"/>
      <family val="2"/>
    </font>
    <font>
      <b/>
      <i/>
      <sz val="10"/>
      <color theme="1"/>
      <name val="Aptos"/>
      <family val="2"/>
    </font>
    <font>
      <b/>
      <sz val="9"/>
      <color theme="1"/>
      <name val="Aptos"/>
      <family val="2"/>
    </font>
    <font>
      <i/>
      <sz val="10"/>
      <color theme="1"/>
      <name val="Aptos"/>
      <family val="2"/>
    </font>
    <font>
      <sz val="9"/>
      <name val="Aptos"/>
      <family val="2"/>
    </font>
    <font>
      <sz val="10"/>
      <name val="Courier"/>
      <charset val="1"/>
    </font>
    <font>
      <sz val="10"/>
      <name val="Courier"/>
    </font>
    <font>
      <sz val="12"/>
      <color theme="1"/>
      <name val="Calibri"/>
      <family val="2"/>
      <scheme val="minor"/>
    </font>
    <font>
      <sz val="8"/>
      <color theme="1"/>
      <name val="Aptos"/>
      <family val="2"/>
    </font>
    <font>
      <sz val="9"/>
      <color indexed="8"/>
      <name val="Aptos"/>
      <family val="2"/>
    </font>
    <font>
      <sz val="10"/>
      <color indexed="8"/>
      <name val="Aptos"/>
      <family val="2"/>
    </font>
    <font>
      <sz val="11"/>
      <color indexed="8"/>
      <name val="Aptos"/>
      <family val="2"/>
    </font>
    <font>
      <b/>
      <i/>
      <sz val="9"/>
      <color theme="1"/>
      <name val="Aptos"/>
      <family val="2"/>
    </font>
    <font>
      <b/>
      <sz val="14"/>
      <color theme="1"/>
      <name val="Aptos"/>
      <family val="2"/>
    </font>
    <font>
      <vertAlign val="superscript"/>
      <sz val="9"/>
      <color theme="1"/>
      <name val="Aptos"/>
      <family val="2"/>
    </font>
    <font>
      <b/>
      <sz val="9"/>
      <name val="Aptos"/>
      <family val="2"/>
    </font>
    <font>
      <vertAlign val="superscript"/>
      <sz val="9"/>
      <name val="Aptos"/>
      <family val="2"/>
    </font>
    <font>
      <sz val="10"/>
      <name val="Arial"/>
      <family val="2"/>
    </font>
    <font>
      <b/>
      <sz val="12"/>
      <name val="Aptos"/>
      <family val="2"/>
    </font>
    <font>
      <sz val="12"/>
      <name val="Aptos"/>
      <family val="2"/>
    </font>
    <font>
      <sz val="12"/>
      <color theme="0"/>
      <name val="Aptos"/>
      <family val="2"/>
    </font>
    <font>
      <b/>
      <sz val="10"/>
      <color indexed="8"/>
      <name val="Aptos"/>
      <family val="2"/>
    </font>
    <font>
      <sz val="8"/>
      <color indexed="8"/>
      <name val="Aptos"/>
      <family val="2"/>
    </font>
    <font>
      <sz val="15"/>
      <color indexed="59"/>
      <name val="Aptos"/>
      <family val="2"/>
    </font>
    <font>
      <sz val="10"/>
      <name val="Aptos"/>
      <family val="2"/>
    </font>
    <font>
      <sz val="11"/>
      <color indexed="10"/>
      <name val="Aptos"/>
      <family val="2"/>
    </font>
    <font>
      <b/>
      <sz val="14"/>
      <color indexed="8"/>
      <name val="Aptos"/>
      <family val="2"/>
    </font>
    <font>
      <sz val="12"/>
      <color indexed="8"/>
      <name val="Aptos"/>
      <family val="2"/>
    </font>
    <font>
      <sz val="12"/>
      <color indexed="10"/>
      <name val="Aptos"/>
      <family val="2"/>
    </font>
    <font>
      <sz val="10"/>
      <color indexed="10"/>
      <name val="Aptos"/>
      <family val="2"/>
    </font>
    <font>
      <b/>
      <sz val="12"/>
      <color indexed="8"/>
      <name val="Aptos"/>
      <family val="2"/>
    </font>
    <font>
      <b/>
      <sz val="8"/>
      <color indexed="8"/>
      <name val="Aptos"/>
      <family val="2"/>
    </font>
    <font>
      <sz val="14"/>
      <color indexed="8"/>
      <name val="Aptos"/>
      <family val="2"/>
    </font>
    <font>
      <sz val="10"/>
      <color indexed="12"/>
      <name val="Aptos"/>
      <family val="2"/>
    </font>
    <font>
      <sz val="11"/>
      <color theme="1"/>
      <name val="Aptos"/>
      <family val="2"/>
    </font>
    <font>
      <sz val="10"/>
      <color rgb="FFFF0000"/>
      <name val="Aptos"/>
      <family val="2"/>
    </font>
    <font>
      <sz val="6"/>
      <color indexed="8"/>
      <name val="Aptos"/>
      <family val="2"/>
    </font>
    <font>
      <sz val="10"/>
      <color rgb="FF000000"/>
      <name val="Aptos"/>
      <family val="2"/>
    </font>
    <font>
      <b/>
      <sz val="14"/>
      <color indexed="12"/>
      <name val="Aptos"/>
      <family val="2"/>
    </font>
    <font>
      <sz val="9"/>
      <color indexed="12"/>
      <name val="Aptos"/>
      <family val="2"/>
    </font>
    <font>
      <b/>
      <sz val="10"/>
      <color rgb="FF000000"/>
      <name val="Aptos"/>
      <family val="2"/>
    </font>
    <font>
      <b/>
      <sz val="11"/>
      <color rgb="FF000000"/>
      <name val="Aptos"/>
      <family val="2"/>
    </font>
    <font>
      <b/>
      <sz val="8"/>
      <name val="Aptos"/>
      <family val="2"/>
    </font>
    <font>
      <b/>
      <sz val="10"/>
      <name val="Aptos"/>
      <family val="2"/>
    </font>
    <font>
      <b/>
      <sz val="9"/>
      <color rgb="FF000000"/>
      <name val="Aptos"/>
      <family val="2"/>
    </font>
    <font>
      <sz val="8"/>
      <name val="Aptos"/>
      <family val="2"/>
    </font>
    <font>
      <sz val="7"/>
      <name val="Aptos"/>
      <family val="2"/>
    </font>
    <font>
      <vertAlign val="superscript"/>
      <sz val="7"/>
      <name val="Aptos"/>
      <family val="2"/>
    </font>
    <font>
      <b/>
      <vertAlign val="superscript"/>
      <sz val="8"/>
      <name val="Aptos"/>
      <family val="2"/>
    </font>
    <font>
      <vertAlign val="superscript"/>
      <sz val="8"/>
      <name val="Aptos"/>
      <family val="2"/>
    </font>
    <font>
      <sz val="11"/>
      <name val="Aptos"/>
      <family val="2"/>
    </font>
    <font>
      <sz val="6"/>
      <name val="Aptos"/>
      <family val="2"/>
    </font>
    <font>
      <sz val="7"/>
      <color indexed="17"/>
      <name val="Aptos"/>
      <family val="2"/>
    </font>
    <font>
      <b/>
      <sz val="11"/>
      <color indexed="9"/>
      <name val="Aptos"/>
      <family val="2"/>
    </font>
    <font>
      <sz val="8"/>
      <color indexed="9"/>
      <name val="Aptos"/>
      <family val="2"/>
    </font>
    <font>
      <sz val="12"/>
      <color indexed="12"/>
      <name val="Aptos"/>
      <family val="2"/>
    </font>
    <font>
      <sz val="9"/>
      <color rgb="FFFF0000"/>
      <name val="Aptos"/>
      <family val="2"/>
    </font>
    <font>
      <b/>
      <sz val="11"/>
      <name val="Aptos"/>
      <family val="2"/>
    </font>
    <font>
      <b/>
      <sz val="10"/>
      <color indexed="10"/>
      <name val="Aptos"/>
      <family val="2"/>
    </font>
    <font>
      <b/>
      <sz val="10"/>
      <color rgb="FFFF0000"/>
      <name val="Aptos"/>
      <family val="2"/>
    </font>
    <font>
      <b/>
      <sz val="9"/>
      <color rgb="FFFF0000"/>
      <name val="Aptos"/>
      <family val="2"/>
    </font>
    <font>
      <b/>
      <sz val="10"/>
      <color indexed="12"/>
      <name val="Aptos"/>
      <family val="2"/>
    </font>
    <font>
      <sz val="10"/>
      <color indexed="17"/>
      <name val="Aptos"/>
      <family val="2"/>
    </font>
    <font>
      <b/>
      <sz val="10"/>
      <color indexed="17"/>
      <name val="Aptos"/>
      <family val="2"/>
    </font>
    <font>
      <sz val="8"/>
      <color indexed="10"/>
      <name val="Aptos"/>
      <family val="2"/>
    </font>
    <font>
      <sz val="8"/>
      <color indexed="12"/>
      <name val="Aptos"/>
      <family val="2"/>
    </font>
    <font>
      <sz val="8"/>
      <color indexed="17"/>
      <name val="Aptos"/>
      <family val="2"/>
    </font>
    <font>
      <sz val="8"/>
      <color rgb="FFFF0000"/>
      <name val="Aptos"/>
      <family val="2"/>
    </font>
    <font>
      <b/>
      <sz val="8"/>
      <color indexed="17"/>
      <name val="Aptos"/>
      <family val="2"/>
    </font>
    <font>
      <sz val="6"/>
      <color indexed="10"/>
      <name val="Aptos"/>
      <family val="2"/>
    </font>
    <font>
      <sz val="9"/>
      <color indexed="10"/>
      <name val="Aptos"/>
      <family val="2"/>
    </font>
    <font>
      <sz val="6"/>
      <color indexed="39"/>
      <name val="Aptos"/>
      <family val="2"/>
    </font>
    <font>
      <sz val="9"/>
      <color indexed="39"/>
      <name val="Aptos"/>
      <family val="2"/>
    </font>
    <font>
      <sz val="6"/>
      <color indexed="17"/>
      <name val="Aptos"/>
      <family val="2"/>
    </font>
    <font>
      <sz val="9"/>
      <color indexed="17"/>
      <name val="Aptos"/>
      <family val="2"/>
    </font>
    <font>
      <sz val="7"/>
      <color theme="1"/>
      <name val="Aptos"/>
      <family val="2"/>
    </font>
    <font>
      <sz val="10"/>
      <color indexed="39"/>
      <name val="Aptos"/>
      <family val="2"/>
    </font>
    <font>
      <b/>
      <sz val="7"/>
      <color theme="1"/>
      <name val="Aptos"/>
      <family val="2"/>
    </font>
    <font>
      <sz val="9"/>
      <color rgb="FF0348D3"/>
      <name val="Aptos"/>
      <family val="2"/>
    </font>
    <font>
      <sz val="9"/>
      <color rgb="FF105FFC"/>
      <name val="Aptos"/>
      <family val="2"/>
    </font>
    <font>
      <b/>
      <sz val="6"/>
      <name val="Aptos"/>
      <family val="2"/>
    </font>
    <font>
      <b/>
      <sz val="7"/>
      <name val="Aptos"/>
      <family val="2"/>
    </font>
    <font>
      <vertAlign val="subscript"/>
      <sz val="9"/>
      <color theme="1"/>
      <name val="Aptos"/>
      <family val="2"/>
    </font>
    <font>
      <sz val="11"/>
      <color indexed="59"/>
      <name val="Aptos"/>
      <family val="2"/>
    </font>
    <font>
      <sz val="11"/>
      <color indexed="14"/>
      <name val="Aptos"/>
      <family val="2"/>
    </font>
    <font>
      <sz val="11"/>
      <color rgb="FFFF0000"/>
      <name val="Aptos"/>
      <family val="2"/>
    </font>
    <font>
      <sz val="11"/>
      <color rgb="FF0070C0"/>
      <name val="Aptos"/>
      <family val="2"/>
    </font>
    <font>
      <vertAlign val="superscript"/>
      <sz val="11"/>
      <name val="Aptos"/>
      <family val="2"/>
    </font>
    <font>
      <sz val="11"/>
      <color indexed="50"/>
      <name val="Aptos"/>
      <family val="2"/>
    </font>
    <font>
      <b/>
      <u/>
      <sz val="12"/>
      <color theme="1"/>
      <name val="Aptos"/>
      <family val="2"/>
    </font>
    <font>
      <vertAlign val="subscript"/>
      <sz val="10"/>
      <color theme="1"/>
      <name val="Aptos"/>
      <family val="2"/>
    </font>
    <font>
      <vertAlign val="superscript"/>
      <sz val="10"/>
      <color theme="1"/>
      <name val="Aptos"/>
      <family val="2"/>
    </font>
    <font>
      <i/>
      <sz val="8"/>
      <color theme="1"/>
      <name val="Aptos"/>
      <family val="2"/>
    </font>
    <font>
      <sz val="10"/>
      <color theme="1"/>
      <name val="Calibri"/>
      <family val="2"/>
    </font>
    <font>
      <b/>
      <u/>
      <sz val="10"/>
      <color theme="1"/>
      <name val="Aptos"/>
      <family val="2"/>
    </font>
    <font>
      <sz val="14"/>
      <color theme="1"/>
      <name val="Times New Roman"/>
      <family val="1"/>
    </font>
    <font>
      <i/>
      <sz val="10"/>
      <name val="Aptos"/>
      <family val="2"/>
    </font>
    <font>
      <sz val="9"/>
      <color rgb="FF595959"/>
      <name val="Aptos"/>
      <family val="2"/>
    </font>
    <font>
      <b/>
      <sz val="14"/>
      <color theme="0"/>
      <name val="Aptos"/>
      <family val="2"/>
    </font>
    <font>
      <b/>
      <sz val="12"/>
      <color theme="0"/>
      <name val="Aptos"/>
      <family val="2"/>
    </font>
    <font>
      <b/>
      <sz val="10"/>
      <color theme="0"/>
      <name val="Aptos"/>
      <family val="2"/>
    </font>
    <font>
      <sz val="9"/>
      <color theme="0"/>
      <name val="Aptos"/>
      <family val="2"/>
    </font>
    <font>
      <b/>
      <vertAlign val="subscript"/>
      <sz val="10"/>
      <color theme="1"/>
      <name val="Aptos"/>
      <family val="2"/>
    </font>
    <font>
      <vertAlign val="superscript"/>
      <sz val="10"/>
      <name val="Aptos"/>
      <family val="2"/>
    </font>
    <font>
      <b/>
      <sz val="11"/>
      <color theme="1"/>
      <name val="Aptos"/>
      <family val="2"/>
    </font>
    <font>
      <sz val="10"/>
      <color theme="5"/>
      <name val="Aptos"/>
      <family val="2"/>
    </font>
    <font>
      <sz val="10"/>
      <color theme="4"/>
      <name val="Aptos"/>
      <family val="2"/>
    </font>
    <font>
      <sz val="10"/>
      <color theme="5" tint="-0.249977111117893"/>
      <name val="Aptos"/>
      <family val="2"/>
    </font>
    <font>
      <sz val="12"/>
      <color rgb="FFFF0000"/>
      <name val="Aptos"/>
      <family val="2"/>
    </font>
    <font>
      <b/>
      <u/>
      <sz val="20"/>
      <name val="Aptos"/>
      <family val="2"/>
    </font>
    <font>
      <vertAlign val="subscript"/>
      <sz val="10"/>
      <name val="Aptos"/>
      <family val="2"/>
    </font>
    <font>
      <vertAlign val="subscript"/>
      <sz val="8"/>
      <name val="Aptos"/>
      <family val="2"/>
    </font>
    <font>
      <sz val="10"/>
      <color indexed="14"/>
      <name val="Aptos"/>
      <family val="2"/>
    </font>
    <font>
      <sz val="10"/>
      <color theme="3" tint="0.39997558519241921"/>
      <name val="Aptos"/>
      <family val="2"/>
    </font>
    <font>
      <b/>
      <sz val="12"/>
      <color indexed="10"/>
      <name val="Aptos"/>
      <family val="2"/>
    </font>
    <font>
      <sz val="10"/>
      <color indexed="33"/>
      <name val="Aptos"/>
      <family val="2"/>
    </font>
    <font>
      <b/>
      <sz val="10"/>
      <color indexed="14"/>
      <name val="Aptos"/>
      <family val="2"/>
    </font>
    <font>
      <sz val="8"/>
      <color rgb="FF000000"/>
      <name val="Tahoma"/>
      <family val="2"/>
    </font>
    <font>
      <sz val="10"/>
      <color theme="0"/>
      <name val="Aptos"/>
      <family val="2"/>
    </font>
    <font>
      <b/>
      <i/>
      <sz val="12"/>
      <color theme="1"/>
      <name val="Aptos"/>
      <family val="2"/>
    </font>
    <font>
      <i/>
      <sz val="12"/>
      <color theme="1"/>
      <name val="Aptos"/>
      <family val="2"/>
    </font>
    <font>
      <i/>
      <vertAlign val="subscript"/>
      <sz val="12"/>
      <color theme="1"/>
      <name val="Aptos"/>
      <family val="2"/>
    </font>
    <font>
      <sz val="9"/>
      <color theme="9" tint="-0.499984740745262"/>
      <name val="Aptos"/>
      <family val="2"/>
    </font>
    <font>
      <sz val="12"/>
      <name val="Arial"/>
      <family val="2"/>
    </font>
    <font>
      <b/>
      <sz val="10"/>
      <color theme="4"/>
      <name val="Aptos"/>
      <family val="2"/>
    </font>
    <font>
      <sz val="14"/>
      <name val="Aptos"/>
      <family val="2"/>
    </font>
    <font>
      <vertAlign val="superscript"/>
      <sz val="14"/>
      <name val="Aptos"/>
      <family val="2"/>
    </font>
    <font>
      <sz val="14"/>
      <color rgb="FF0070C0"/>
      <name val="Aptos"/>
      <family val="2"/>
    </font>
    <font>
      <sz val="10"/>
      <name val="Calibri"/>
      <family val="2"/>
      <scheme val="minor"/>
    </font>
    <font>
      <b/>
      <sz val="16"/>
      <color theme="1"/>
      <name val="Book Antiqua"/>
      <family val="1"/>
    </font>
    <font>
      <i/>
      <sz val="10"/>
      <color rgb="FFFF0000"/>
      <name val="Aptos"/>
      <family val="2"/>
    </font>
    <font>
      <b/>
      <sz val="18"/>
      <name val="Book Antiqua"/>
      <family val="1"/>
    </font>
    <font>
      <b/>
      <sz val="9"/>
      <color theme="4"/>
      <name val="Aptos"/>
      <family val="2"/>
    </font>
    <font>
      <sz val="8"/>
      <name val="Calibri"/>
      <family val="2"/>
      <scheme val="minor"/>
    </font>
    <font>
      <b/>
      <i/>
      <sz val="8"/>
      <color theme="1"/>
      <name val="Aptos"/>
      <family val="2"/>
    </font>
    <font>
      <b/>
      <sz val="9"/>
      <color theme="0"/>
      <name val="Aptos"/>
      <family val="2"/>
    </font>
    <font>
      <sz val="9"/>
      <name val="AvantGarde Md BT"/>
      <family val="2"/>
    </font>
    <font>
      <sz val="10"/>
      <color theme="3"/>
      <name val="Aptos"/>
      <family val="2"/>
    </font>
    <font>
      <i/>
      <sz val="9"/>
      <name val="Aptos"/>
      <family val="2"/>
    </font>
    <font>
      <i/>
      <vertAlign val="subscript"/>
      <sz val="9"/>
      <color theme="1"/>
      <name val="Aptos"/>
      <family val="2"/>
    </font>
    <font>
      <b/>
      <i/>
      <sz val="8"/>
      <name val="Aptos"/>
      <family val="2"/>
    </font>
    <font>
      <i/>
      <sz val="8"/>
      <name val="Aptos"/>
      <family val="2"/>
    </font>
    <font>
      <b/>
      <vertAlign val="subscript"/>
      <sz val="10"/>
      <name val="Aptos"/>
      <family val="2"/>
    </font>
    <font>
      <sz val="10"/>
      <name val="Arial"/>
      <family val="2"/>
    </font>
    <font>
      <b/>
      <sz val="10"/>
      <color indexed="53"/>
      <name val="Aptos"/>
      <family val="2"/>
    </font>
    <font>
      <b/>
      <sz val="15"/>
      <name val="Aptos"/>
      <family val="2"/>
    </font>
    <font>
      <b/>
      <i/>
      <sz val="14"/>
      <name val="Aptos"/>
      <family val="2"/>
    </font>
    <font>
      <sz val="9"/>
      <color indexed="33"/>
      <name val="Aptos"/>
      <family val="2"/>
    </font>
    <font>
      <sz val="9"/>
      <color indexed="14"/>
      <name val="Aptos"/>
      <family val="2"/>
    </font>
    <font>
      <vertAlign val="subscript"/>
      <sz val="9"/>
      <name val="Aptos"/>
      <family val="2"/>
    </font>
    <font>
      <b/>
      <u/>
      <sz val="9"/>
      <name val="Aptos"/>
      <family val="2"/>
    </font>
    <font>
      <sz val="9"/>
      <color indexed="20"/>
      <name val="Aptos"/>
      <family val="2"/>
    </font>
    <font>
      <sz val="10"/>
      <color rgb="FFFFFFFF"/>
      <name val="Aptos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.5"/>
      <color theme="1"/>
      <name val="Aptos"/>
      <family val="2"/>
    </font>
    <font>
      <b/>
      <sz val="16"/>
      <color theme="1"/>
      <name val="Aptos"/>
      <family val="2"/>
    </font>
    <font>
      <b/>
      <u/>
      <sz val="12"/>
      <name val="Aptos"/>
      <family val="2"/>
    </font>
    <font>
      <sz val="16"/>
      <name val="Aptos"/>
      <family val="2"/>
    </font>
    <font>
      <b/>
      <sz val="18"/>
      <name val="Aptos"/>
      <family val="2"/>
    </font>
    <font>
      <vertAlign val="subscript"/>
      <sz val="12"/>
      <name val="Aptos"/>
      <family val="2"/>
    </font>
    <font>
      <i/>
      <sz val="12"/>
      <name val="Aptos"/>
      <family val="2"/>
    </font>
    <font>
      <i/>
      <vertAlign val="subscript"/>
      <sz val="12"/>
      <name val="Aptos"/>
      <family val="2"/>
    </font>
    <font>
      <vertAlign val="subscript"/>
      <sz val="12"/>
      <color theme="1"/>
      <name val="Apto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rgb="FFFF0000"/>
      <name val="Calibri"/>
      <family val="2"/>
      <scheme val="minor"/>
    </font>
    <font>
      <b/>
      <sz val="14"/>
      <color theme="1"/>
      <name val="Symbol"/>
      <family val="1"/>
      <charset val="2"/>
    </font>
    <font>
      <b/>
      <vertAlign val="subscript"/>
      <sz val="14"/>
      <color theme="1"/>
      <name val="Calibri"/>
      <family val="2"/>
      <scheme val="minor"/>
    </font>
    <font>
      <b/>
      <vertAlign val="subscript"/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  <scheme val="minor"/>
    </font>
    <font>
      <sz val="14"/>
      <color theme="1"/>
      <name val="Symbol"/>
      <family val="1"/>
      <charset val="2"/>
    </font>
    <font>
      <vertAlign val="subscript"/>
      <sz val="14"/>
      <color theme="1"/>
      <name val="Calibri"/>
      <family val="2"/>
      <scheme val="minor"/>
    </font>
    <font>
      <vertAlign val="subscript"/>
      <sz val="11"/>
      <name val="Calibri"/>
      <family val="2"/>
      <scheme val="minor"/>
    </font>
    <font>
      <sz val="14"/>
      <color theme="1"/>
      <name val="Calibri"/>
      <family val="2"/>
    </font>
    <font>
      <vertAlign val="subscript"/>
      <sz val="14"/>
      <color theme="1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theme="1"/>
      <name val="Calibri"/>
      <family val="2"/>
    </font>
    <font>
      <b/>
      <sz val="12"/>
      <color rgb="FF0070C0"/>
      <name val="Calibri"/>
      <family val="2"/>
      <scheme val="minor"/>
    </font>
    <font>
      <sz val="10"/>
      <name val="Arial"/>
      <family val="2"/>
    </font>
    <font>
      <b/>
      <sz val="10"/>
      <color rgb="FFFFFF00"/>
      <name val="Aptos"/>
      <family val="2"/>
    </font>
    <font>
      <b/>
      <sz val="10"/>
      <color theme="9" tint="0.39997558519241921"/>
      <name val="Aptos"/>
      <family val="2"/>
    </font>
    <font>
      <sz val="10"/>
      <color rgb="FFFF00FF"/>
      <name val="Aptos"/>
      <family val="2"/>
    </font>
    <font>
      <b/>
      <sz val="10"/>
      <color rgb="FFFF00FF"/>
      <name val="Aptos"/>
      <family val="2"/>
    </font>
    <font>
      <sz val="10"/>
      <color rgb="FF0070C0"/>
      <name val="Aptos"/>
      <family val="2"/>
    </font>
    <font>
      <vertAlign val="superscript"/>
      <sz val="10"/>
      <color indexed="8"/>
      <name val="Aptos"/>
      <family val="2"/>
    </font>
    <font>
      <b/>
      <u/>
      <sz val="10"/>
      <name val="Aptos"/>
      <family val="2"/>
    </font>
    <font>
      <b/>
      <sz val="12"/>
      <color indexed="14"/>
      <name val="Aptos"/>
      <family val="2"/>
    </font>
    <font>
      <b/>
      <sz val="8"/>
      <color theme="1"/>
      <name val="Aptos"/>
      <family val="2"/>
    </font>
    <font>
      <b/>
      <u/>
      <sz val="8"/>
      <color theme="1"/>
      <name val="Aptos"/>
      <family val="2"/>
    </font>
    <font>
      <b/>
      <u/>
      <sz val="10"/>
      <color rgb="FFFF0000"/>
      <name val="Aptos"/>
      <family val="2"/>
    </font>
    <font>
      <sz val="8"/>
      <color theme="0"/>
      <name val="Aptos"/>
      <family val="2"/>
    </font>
    <font>
      <vertAlign val="superscript"/>
      <sz val="8"/>
      <color theme="1"/>
      <name val="Aptos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u/>
      <sz val="8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FF0000"/>
      <name val="Arial"/>
      <family val="2"/>
    </font>
    <font>
      <sz val="8"/>
      <name val="Arial"/>
      <family val="2"/>
    </font>
    <font>
      <sz val="8"/>
      <color theme="0"/>
      <name val="Arial"/>
      <family val="2"/>
    </font>
    <font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2"/>
      <color rgb="FFFF0000"/>
      <name val="Aptos"/>
      <family val="2"/>
    </font>
  </fonts>
  <fills count="6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3D2B1F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836539"/>
        <bgColor indexed="64"/>
      </patternFill>
    </fill>
    <fill>
      <patternFill patternType="solid">
        <fgColor rgb="FFA1866F"/>
        <bgColor indexed="64"/>
      </patternFill>
    </fill>
    <fill>
      <patternFill patternType="solid">
        <fgColor rgb="FFCBBBA0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5A2A19"/>
        <bgColor indexed="64"/>
      </patternFill>
    </fill>
    <fill>
      <patternFill patternType="solid">
        <fgColor rgb="FF7C3F1D"/>
        <bgColor indexed="64"/>
      </patternFill>
    </fill>
    <fill>
      <patternFill patternType="solid">
        <fgColor rgb="FF8B4000"/>
        <bgColor indexed="64"/>
      </patternFill>
    </fill>
    <fill>
      <patternFill patternType="solid">
        <fgColor rgb="FFA0522D"/>
        <bgColor indexed="64"/>
      </patternFill>
    </fill>
    <fill>
      <patternFill patternType="solid">
        <fgColor rgb="FF783C1D"/>
        <bgColor indexed="64"/>
      </patternFill>
    </fill>
    <fill>
      <patternFill patternType="solid">
        <fgColor rgb="FF8B3E2F"/>
        <bgColor indexed="64"/>
      </patternFill>
    </fill>
    <fill>
      <patternFill patternType="solid">
        <fgColor rgb="FFB94E3A"/>
        <bgColor indexed="64"/>
      </patternFill>
    </fill>
    <fill>
      <patternFill patternType="solid">
        <fgColor rgb="FFC2B280"/>
        <bgColor indexed="64"/>
      </patternFill>
    </fill>
    <fill>
      <patternFill patternType="solid">
        <fgColor rgb="FFD6C7A1"/>
        <bgColor indexed="64"/>
      </patternFill>
    </fill>
    <fill>
      <patternFill patternType="solid">
        <fgColor rgb="FF555555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32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32"/>
      </patternFill>
    </fill>
    <fill>
      <patternFill patternType="solid">
        <fgColor theme="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</fills>
  <borders count="1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12"/>
      </left>
      <right/>
      <top/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1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0" fontId="8" fillId="0" borderId="0"/>
    <xf numFmtId="0" fontId="21" fillId="0" borderId="0"/>
    <xf numFmtId="0" fontId="22" fillId="0" borderId="0"/>
    <xf numFmtId="0" fontId="8" fillId="0" borderId="0"/>
    <xf numFmtId="0" fontId="33" fillId="0" borderId="0"/>
    <xf numFmtId="0" fontId="6" fillId="0" borderId="0"/>
    <xf numFmtId="164" fontId="8" fillId="0" borderId="0" applyFont="0" applyFill="0" applyBorder="0" applyAlignment="0" applyProtection="0"/>
    <xf numFmtId="0" fontId="6" fillId="0" borderId="0"/>
    <xf numFmtId="0" fontId="6" fillId="0" borderId="0"/>
    <xf numFmtId="43" fontId="23" fillId="0" borderId="0" applyFont="0" applyFill="0" applyBorder="0" applyAlignment="0" applyProtection="0"/>
    <xf numFmtId="0" fontId="139" fillId="0" borderId="0"/>
    <xf numFmtId="0" fontId="139" fillId="0" borderId="0"/>
    <xf numFmtId="0" fontId="8" fillId="0" borderId="0"/>
    <xf numFmtId="0" fontId="5" fillId="0" borderId="0"/>
    <xf numFmtId="0" fontId="23" fillId="0" borderId="0"/>
    <xf numFmtId="0" fontId="159" fillId="0" borderId="0"/>
    <xf numFmtId="0" fontId="23" fillId="0" borderId="0"/>
    <xf numFmtId="0" fontId="4" fillId="0" borderId="0"/>
    <xf numFmtId="0" fontId="21" fillId="0" borderId="0"/>
    <xf numFmtId="0" fontId="3" fillId="0" borderId="0"/>
    <xf numFmtId="0" fontId="207" fillId="0" borderId="0"/>
    <xf numFmtId="0" fontId="2" fillId="0" borderId="0"/>
    <xf numFmtId="0" fontId="8" fillId="0" borderId="0"/>
    <xf numFmtId="0" fontId="139" fillId="0" borderId="0"/>
    <xf numFmtId="43" fontId="23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192" fontId="8" fillId="0" borderId="0" applyFont="0" applyFill="0" applyBorder="0" applyAlignment="0" applyProtection="0"/>
  </cellStyleXfs>
  <cellXfs count="4968">
    <xf numFmtId="0" fontId="0" fillId="0" borderId="0" xfId="0"/>
    <xf numFmtId="0" fontId="145" fillId="0" borderId="15" xfId="0" applyFont="1" applyBorder="1" applyAlignment="1">
      <alignment horizontal="center" vertical="center"/>
    </xf>
    <xf numFmtId="0" fontId="40" fillId="0" borderId="0" xfId="26" applyFont="1" applyAlignment="1">
      <alignment horizontal="left" vertical="center"/>
    </xf>
    <xf numFmtId="1" fontId="20" fillId="0" borderId="0" xfId="25" applyNumberFormat="1" applyFont="1" applyAlignment="1">
      <alignment horizontal="center" vertical="center"/>
    </xf>
    <xf numFmtId="0" fontId="40" fillId="0" borderId="0" xfId="3" applyFont="1" applyAlignment="1">
      <alignment horizontal="center"/>
    </xf>
    <xf numFmtId="0" fontId="59" fillId="0" borderId="0" xfId="3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1" fillId="0" borderId="0" xfId="0" applyFont="1" applyAlignment="1">
      <alignment horizontal="left" vertical="center"/>
    </xf>
    <xf numFmtId="0" fontId="10" fillId="0" borderId="1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0" xfId="0" applyFont="1"/>
    <xf numFmtId="0" fontId="10" fillId="0" borderId="16" xfId="0" applyFont="1" applyBorder="1"/>
    <xf numFmtId="0" fontId="10" fillId="0" borderId="28" xfId="0" applyFont="1" applyBorder="1"/>
    <xf numFmtId="0" fontId="13" fillId="0" borderId="16" xfId="0" applyFont="1" applyBorder="1"/>
    <xf numFmtId="0" fontId="13" fillId="0" borderId="0" xfId="0" applyFont="1"/>
    <xf numFmtId="0" fontId="10" fillId="0" borderId="16" xfId="0" applyFont="1" applyBorder="1" applyAlignment="1">
      <alignment vertical="top"/>
    </xf>
    <xf numFmtId="0" fontId="10" fillId="0" borderId="28" xfId="0" applyFont="1" applyBorder="1" applyAlignment="1">
      <alignment vertical="top"/>
    </xf>
    <xf numFmtId="0" fontId="10" fillId="0" borderId="0" xfId="0" applyFont="1" applyAlignment="1">
      <alignment vertical="top"/>
    </xf>
    <xf numFmtId="0" fontId="15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0" fillId="0" borderId="0" xfId="0" applyFont="1" applyAlignment="1">
      <alignment vertical="top" wrapText="1"/>
    </xf>
    <xf numFmtId="0" fontId="13" fillId="0" borderId="0" xfId="0" applyFont="1" applyAlignment="1">
      <alignment vertical="top"/>
    </xf>
    <xf numFmtId="0" fontId="11" fillId="0" borderId="16" xfId="0" applyFont="1" applyBorder="1"/>
    <xf numFmtId="0" fontId="11" fillId="0" borderId="0" xfId="0" applyFont="1"/>
    <xf numFmtId="0" fontId="11" fillId="0" borderId="28" xfId="0" applyFont="1" applyBorder="1"/>
    <xf numFmtId="0" fontId="16" fillId="0" borderId="16" xfId="0" applyFont="1" applyBorder="1"/>
    <xf numFmtId="0" fontId="16" fillId="0" borderId="0" xfId="0" applyFont="1"/>
    <xf numFmtId="0" fontId="16" fillId="0" borderId="28" xfId="0" applyFont="1" applyBorder="1"/>
    <xf numFmtId="0" fontId="13" fillId="0" borderId="16" xfId="0" applyFont="1" applyBorder="1" applyAlignment="1">
      <alignment vertical="top"/>
    </xf>
    <xf numFmtId="0" fontId="13" fillId="0" borderId="28" xfId="0" applyFont="1" applyBorder="1" applyAlignment="1">
      <alignment vertical="top"/>
    </xf>
    <xf numFmtId="0" fontId="13" fillId="0" borderId="16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0" borderId="28" xfId="0" applyFont="1" applyBorder="1" applyAlignment="1">
      <alignment vertical="center"/>
    </xf>
    <xf numFmtId="0" fontId="13" fillId="0" borderId="28" xfId="0" applyFont="1" applyBorder="1"/>
    <xf numFmtId="167" fontId="13" fillId="0" borderId="0" xfId="0" applyNumberFormat="1" applyFont="1" applyAlignment="1">
      <alignment horizontal="center"/>
    </xf>
    <xf numFmtId="0" fontId="10" fillId="0" borderId="13" xfId="0" applyFont="1" applyBorder="1"/>
    <xf numFmtId="0" fontId="10" fillId="0" borderId="21" xfId="0" applyFont="1" applyBorder="1"/>
    <xf numFmtId="0" fontId="10" fillId="0" borderId="29" xfId="0" applyFont="1" applyBorder="1"/>
    <xf numFmtId="0" fontId="18" fillId="0" borderId="0" xfId="0" applyFont="1"/>
    <xf numFmtId="0" fontId="18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7" fontId="13" fillId="0" borderId="0" xfId="0" applyNumberFormat="1" applyFont="1" applyAlignment="1">
      <alignment horizontal="left" vertical="center"/>
    </xf>
    <xf numFmtId="0" fontId="13" fillId="0" borderId="29" xfId="0" applyFont="1" applyBorder="1"/>
    <xf numFmtId="0" fontId="26" fillId="0" borderId="0" xfId="2" applyFont="1"/>
    <xf numFmtId="167" fontId="27" fillId="0" borderId="11" xfId="2" applyNumberFormat="1" applyFont="1" applyBorder="1" applyAlignment="1">
      <alignment horizontal="center"/>
    </xf>
    <xf numFmtId="167" fontId="26" fillId="0" borderId="0" xfId="2" applyNumberFormat="1" applyFont="1"/>
    <xf numFmtId="167" fontId="27" fillId="0" borderId="13" xfId="2" applyNumberFormat="1" applyFont="1" applyBorder="1" applyAlignment="1">
      <alignment horizontal="center"/>
    </xf>
    <xf numFmtId="167" fontId="27" fillId="0" borderId="15" xfId="2" applyNumberFormat="1" applyFont="1" applyBorder="1" applyAlignment="1">
      <alignment horizontal="center"/>
    </xf>
    <xf numFmtId="167" fontId="27" fillId="0" borderId="16" xfId="2" applyNumberFormat="1" applyFont="1" applyBorder="1" applyAlignment="1">
      <alignment horizontal="center"/>
    </xf>
    <xf numFmtId="167" fontId="27" fillId="0" borderId="12" xfId="2" applyNumberFormat="1" applyFont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8" fillId="0" borderId="0" xfId="0" applyFont="1" applyAlignment="1">
      <alignment horizontal="left" vertical="top"/>
    </xf>
    <xf numFmtId="167" fontId="13" fillId="0" borderId="6" xfId="0" applyNumberFormat="1" applyFont="1" applyBorder="1" applyAlignment="1">
      <alignment horizontal="center"/>
    </xf>
    <xf numFmtId="0" fontId="20" fillId="0" borderId="0" xfId="3" applyFont="1" applyAlignment="1">
      <alignment vertical="center"/>
    </xf>
    <xf numFmtId="0" fontId="20" fillId="0" borderId="6" xfId="3" applyFont="1" applyBorder="1" applyAlignment="1">
      <alignment horizontal="left" vertical="center"/>
    </xf>
    <xf numFmtId="167" fontId="20" fillId="0" borderId="6" xfId="3" applyNumberFormat="1" applyFont="1" applyBorder="1" applyAlignment="1">
      <alignment horizontal="center" vertical="center"/>
    </xf>
    <xf numFmtId="0" fontId="13" fillId="0" borderId="13" xfId="0" applyFont="1" applyBorder="1"/>
    <xf numFmtId="0" fontId="13" fillId="0" borderId="21" xfId="0" applyFont="1" applyBorder="1"/>
    <xf numFmtId="0" fontId="37" fillId="0" borderId="0" xfId="2" applyFont="1"/>
    <xf numFmtId="0" fontId="26" fillId="0" borderId="0" xfId="2" applyFont="1" applyAlignment="1">
      <alignment horizontal="center"/>
    </xf>
    <xf numFmtId="165" fontId="26" fillId="0" borderId="0" xfId="2" applyNumberFormat="1" applyFont="1"/>
    <xf numFmtId="0" fontId="26" fillId="0" borderId="25" xfId="2" applyFont="1" applyBorder="1"/>
    <xf numFmtId="0" fontId="26" fillId="0" borderId="24" xfId="2" applyFont="1" applyBorder="1"/>
    <xf numFmtId="49" fontId="26" fillId="0" borderId="0" xfId="2" applyNumberFormat="1" applyFont="1"/>
    <xf numFmtId="171" fontId="26" fillId="0" borderId="0" xfId="2" applyNumberFormat="1" applyFont="1"/>
    <xf numFmtId="166" fontId="26" fillId="0" borderId="0" xfId="2" applyNumberFormat="1" applyFont="1"/>
    <xf numFmtId="10" fontId="26" fillId="0" borderId="0" xfId="2" applyNumberFormat="1" applyFont="1"/>
    <xf numFmtId="14" fontId="26" fillId="0" borderId="0" xfId="2" applyNumberFormat="1" applyFont="1"/>
    <xf numFmtId="1" fontId="26" fillId="0" borderId="0" xfId="2" applyNumberFormat="1" applyFont="1" applyAlignment="1">
      <alignment horizontal="center"/>
    </xf>
    <xf numFmtId="2" fontId="26" fillId="0" borderId="0" xfId="2" applyNumberFormat="1" applyFont="1" applyAlignment="1">
      <alignment horizontal="center"/>
    </xf>
    <xf numFmtId="2" fontId="26" fillId="0" borderId="0" xfId="2" applyNumberFormat="1" applyFont="1"/>
    <xf numFmtId="167" fontId="38" fillId="0" borderId="0" xfId="2" applyNumberFormat="1" applyFont="1" applyAlignment="1">
      <alignment horizontal="center"/>
    </xf>
    <xf numFmtId="2" fontId="38" fillId="0" borderId="0" xfId="2" applyNumberFormat="1" applyFont="1" applyAlignment="1">
      <alignment horizontal="center"/>
    </xf>
    <xf numFmtId="2" fontId="38" fillId="0" borderId="0" xfId="2" applyNumberFormat="1" applyFont="1"/>
    <xf numFmtId="165" fontId="38" fillId="0" borderId="0" xfId="2" applyNumberFormat="1" applyFont="1" applyAlignment="1">
      <alignment horizontal="center"/>
    </xf>
    <xf numFmtId="0" fontId="38" fillId="0" borderId="0" xfId="2" applyFont="1"/>
    <xf numFmtId="165" fontId="38" fillId="0" borderId="0" xfId="2" applyNumberFormat="1" applyFont="1" applyAlignment="1">
      <alignment horizontal="right"/>
    </xf>
    <xf numFmtId="0" fontId="26" fillId="0" borderId="1" xfId="2" applyFont="1" applyBorder="1"/>
    <xf numFmtId="0" fontId="39" fillId="0" borderId="0" xfId="2" applyFont="1" applyAlignment="1">
      <alignment horizontal="left"/>
    </xf>
    <xf numFmtId="165" fontId="38" fillId="3" borderId="0" xfId="2" applyNumberFormat="1" applyFont="1" applyFill="1" applyAlignment="1">
      <alignment horizontal="right"/>
    </xf>
    <xf numFmtId="2" fontId="38" fillId="3" borderId="0" xfId="2" applyNumberFormat="1" applyFont="1" applyFill="1" applyAlignment="1">
      <alignment horizontal="center"/>
    </xf>
    <xf numFmtId="0" fontId="40" fillId="0" borderId="0" xfId="2" applyFont="1" applyAlignment="1">
      <alignment horizontal="left"/>
    </xf>
    <xf numFmtId="0" fontId="27" fillId="0" borderId="12" xfId="2" applyFont="1" applyBorder="1"/>
    <xf numFmtId="170" fontId="27" fillId="0" borderId="20" xfId="2" applyNumberFormat="1" applyFont="1" applyBorder="1" applyProtection="1">
      <protection locked="0"/>
    </xf>
    <xf numFmtId="0" fontId="26" fillId="0" borderId="4" xfId="2" applyFont="1" applyBorder="1"/>
    <xf numFmtId="0" fontId="26" fillId="0" borderId="3" xfId="2" applyFont="1" applyBorder="1"/>
    <xf numFmtId="0" fontId="27" fillId="0" borderId="8" xfId="2" applyFont="1" applyBorder="1"/>
    <xf numFmtId="0" fontId="27" fillId="0" borderId="2" xfId="2" applyFont="1" applyBorder="1" applyAlignment="1">
      <alignment horizontal="center"/>
    </xf>
    <xf numFmtId="0" fontId="26" fillId="0" borderId="5" xfId="2" applyFont="1" applyBorder="1"/>
    <xf numFmtId="0" fontId="43" fillId="0" borderId="0" xfId="2" applyFont="1"/>
    <xf numFmtId="0" fontId="43" fillId="0" borderId="0" xfId="2" applyFont="1" applyAlignment="1" applyProtection="1">
      <alignment horizontal="left"/>
      <protection locked="0"/>
    </xf>
    <xf numFmtId="0" fontId="43" fillId="0" borderId="5" xfId="2" applyFont="1" applyBorder="1" applyAlignment="1" applyProtection="1">
      <alignment horizontal="left"/>
      <protection locked="0"/>
    </xf>
    <xf numFmtId="0" fontId="45" fillId="0" borderId="0" xfId="2" applyFont="1"/>
    <xf numFmtId="0" fontId="26" fillId="2" borderId="0" xfId="2" applyFont="1" applyFill="1"/>
    <xf numFmtId="0" fontId="46" fillId="0" borderId="0" xfId="2" applyFont="1"/>
    <xf numFmtId="0" fontId="26" fillId="0" borderId="0" xfId="2" applyFont="1" applyAlignment="1">
      <alignment horizontal="right"/>
    </xf>
    <xf numFmtId="0" fontId="37" fillId="0" borderId="0" xfId="2" applyFont="1" applyProtection="1">
      <protection locked="0"/>
    </xf>
    <xf numFmtId="0" fontId="27" fillId="0" borderId="0" xfId="2" applyFont="1"/>
    <xf numFmtId="2" fontId="27" fillId="0" borderId="0" xfId="2" applyNumberFormat="1" applyFont="1" applyAlignment="1" applyProtection="1">
      <alignment horizontal="center"/>
      <protection locked="0"/>
    </xf>
    <xf numFmtId="165" fontId="26" fillId="0" borderId="0" xfId="2" applyNumberFormat="1" applyFont="1" applyAlignment="1">
      <alignment horizontal="center"/>
    </xf>
    <xf numFmtId="168" fontId="26" fillId="0" borderId="0" xfId="2" applyNumberFormat="1" applyFont="1" applyAlignment="1">
      <alignment horizontal="center"/>
    </xf>
    <xf numFmtId="0" fontId="27" fillId="0" borderId="10" xfId="2" applyFont="1" applyBorder="1" applyAlignment="1">
      <alignment horizontal="center"/>
    </xf>
    <xf numFmtId="0" fontId="27" fillId="0" borderId="18" xfId="2" applyFont="1" applyBorder="1" applyAlignment="1">
      <alignment horizontal="center"/>
    </xf>
    <xf numFmtId="0" fontId="27" fillId="0" borderId="9" xfId="2" applyFont="1" applyBorder="1" applyAlignment="1">
      <alignment horizontal="center"/>
    </xf>
    <xf numFmtId="0" fontId="27" fillId="0" borderId="16" xfId="2" applyFont="1" applyBorder="1" applyAlignment="1">
      <alignment horizontal="center"/>
    </xf>
    <xf numFmtId="0" fontId="27" fillId="0" borderId="8" xfId="2" applyFont="1" applyBorder="1" applyAlignment="1">
      <alignment horizontal="center"/>
    </xf>
    <xf numFmtId="0" fontId="27" fillId="0" borderId="17" xfId="2" applyFont="1" applyBorder="1" applyAlignment="1">
      <alignment horizontal="center"/>
    </xf>
    <xf numFmtId="0" fontId="27" fillId="0" borderId="12" xfId="2" applyFont="1" applyBorder="1" applyAlignment="1">
      <alignment horizontal="center"/>
    </xf>
    <xf numFmtId="2" fontId="27" fillId="0" borderId="12" xfId="2" applyNumberFormat="1" applyFont="1" applyBorder="1" applyAlignment="1">
      <alignment horizontal="center"/>
    </xf>
    <xf numFmtId="170" fontId="41" fillId="0" borderId="0" xfId="2" applyNumberFormat="1" applyFont="1" applyAlignment="1" applyProtection="1">
      <alignment horizontal="center"/>
      <protection locked="0"/>
    </xf>
    <xf numFmtId="2" fontId="26" fillId="0" borderId="0" xfId="2" applyNumberFormat="1" applyFont="1" applyAlignment="1">
      <alignment horizontal="left"/>
    </xf>
    <xf numFmtId="2" fontId="27" fillId="0" borderId="9" xfId="2" applyNumberFormat="1" applyFont="1" applyBorder="1" applyAlignment="1">
      <alignment horizontal="center"/>
    </xf>
    <xf numFmtId="0" fontId="27" fillId="0" borderId="14" xfId="2" applyFont="1" applyBorder="1" applyAlignment="1">
      <alignment horizontal="center"/>
    </xf>
    <xf numFmtId="2" fontId="27" fillId="0" borderId="14" xfId="2" applyNumberFormat="1" applyFont="1" applyBorder="1" applyAlignment="1">
      <alignment horizontal="center"/>
    </xf>
    <xf numFmtId="0" fontId="27" fillId="0" borderId="6" xfId="2" applyFont="1" applyBorder="1" applyAlignment="1">
      <alignment horizontal="center"/>
    </xf>
    <xf numFmtId="2" fontId="27" fillId="0" borderId="6" xfId="2" applyNumberFormat="1" applyFont="1" applyBorder="1" applyAlignment="1">
      <alignment horizontal="center"/>
    </xf>
    <xf numFmtId="0" fontId="38" fillId="0" borderId="0" xfId="2" applyFont="1" applyAlignment="1">
      <alignment horizontal="center"/>
    </xf>
    <xf numFmtId="0" fontId="47" fillId="0" borderId="0" xfId="2" applyFont="1"/>
    <xf numFmtId="0" fontId="47" fillId="0" borderId="0" xfId="2" applyFont="1" applyAlignment="1">
      <alignment horizontal="center"/>
    </xf>
    <xf numFmtId="1" fontId="38" fillId="0" borderId="0" xfId="2" applyNumberFormat="1" applyFont="1" applyAlignment="1">
      <alignment horizontal="center"/>
    </xf>
    <xf numFmtId="165" fontId="38" fillId="0" borderId="0" xfId="2" applyNumberFormat="1" applyFont="1"/>
    <xf numFmtId="167" fontId="38" fillId="0" borderId="0" xfId="2" applyNumberFormat="1" applyFont="1"/>
    <xf numFmtId="0" fontId="27" fillId="0" borderId="11" xfId="2" applyFont="1" applyBorder="1" applyAlignment="1">
      <alignment horizontal="center"/>
    </xf>
    <xf numFmtId="2" fontId="48" fillId="0" borderId="0" xfId="2" applyNumberFormat="1" applyFont="1" applyAlignment="1">
      <alignment horizontal="center"/>
    </xf>
    <xf numFmtId="2" fontId="27" fillId="0" borderId="6" xfId="3" applyNumberFormat="1" applyFont="1" applyBorder="1" applyAlignment="1">
      <alignment horizontal="center"/>
    </xf>
    <xf numFmtId="2" fontId="27" fillId="0" borderId="6" xfId="2" applyNumberFormat="1" applyFont="1" applyBorder="1" applyAlignment="1">
      <alignment horizontal="right"/>
    </xf>
    <xf numFmtId="0" fontId="49" fillId="0" borderId="0" xfId="2" applyFont="1"/>
    <xf numFmtId="169" fontId="26" fillId="0" borderId="0" xfId="2" applyNumberFormat="1" applyFont="1"/>
    <xf numFmtId="0" fontId="45" fillId="0" borderId="0" xfId="2" applyFont="1" applyAlignment="1">
      <alignment horizontal="center"/>
    </xf>
    <xf numFmtId="0" fontId="27" fillId="0" borderId="0" xfId="2" applyFont="1" applyAlignment="1">
      <alignment horizontal="right"/>
    </xf>
    <xf numFmtId="0" fontId="41" fillId="0" borderId="0" xfId="2" applyFont="1" applyAlignment="1" applyProtection="1">
      <alignment horizontal="left"/>
      <protection locked="0"/>
    </xf>
    <xf numFmtId="0" fontId="27" fillId="0" borderId="0" xfId="2" applyFont="1" applyProtection="1">
      <protection locked="0"/>
    </xf>
    <xf numFmtId="0" fontId="26" fillId="0" borderId="1" xfId="2" applyFont="1" applyBorder="1" applyAlignment="1">
      <alignment horizontal="center"/>
    </xf>
    <xf numFmtId="0" fontId="26" fillId="0" borderId="5" xfId="2" applyFont="1" applyBorder="1" applyAlignment="1">
      <alignment horizontal="center"/>
    </xf>
    <xf numFmtId="0" fontId="26" fillId="2" borderId="0" xfId="2" applyFont="1" applyFill="1" applyAlignment="1">
      <alignment horizontal="center"/>
    </xf>
    <xf numFmtId="0" fontId="40" fillId="0" borderId="0" xfId="2" applyFont="1" applyAlignment="1">
      <alignment horizontal="center"/>
    </xf>
    <xf numFmtId="20" fontId="41" fillId="0" borderId="6" xfId="2" applyNumberFormat="1" applyFont="1" applyBorder="1" applyAlignment="1" applyProtection="1">
      <alignment horizontal="center"/>
      <protection locked="0"/>
    </xf>
    <xf numFmtId="0" fontId="27" fillId="0" borderId="6" xfId="2" applyFont="1" applyBorder="1" applyAlignment="1" applyProtection="1">
      <alignment horizontal="center"/>
      <protection locked="0"/>
    </xf>
    <xf numFmtId="167" fontId="27" fillId="0" borderId="6" xfId="2" applyNumberFormat="1" applyFont="1" applyBorder="1" applyAlignment="1">
      <alignment horizontal="center"/>
    </xf>
    <xf numFmtId="166" fontId="27" fillId="0" borderId="6" xfId="2" applyNumberFormat="1" applyFont="1" applyBorder="1" applyAlignment="1">
      <alignment horizontal="center"/>
    </xf>
    <xf numFmtId="165" fontId="27" fillId="0" borderId="6" xfId="2" applyNumberFormat="1" applyFont="1" applyBorder="1" applyAlignment="1">
      <alignment horizontal="center"/>
    </xf>
    <xf numFmtId="2" fontId="27" fillId="0" borderId="7" xfId="2" applyNumberFormat="1" applyFont="1" applyBorder="1" applyAlignment="1">
      <alignment horizontal="center"/>
    </xf>
    <xf numFmtId="20" fontId="41" fillId="0" borderId="6" xfId="2" applyNumberFormat="1" applyFont="1" applyBorder="1" applyAlignment="1">
      <alignment horizontal="center"/>
    </xf>
    <xf numFmtId="2" fontId="26" fillId="0" borderId="6" xfId="2" applyNumberFormat="1" applyFont="1" applyBorder="1" applyAlignment="1">
      <alignment horizontal="right"/>
    </xf>
    <xf numFmtId="0" fontId="27" fillId="0" borderId="0" xfId="2" applyFont="1" applyAlignment="1">
      <alignment horizontal="center"/>
    </xf>
    <xf numFmtId="0" fontId="27" fillId="0" borderId="0" xfId="2" applyFont="1" applyAlignment="1">
      <alignment horizontal="left"/>
    </xf>
    <xf numFmtId="0" fontId="26" fillId="0" borderId="4" xfId="2" applyFont="1" applyBorder="1" applyAlignment="1">
      <alignment horizontal="center"/>
    </xf>
    <xf numFmtId="0" fontId="26" fillId="0" borderId="3" xfId="2" applyFont="1" applyBorder="1" applyAlignment="1">
      <alignment horizontal="center"/>
    </xf>
    <xf numFmtId="0" fontId="26" fillId="0" borderId="2" xfId="2" applyFont="1" applyBorder="1" applyAlignment="1">
      <alignment horizontal="center"/>
    </xf>
    <xf numFmtId="0" fontId="52" fillId="0" borderId="0" xfId="2" applyFont="1" applyAlignment="1" applyProtection="1">
      <alignment horizontal="left"/>
      <protection locked="0"/>
    </xf>
    <xf numFmtId="0" fontId="38" fillId="0" borderId="0" xfId="2" applyFont="1" applyAlignment="1">
      <alignment horizontal="right"/>
    </xf>
    <xf numFmtId="0" fontId="26" fillId="0" borderId="6" xfId="2" applyFont="1" applyBorder="1"/>
    <xf numFmtId="2" fontId="26" fillId="0" borderId="6" xfId="2" applyNumberFormat="1" applyFont="1" applyBorder="1"/>
    <xf numFmtId="0" fontId="53" fillId="0" borderId="0" xfId="0" applyFont="1"/>
    <xf numFmtId="0" fontId="54" fillId="5" borderId="0" xfId="3" applyFont="1" applyFill="1" applyAlignment="1">
      <alignment horizontal="centerContinuous" vertical="center"/>
    </xf>
    <xf numFmtId="0" fontId="55" fillId="5" borderId="0" xfId="3" applyFont="1" applyFill="1" applyAlignment="1">
      <alignment horizontal="centerContinuous" vertical="center"/>
    </xf>
    <xf numFmtId="0" fontId="20" fillId="0" borderId="15" xfId="3" applyFont="1" applyBorder="1" applyAlignment="1">
      <alignment vertical="center"/>
    </xf>
    <xf numFmtId="0" fontId="20" fillId="0" borderId="26" xfId="3" applyFont="1" applyBorder="1" applyAlignment="1">
      <alignment vertical="center"/>
    </xf>
    <xf numFmtId="0" fontId="56" fillId="0" borderId="27" xfId="3" applyFont="1" applyBorder="1" applyAlignment="1">
      <alignment readingOrder="1"/>
    </xf>
    <xf numFmtId="0" fontId="20" fillId="0" borderId="16" xfId="3" applyFont="1" applyBorder="1" applyAlignment="1">
      <alignment vertical="center"/>
    </xf>
    <xf numFmtId="0" fontId="56" fillId="0" borderId="28" xfId="3" applyFont="1" applyBorder="1" applyAlignment="1">
      <alignment readingOrder="1"/>
    </xf>
    <xf numFmtId="0" fontId="56" fillId="0" borderId="28" xfId="3" applyFont="1" applyBorder="1" applyAlignment="1">
      <alignment horizontal="center" readingOrder="1"/>
    </xf>
    <xf numFmtId="0" fontId="56" fillId="0" borderId="0" xfId="3" applyFont="1" applyAlignment="1">
      <alignment horizontal="center" readingOrder="1"/>
    </xf>
    <xf numFmtId="0" fontId="58" fillId="0" borderId="0" xfId="3" applyFont="1" applyAlignment="1">
      <alignment horizontal="center" vertical="center"/>
    </xf>
    <xf numFmtId="0" fontId="20" fillId="0" borderId="28" xfId="3" applyFont="1" applyBorder="1" applyAlignment="1">
      <alignment vertical="center"/>
    </xf>
    <xf numFmtId="0" fontId="20" fillId="0" borderId="29" xfId="3" applyFont="1" applyBorder="1" applyAlignment="1">
      <alignment vertical="center"/>
    </xf>
    <xf numFmtId="0" fontId="34" fillId="0" borderId="11" xfId="3" applyFont="1" applyBorder="1" applyAlignment="1">
      <alignment horizontal="centerContinuous" vertical="center"/>
    </xf>
    <xf numFmtId="0" fontId="35" fillId="0" borderId="30" xfId="3" applyFont="1" applyBorder="1" applyAlignment="1">
      <alignment horizontal="centerContinuous" vertical="center"/>
    </xf>
    <xf numFmtId="0" fontId="35" fillId="0" borderId="7" xfId="3" applyFont="1" applyBorder="1" applyAlignment="1">
      <alignment horizontal="centerContinuous" vertical="center"/>
    </xf>
    <xf numFmtId="0" fontId="35" fillId="0" borderId="0" xfId="3" applyFont="1" applyAlignment="1">
      <alignment vertical="center"/>
    </xf>
    <xf numFmtId="0" fontId="20" fillId="0" borderId="27" xfId="3" applyFont="1" applyBorder="1" applyAlignment="1">
      <alignment vertical="center"/>
    </xf>
    <xf numFmtId="0" fontId="31" fillId="0" borderId="26" xfId="3" applyFont="1" applyBorder="1" applyAlignment="1">
      <alignment vertical="center"/>
    </xf>
    <xf numFmtId="0" fontId="31" fillId="0" borderId="27" xfId="3" applyFont="1" applyBorder="1" applyAlignment="1">
      <alignment vertical="center"/>
    </xf>
    <xf numFmtId="0" fontId="20" fillId="0" borderId="48" xfId="3" applyFont="1" applyBorder="1" applyAlignment="1">
      <alignment vertical="center"/>
    </xf>
    <xf numFmtId="0" fontId="20" fillId="0" borderId="34" xfId="3" applyFont="1" applyBorder="1" applyAlignment="1">
      <alignment vertical="center"/>
    </xf>
    <xf numFmtId="0" fontId="20" fillId="0" borderId="33" xfId="3" applyFont="1" applyBorder="1" applyAlignment="1">
      <alignment vertical="center"/>
    </xf>
    <xf numFmtId="0" fontId="20" fillId="0" borderId="40" xfId="3" applyFont="1" applyBorder="1" applyAlignment="1">
      <alignment vertical="center"/>
    </xf>
    <xf numFmtId="0" fontId="20" fillId="0" borderId="38" xfId="3" applyFont="1" applyBorder="1" applyAlignment="1">
      <alignment vertical="center"/>
    </xf>
    <xf numFmtId="0" fontId="20" fillId="0" borderId="46" xfId="3" quotePrefix="1" applyFont="1" applyBorder="1" applyAlignment="1">
      <alignment horizontal="left" vertical="center"/>
    </xf>
    <xf numFmtId="0" fontId="20" fillId="0" borderId="47" xfId="3" applyFont="1" applyBorder="1" applyAlignment="1">
      <alignment vertical="center"/>
    </xf>
    <xf numFmtId="0" fontId="20" fillId="0" borderId="31" xfId="3" applyFont="1" applyBorder="1" applyAlignment="1">
      <alignment vertical="center"/>
    </xf>
    <xf numFmtId="0" fontId="20" fillId="0" borderId="46" xfId="3" applyFont="1" applyBorder="1" applyAlignment="1">
      <alignment vertical="center"/>
    </xf>
    <xf numFmtId="0" fontId="59" fillId="0" borderId="11" xfId="3" applyFont="1" applyBorder="1" applyAlignment="1">
      <alignment horizontal="centerContinuous" vertical="center"/>
    </xf>
    <xf numFmtId="0" fontId="40" fillId="0" borderId="30" xfId="3" applyFont="1" applyBorder="1" applyAlignment="1">
      <alignment horizontal="centerContinuous" vertical="center"/>
    </xf>
    <xf numFmtId="0" fontId="40" fillId="0" borderId="7" xfId="3" applyFont="1" applyBorder="1" applyAlignment="1">
      <alignment horizontal="centerContinuous" vertical="center"/>
    </xf>
    <xf numFmtId="0" fontId="40" fillId="0" borderId="0" xfId="3" applyFont="1" applyAlignment="1">
      <alignment vertical="center"/>
    </xf>
    <xf numFmtId="0" fontId="58" fillId="0" borderId="11" xfId="3" applyFont="1" applyBorder="1" applyAlignment="1">
      <alignment vertical="center"/>
    </xf>
    <xf numFmtId="0" fontId="61" fillId="0" borderId="30" xfId="3" applyFont="1" applyBorder="1" applyAlignment="1">
      <alignment vertical="center"/>
    </xf>
    <xf numFmtId="0" fontId="58" fillId="0" borderId="57" xfId="3" applyFont="1" applyBorder="1" applyAlignment="1">
      <alignment horizontal="center" vertical="center"/>
    </xf>
    <xf numFmtId="0" fontId="58" fillId="0" borderId="69" xfId="3" applyFont="1" applyBorder="1" applyAlignment="1">
      <alignment horizontal="center" vertical="center"/>
    </xf>
    <xf numFmtId="0" fontId="58" fillId="0" borderId="68" xfId="3" applyFont="1" applyBorder="1" applyAlignment="1">
      <alignment horizontal="center" vertical="center"/>
    </xf>
    <xf numFmtId="0" fontId="61" fillId="0" borderId="0" xfId="3" applyFont="1" applyAlignment="1">
      <alignment vertical="center"/>
    </xf>
    <xf numFmtId="0" fontId="61" fillId="0" borderId="16" xfId="3" applyFont="1" applyBorder="1" applyAlignment="1">
      <alignment vertical="center"/>
    </xf>
    <xf numFmtId="0" fontId="58" fillId="0" borderId="0" xfId="3" applyFont="1" applyAlignment="1">
      <alignment horizontal="centerContinuous" vertical="center"/>
    </xf>
    <xf numFmtId="0" fontId="61" fillId="0" borderId="28" xfId="3" applyFont="1" applyBorder="1" applyAlignment="1">
      <alignment vertical="center"/>
    </xf>
    <xf numFmtId="0" fontId="62" fillId="0" borderId="15" xfId="3" applyFont="1" applyBorder="1" applyAlignment="1">
      <alignment vertical="center"/>
    </xf>
    <xf numFmtId="0" fontId="62" fillId="0" borderId="26" xfId="3" applyFont="1" applyBorder="1" applyAlignment="1">
      <alignment vertical="center"/>
    </xf>
    <xf numFmtId="0" fontId="62" fillId="0" borderId="26" xfId="3" applyFont="1" applyBorder="1" applyAlignment="1">
      <alignment horizontal="left" vertical="center"/>
    </xf>
    <xf numFmtId="0" fontId="62" fillId="0" borderId="26" xfId="3" applyFont="1" applyBorder="1" applyAlignment="1">
      <alignment horizontal="right" vertical="center"/>
    </xf>
    <xf numFmtId="2" fontId="62" fillId="0" borderId="55" xfId="3" applyNumberFormat="1" applyFont="1" applyBorder="1" applyAlignment="1">
      <alignment horizontal="center" vertical="center"/>
    </xf>
    <xf numFmtId="2" fontId="62" fillId="0" borderId="67" xfId="3" applyNumberFormat="1" applyFont="1" applyBorder="1" applyAlignment="1">
      <alignment horizontal="center" vertical="center"/>
    </xf>
    <xf numFmtId="2" fontId="62" fillId="0" borderId="66" xfId="3" applyNumberFormat="1" applyFont="1" applyBorder="1" applyAlignment="1">
      <alignment horizontal="center" vertical="center"/>
    </xf>
    <xf numFmtId="0" fontId="62" fillId="0" borderId="0" xfId="3" applyFont="1" applyAlignment="1">
      <alignment vertical="center"/>
    </xf>
    <xf numFmtId="0" fontId="62" fillId="0" borderId="48" xfId="3" applyFont="1" applyBorder="1" applyAlignment="1">
      <alignment vertical="center"/>
    </xf>
    <xf numFmtId="0" fontId="62" fillId="0" borderId="34" xfId="3" applyFont="1" applyBorder="1" applyAlignment="1">
      <alignment vertical="center"/>
    </xf>
    <xf numFmtId="0" fontId="62" fillId="0" borderId="34" xfId="3" applyFont="1" applyBorder="1" applyAlignment="1">
      <alignment horizontal="left" vertical="center"/>
    </xf>
    <xf numFmtId="0" fontId="62" fillId="0" borderId="34" xfId="3" applyFont="1" applyBorder="1" applyAlignment="1">
      <alignment horizontal="right" vertical="center"/>
    </xf>
    <xf numFmtId="2" fontId="62" fillId="0" borderId="53" xfId="3" applyNumberFormat="1" applyFont="1" applyBorder="1" applyAlignment="1">
      <alignment horizontal="center" vertical="center"/>
    </xf>
    <xf numFmtId="2" fontId="62" fillId="0" borderId="65" xfId="3" applyNumberFormat="1" applyFont="1" applyBorder="1" applyAlignment="1">
      <alignment horizontal="center" vertical="center"/>
    </xf>
    <xf numFmtId="2" fontId="62" fillId="0" borderId="64" xfId="3" applyNumberFormat="1" applyFont="1" applyBorder="1" applyAlignment="1">
      <alignment horizontal="center" vertical="center"/>
    </xf>
    <xf numFmtId="0" fontId="62" fillId="0" borderId="46" xfId="3" applyFont="1" applyBorder="1" applyAlignment="1">
      <alignment vertical="center"/>
    </xf>
    <xf numFmtId="0" fontId="62" fillId="0" borderId="47" xfId="3" applyFont="1" applyBorder="1" applyAlignment="1">
      <alignment vertical="center"/>
    </xf>
    <xf numFmtId="0" fontId="62" fillId="0" borderId="47" xfId="3" applyFont="1" applyBorder="1" applyAlignment="1">
      <alignment horizontal="left" vertical="center"/>
    </xf>
    <xf numFmtId="0" fontId="62" fillId="0" borderId="47" xfId="3" applyFont="1" applyBorder="1" applyAlignment="1">
      <alignment horizontal="right" vertical="center"/>
    </xf>
    <xf numFmtId="167" fontId="62" fillId="0" borderId="51" xfId="3" applyNumberFormat="1" applyFont="1" applyBorder="1" applyAlignment="1">
      <alignment horizontal="center" vertical="center"/>
    </xf>
    <xf numFmtId="167" fontId="62" fillId="0" borderId="63" xfId="3" applyNumberFormat="1" applyFont="1" applyBorder="1" applyAlignment="1">
      <alignment horizontal="center" vertical="center"/>
    </xf>
    <xf numFmtId="167" fontId="62" fillId="0" borderId="62" xfId="3" applyNumberFormat="1" applyFont="1" applyBorder="1" applyAlignment="1">
      <alignment horizontal="center" vertical="center"/>
    </xf>
    <xf numFmtId="0" fontId="58" fillId="0" borderId="0" xfId="3" applyFont="1" applyAlignment="1">
      <alignment horizontal="right" vertical="center"/>
    </xf>
    <xf numFmtId="0" fontId="58" fillId="0" borderId="0" xfId="3" applyFont="1" applyAlignment="1">
      <alignment vertical="center"/>
    </xf>
    <xf numFmtId="0" fontId="58" fillId="0" borderId="0" xfId="3" quotePrefix="1" applyFont="1" applyAlignment="1">
      <alignment horizontal="center" vertical="center"/>
    </xf>
    <xf numFmtId="2" fontId="58" fillId="0" borderId="0" xfId="3" quotePrefix="1" applyNumberFormat="1" applyFont="1" applyAlignment="1">
      <alignment horizontal="center" vertical="center"/>
    </xf>
    <xf numFmtId="168" fontId="64" fillId="0" borderId="0" xfId="3" applyNumberFormat="1" applyFont="1" applyAlignment="1">
      <alignment horizontal="left" vertical="center"/>
    </xf>
    <xf numFmtId="0" fontId="61" fillId="0" borderId="0" xfId="3" applyFont="1" applyAlignment="1">
      <alignment horizontal="centerContinuous" vertical="center"/>
    </xf>
    <xf numFmtId="0" fontId="61" fillId="0" borderId="28" xfId="3" applyFont="1" applyBorder="1" applyAlignment="1">
      <alignment horizontal="centerContinuous" vertical="center"/>
    </xf>
    <xf numFmtId="0" fontId="61" fillId="0" borderId="0" xfId="3" applyFont="1" applyAlignment="1">
      <alignment horizontal="left" vertical="center"/>
    </xf>
    <xf numFmtId="0" fontId="61" fillId="0" borderId="0" xfId="3" applyFont="1" applyAlignment="1">
      <alignment horizontal="right" vertical="center"/>
    </xf>
    <xf numFmtId="167" fontId="61" fillId="0" borderId="0" xfId="3" applyNumberFormat="1" applyFont="1" applyAlignment="1">
      <alignment horizontal="center" vertical="center"/>
    </xf>
    <xf numFmtId="0" fontId="61" fillId="0" borderId="0" xfId="3" applyFont="1" applyAlignment="1">
      <alignment horizontal="center" vertical="center"/>
    </xf>
    <xf numFmtId="168" fontId="61" fillId="0" borderId="0" xfId="3" applyNumberFormat="1" applyFont="1" applyAlignment="1">
      <alignment horizontal="center" vertical="center"/>
    </xf>
    <xf numFmtId="168" fontId="61" fillId="0" borderId="0" xfId="3" applyNumberFormat="1" applyFont="1" applyAlignment="1">
      <alignment horizontal="left" vertical="center"/>
    </xf>
    <xf numFmtId="167" fontId="61" fillId="0" borderId="0" xfId="3" applyNumberFormat="1" applyFont="1" applyAlignment="1">
      <alignment horizontal="centerContinuous" vertical="center"/>
    </xf>
    <xf numFmtId="167" fontId="61" fillId="0" borderId="28" xfId="3" applyNumberFormat="1" applyFont="1" applyBorder="1" applyAlignment="1">
      <alignment horizontal="centerContinuous" vertical="center"/>
    </xf>
    <xf numFmtId="167" fontId="62" fillId="0" borderId="55" xfId="3" applyNumberFormat="1" applyFont="1" applyBorder="1" applyAlignment="1">
      <alignment horizontal="center" vertical="center"/>
    </xf>
    <xf numFmtId="167" fontId="62" fillId="0" borderId="67" xfId="3" applyNumberFormat="1" applyFont="1" applyBorder="1" applyAlignment="1">
      <alignment horizontal="center" vertical="center"/>
    </xf>
    <xf numFmtId="167" fontId="62" fillId="0" borderId="66" xfId="3" applyNumberFormat="1" applyFont="1" applyBorder="1" applyAlignment="1">
      <alignment horizontal="center" vertical="center"/>
    </xf>
    <xf numFmtId="0" fontId="31" fillId="0" borderId="13" xfId="6" applyFont="1" applyBorder="1"/>
    <xf numFmtId="0" fontId="31" fillId="0" borderId="21" xfId="6" applyFont="1" applyBorder="1"/>
    <xf numFmtId="0" fontId="31" fillId="0" borderId="29" xfId="6" applyFont="1" applyBorder="1"/>
    <xf numFmtId="167" fontId="62" fillId="0" borderId="53" xfId="3" applyNumberFormat="1" applyFont="1" applyBorder="1" applyAlignment="1">
      <alignment horizontal="center" vertical="center"/>
    </xf>
    <xf numFmtId="167" fontId="62" fillId="0" borderId="65" xfId="3" applyNumberFormat="1" applyFont="1" applyBorder="1" applyAlignment="1">
      <alignment horizontal="center" vertical="center"/>
    </xf>
    <xf numFmtId="167" fontId="62" fillId="0" borderId="64" xfId="3" applyNumberFormat="1" applyFont="1" applyBorder="1" applyAlignment="1">
      <alignment horizontal="center" vertical="center"/>
    </xf>
    <xf numFmtId="166" fontId="66" fillId="0" borderId="0" xfId="6" applyNumberFormat="1" applyFont="1" applyAlignment="1">
      <alignment vertical="center"/>
    </xf>
    <xf numFmtId="0" fontId="58" fillId="0" borderId="0" xfId="3" quotePrefix="1" applyFont="1" applyAlignment="1">
      <alignment vertical="center"/>
    </xf>
    <xf numFmtId="168" fontId="61" fillId="0" borderId="0" xfId="3" quotePrefix="1" applyNumberFormat="1" applyFont="1" applyAlignment="1">
      <alignment horizontal="centerContinuous" vertical="center"/>
    </xf>
    <xf numFmtId="168" fontId="61" fillId="0" borderId="0" xfId="3" applyNumberFormat="1" applyFont="1" applyAlignment="1">
      <alignment horizontal="centerContinuous" vertical="center"/>
    </xf>
    <xf numFmtId="0" fontId="31" fillId="0" borderId="11" xfId="3" applyFont="1" applyBorder="1" applyAlignment="1">
      <alignment horizontal="centerContinuous" vertical="center"/>
    </xf>
    <xf numFmtId="0" fontId="20" fillId="0" borderId="30" xfId="3" applyFont="1" applyBorder="1" applyAlignment="1">
      <alignment horizontal="centerContinuous" vertical="center"/>
    </xf>
    <xf numFmtId="0" fontId="20" fillId="0" borderId="7" xfId="3" applyFont="1" applyBorder="1" applyAlignment="1">
      <alignment horizontal="centerContinuous" vertical="center"/>
    </xf>
    <xf numFmtId="0" fontId="62" fillId="0" borderId="55" xfId="3" applyFont="1" applyBorder="1" applyAlignment="1">
      <alignment horizontal="center" vertical="center"/>
    </xf>
    <xf numFmtId="0" fontId="62" fillId="0" borderId="54" xfId="3" applyFont="1" applyBorder="1" applyAlignment="1">
      <alignment horizontal="center" vertical="center"/>
    </xf>
    <xf numFmtId="0" fontId="62" fillId="0" borderId="27" xfId="3" applyFont="1" applyBorder="1" applyAlignment="1">
      <alignment horizontal="center" vertical="center"/>
    </xf>
    <xf numFmtId="0" fontId="62" fillId="0" borderId="0" xfId="3" applyFont="1" applyAlignment="1">
      <alignment horizontal="center" vertical="center"/>
    </xf>
    <xf numFmtId="0" fontId="62" fillId="0" borderId="61" xfId="3" applyFont="1" applyBorder="1" applyAlignment="1">
      <alignment horizontal="center" vertical="center"/>
    </xf>
    <xf numFmtId="0" fontId="62" fillId="0" borderId="60" xfId="3" applyFont="1" applyBorder="1" applyAlignment="1">
      <alignment horizontal="center" vertical="center"/>
    </xf>
    <xf numFmtId="0" fontId="62" fillId="0" borderId="28" xfId="3" applyFont="1" applyBorder="1" applyAlignment="1">
      <alignment horizontal="center" vertical="center"/>
    </xf>
    <xf numFmtId="0" fontId="62" fillId="0" borderId="59" xfId="3" applyFont="1" applyBorder="1" applyAlignment="1">
      <alignment horizontal="center" vertical="center"/>
    </xf>
    <xf numFmtId="0" fontId="62" fillId="0" borderId="58" xfId="3" applyFont="1" applyBorder="1" applyAlignment="1">
      <alignment horizontal="center" vertical="center"/>
    </xf>
    <xf numFmtId="0" fontId="62" fillId="0" borderId="29" xfId="3" applyFont="1" applyBorder="1" applyAlignment="1">
      <alignment horizontal="center" vertical="center"/>
    </xf>
    <xf numFmtId="0" fontId="67" fillId="0" borderId="16" xfId="3" applyFont="1" applyBorder="1" applyAlignment="1">
      <alignment horizontal="center" vertical="center"/>
    </xf>
    <xf numFmtId="0" fontId="67" fillId="0" borderId="0" xfId="3" applyFont="1" applyAlignment="1">
      <alignment horizontal="center" vertical="center"/>
    </xf>
    <xf numFmtId="0" fontId="67" fillId="0" borderId="28" xfId="3" applyFont="1" applyBorder="1" applyAlignment="1">
      <alignment horizontal="center" vertical="center"/>
    </xf>
    <xf numFmtId="0" fontId="58" fillId="0" borderId="56" xfId="3" applyFont="1" applyBorder="1" applyAlignment="1">
      <alignment horizontal="center" vertical="center"/>
    </xf>
    <xf numFmtId="0" fontId="58" fillId="0" borderId="7" xfId="3" applyFont="1" applyBorder="1" applyAlignment="1">
      <alignment horizontal="center" vertical="center"/>
    </xf>
    <xf numFmtId="0" fontId="58" fillId="0" borderId="55" xfId="3" applyFont="1" applyBorder="1" applyAlignment="1">
      <alignment horizontal="center" vertical="center"/>
    </xf>
    <xf numFmtId="0" fontId="58" fillId="0" borderId="54" xfId="3" applyFont="1" applyBorder="1" applyAlignment="1">
      <alignment horizontal="center" vertical="center"/>
    </xf>
    <xf numFmtId="0" fontId="58" fillId="0" borderId="27" xfId="3" applyFont="1" applyBorder="1" applyAlignment="1">
      <alignment horizontal="center" vertical="center"/>
    </xf>
    <xf numFmtId="0" fontId="68" fillId="0" borderId="0" xfId="3" applyFont="1" applyAlignment="1">
      <alignment vertical="center"/>
    </xf>
    <xf numFmtId="0" fontId="61" fillId="0" borderId="16" xfId="3" applyFont="1" applyBorder="1" applyAlignment="1">
      <alignment horizontal="center" vertical="center"/>
    </xf>
    <xf numFmtId="0" fontId="61" fillId="0" borderId="28" xfId="3" applyFont="1" applyBorder="1" applyAlignment="1">
      <alignment horizontal="center" vertical="center"/>
    </xf>
    <xf numFmtId="0" fontId="61" fillId="0" borderId="15" xfId="3" applyFont="1" applyBorder="1" applyAlignment="1">
      <alignment horizontal="center" vertical="center"/>
    </xf>
    <xf numFmtId="0" fontId="61" fillId="0" borderId="26" xfId="3" applyFont="1" applyBorder="1" applyAlignment="1">
      <alignment horizontal="center" vertical="center"/>
    </xf>
    <xf numFmtId="0" fontId="61" fillId="0" borderId="27" xfId="3" applyFont="1" applyBorder="1" applyAlignment="1">
      <alignment horizontal="center" vertical="center"/>
    </xf>
    <xf numFmtId="0" fontId="61" fillId="0" borderId="16" xfId="3" applyFont="1" applyBorder="1" applyAlignment="1">
      <alignment horizontal="centerContinuous" vertical="center"/>
    </xf>
    <xf numFmtId="0" fontId="40" fillId="0" borderId="0" xfId="3" applyFont="1"/>
    <xf numFmtId="0" fontId="69" fillId="0" borderId="0" xfId="3" applyFont="1" applyAlignment="1">
      <alignment vertical="center"/>
    </xf>
    <xf numFmtId="0" fontId="61" fillId="0" borderId="13" xfId="3" applyFont="1" applyBorder="1" applyAlignment="1">
      <alignment horizontal="center" vertical="center"/>
    </xf>
    <xf numFmtId="0" fontId="61" fillId="0" borderId="21" xfId="3" applyFont="1" applyBorder="1" applyAlignment="1">
      <alignment horizontal="center" vertical="center"/>
    </xf>
    <xf numFmtId="0" fontId="61" fillId="0" borderId="13" xfId="3" applyFont="1" applyBorder="1" applyAlignment="1">
      <alignment horizontal="centerContinuous" vertical="center"/>
    </xf>
    <xf numFmtId="0" fontId="61" fillId="0" borderId="21" xfId="3" applyFont="1" applyBorder="1" applyAlignment="1">
      <alignment horizontal="centerContinuous" vertical="center"/>
    </xf>
    <xf numFmtId="0" fontId="40" fillId="0" borderId="21" xfId="3" applyFont="1" applyBorder="1"/>
    <xf numFmtId="0" fontId="61" fillId="0" borderId="29" xfId="3" applyFont="1" applyBorder="1" applyAlignment="1">
      <alignment horizontal="center" vertical="center"/>
    </xf>
    <xf numFmtId="0" fontId="70" fillId="0" borderId="0" xfId="3" applyFont="1" applyAlignment="1">
      <alignment vertical="center"/>
    </xf>
    <xf numFmtId="0" fontId="20" fillId="0" borderId="41" xfId="3" applyFont="1" applyBorder="1" applyAlignment="1">
      <alignment vertical="center"/>
    </xf>
    <xf numFmtId="0" fontId="20" fillId="0" borderId="44" xfId="3" applyFont="1" applyBorder="1" applyAlignment="1">
      <alignment vertical="center"/>
    </xf>
    <xf numFmtId="0" fontId="20" fillId="0" borderId="43" xfId="3" applyFont="1" applyBorder="1" applyAlignment="1">
      <alignment vertical="center"/>
    </xf>
    <xf numFmtId="0" fontId="73" fillId="0" borderId="11" xfId="3" applyFont="1" applyBorder="1" applyAlignment="1">
      <alignment horizontal="centerContinuous" vertical="center"/>
    </xf>
    <xf numFmtId="0" fontId="58" fillId="0" borderId="30" xfId="3" applyFont="1" applyBorder="1" applyAlignment="1">
      <alignment horizontal="centerContinuous" vertical="center"/>
    </xf>
    <xf numFmtId="0" fontId="59" fillId="0" borderId="7" xfId="3" applyFont="1" applyBorder="1" applyAlignment="1">
      <alignment horizontal="centerContinuous" vertical="center"/>
    </xf>
    <xf numFmtId="0" fontId="59" fillId="0" borderId="0" xfId="3" applyFont="1" applyAlignment="1">
      <alignment vertical="center"/>
    </xf>
    <xf numFmtId="0" fontId="59" fillId="0" borderId="0" xfId="3" applyFont="1" applyAlignment="1">
      <alignment horizontal="center" vertical="center"/>
    </xf>
    <xf numFmtId="0" fontId="74" fillId="0" borderId="11" xfId="3" applyFont="1" applyBorder="1" applyAlignment="1">
      <alignment horizontal="centerContinuous" vertical="center"/>
    </xf>
    <xf numFmtId="0" fontId="74" fillId="0" borderId="7" xfId="3" applyFont="1" applyBorder="1" applyAlignment="1">
      <alignment horizontal="centerContinuous" vertical="center"/>
    </xf>
    <xf numFmtId="0" fontId="75" fillId="0" borderId="11" xfId="3" applyFont="1" applyBorder="1" applyAlignment="1">
      <alignment horizontal="centerContinuous" vertical="center"/>
    </xf>
    <xf numFmtId="0" fontId="75" fillId="0" borderId="30" xfId="3" applyFont="1" applyBorder="1" applyAlignment="1">
      <alignment horizontal="centerContinuous" vertical="center"/>
    </xf>
    <xf numFmtId="0" fontId="76" fillId="0" borderId="11" xfId="3" applyFont="1" applyBorder="1" applyAlignment="1">
      <alignment horizontal="centerContinuous" vertical="center"/>
    </xf>
    <xf numFmtId="0" fontId="75" fillId="0" borderId="7" xfId="3" applyFont="1" applyBorder="1" applyAlignment="1">
      <alignment horizontal="centerContinuous" vertical="center"/>
    </xf>
    <xf numFmtId="167" fontId="62" fillId="0" borderId="0" xfId="3" applyNumberFormat="1" applyFont="1" applyAlignment="1">
      <alignment horizontal="center" vertical="center"/>
    </xf>
    <xf numFmtId="0" fontId="74" fillId="0" borderId="0" xfId="3" applyFont="1" applyAlignment="1">
      <alignment horizontal="center" vertical="center"/>
    </xf>
    <xf numFmtId="0" fontId="77" fillId="0" borderId="0" xfId="3" applyFont="1" applyAlignment="1">
      <alignment horizontal="center" vertical="center"/>
    </xf>
    <xf numFmtId="0" fontId="49" fillId="0" borderId="0" xfId="3" applyFont="1" applyAlignment="1">
      <alignment vertical="center"/>
    </xf>
    <xf numFmtId="0" fontId="78" fillId="0" borderId="0" xfId="3" applyFont="1" applyAlignment="1">
      <alignment vertical="center"/>
    </xf>
    <xf numFmtId="0" fontId="79" fillId="0" borderId="0" xfId="3" applyFont="1" applyAlignment="1">
      <alignment horizontal="centerContinuous" vertical="center"/>
    </xf>
    <xf numFmtId="0" fontId="61" fillId="0" borderId="44" xfId="3" applyFont="1" applyBorder="1" applyAlignment="1">
      <alignment vertical="center"/>
    </xf>
    <xf numFmtId="0" fontId="61" fillId="0" borderId="44" xfId="3" applyFont="1" applyBorder="1" applyAlignment="1">
      <alignment horizontal="left" vertical="center"/>
    </xf>
    <xf numFmtId="0" fontId="61" fillId="0" borderId="44" xfId="3" applyFont="1" applyBorder="1" applyAlignment="1">
      <alignment horizontal="right" vertical="center"/>
    </xf>
    <xf numFmtId="2" fontId="61" fillId="0" borderId="41" xfId="3" applyNumberFormat="1" applyFont="1" applyBorder="1" applyAlignment="1">
      <alignment horizontal="centerContinuous" vertical="center"/>
    </xf>
    <xf numFmtId="2" fontId="61" fillId="0" borderId="44" xfId="3" applyNumberFormat="1" applyFont="1" applyBorder="1" applyAlignment="1">
      <alignment horizontal="centerContinuous" vertical="center"/>
    </xf>
    <xf numFmtId="2" fontId="61" fillId="0" borderId="43" xfId="3" quotePrefix="1" applyNumberFormat="1" applyFont="1" applyBorder="1" applyAlignment="1">
      <alignment horizontal="centerContinuous" vertical="center"/>
    </xf>
    <xf numFmtId="167" fontId="40" fillId="0" borderId="0" xfId="3" applyNumberFormat="1" applyFont="1" applyAlignment="1">
      <alignment vertical="center"/>
    </xf>
    <xf numFmtId="0" fontId="61" fillId="0" borderId="38" xfId="3" applyFont="1" applyBorder="1" applyAlignment="1">
      <alignment vertical="center"/>
    </xf>
    <xf numFmtId="0" fontId="61" fillId="0" borderId="38" xfId="3" applyFont="1" applyBorder="1" applyAlignment="1">
      <alignment horizontal="left" vertical="center"/>
    </xf>
    <xf numFmtId="0" fontId="61" fillId="0" borderId="38" xfId="3" applyFont="1" applyBorder="1" applyAlignment="1">
      <alignment horizontal="right" vertical="center"/>
    </xf>
    <xf numFmtId="2" fontId="61" fillId="0" borderId="40" xfId="3" applyNumberFormat="1" applyFont="1" applyBorder="1" applyAlignment="1">
      <alignment horizontal="centerContinuous" vertical="center"/>
    </xf>
    <xf numFmtId="2" fontId="61" fillId="0" borderId="38" xfId="3" applyNumberFormat="1" applyFont="1" applyBorder="1" applyAlignment="1">
      <alignment horizontal="centerContinuous" vertical="center"/>
    </xf>
    <xf numFmtId="2" fontId="61" fillId="0" borderId="35" xfId="3" applyNumberFormat="1" applyFont="1" applyBorder="1" applyAlignment="1">
      <alignment horizontal="centerContinuous" vertical="center"/>
    </xf>
    <xf numFmtId="0" fontId="61" fillId="0" borderId="47" xfId="3" applyFont="1" applyBorder="1" applyAlignment="1">
      <alignment vertical="center"/>
    </xf>
    <xf numFmtId="0" fontId="61" fillId="0" borderId="47" xfId="3" applyFont="1" applyBorder="1" applyAlignment="1">
      <alignment horizontal="left" vertical="center"/>
    </xf>
    <xf numFmtId="0" fontId="61" fillId="0" borderId="47" xfId="3" applyFont="1" applyBorder="1" applyAlignment="1">
      <alignment horizontal="right" vertical="center"/>
    </xf>
    <xf numFmtId="167" fontId="80" fillId="0" borderId="0" xfId="3" applyNumberFormat="1" applyFont="1" applyAlignment="1">
      <alignment horizontal="centerContinuous" vertical="center"/>
    </xf>
    <xf numFmtId="167" fontId="81" fillId="0" borderId="0" xfId="3" applyNumberFormat="1" applyFont="1" applyAlignment="1">
      <alignment horizontal="centerContinuous" vertical="center"/>
    </xf>
    <xf numFmtId="167" fontId="82" fillId="0" borderId="0" xfId="3" applyNumberFormat="1" applyFont="1" applyAlignment="1">
      <alignment horizontal="centerContinuous" vertical="center"/>
    </xf>
    <xf numFmtId="167" fontId="61" fillId="0" borderId="0" xfId="3" applyNumberFormat="1" applyFont="1" applyAlignment="1">
      <alignment vertical="center"/>
    </xf>
    <xf numFmtId="167" fontId="61" fillId="0" borderId="41" xfId="3" applyNumberFormat="1" applyFont="1" applyBorder="1" applyAlignment="1">
      <alignment horizontal="centerContinuous" vertical="center"/>
    </xf>
    <xf numFmtId="167" fontId="61" fillId="0" borderId="44" xfId="3" applyNumberFormat="1" applyFont="1" applyBorder="1" applyAlignment="1">
      <alignment horizontal="centerContinuous" vertical="center"/>
    </xf>
    <xf numFmtId="167" fontId="61" fillId="0" borderId="43" xfId="3" applyNumberFormat="1" applyFont="1" applyBorder="1" applyAlignment="1">
      <alignment horizontal="centerContinuous" vertical="center"/>
    </xf>
    <xf numFmtId="167" fontId="61" fillId="0" borderId="40" xfId="3" applyNumberFormat="1" applyFont="1" applyBorder="1" applyAlignment="1">
      <alignment horizontal="centerContinuous" vertical="center"/>
    </xf>
    <xf numFmtId="167" fontId="61" fillId="0" borderId="38" xfId="3" applyNumberFormat="1" applyFont="1" applyBorder="1" applyAlignment="1">
      <alignment horizontal="centerContinuous" vertical="center"/>
    </xf>
    <xf numFmtId="167" fontId="61" fillId="0" borderId="35" xfId="3" applyNumberFormat="1" applyFont="1" applyBorder="1" applyAlignment="1">
      <alignment horizontal="centerContinuous" vertical="center"/>
    </xf>
    <xf numFmtId="167" fontId="61" fillId="0" borderId="46" xfId="3" applyNumberFormat="1" applyFont="1" applyBorder="1" applyAlignment="1">
      <alignment horizontal="centerContinuous" vertical="center"/>
    </xf>
    <xf numFmtId="167" fontId="61" fillId="0" borderId="47" xfId="3" applyNumberFormat="1" applyFont="1" applyBorder="1" applyAlignment="1">
      <alignment horizontal="centerContinuous" vertical="center"/>
    </xf>
    <xf numFmtId="167" fontId="61" fillId="0" borderId="31" xfId="3" applyNumberFormat="1" applyFont="1" applyBorder="1" applyAlignment="1">
      <alignment horizontal="centerContinuous" vertical="center"/>
    </xf>
    <xf numFmtId="167" fontId="58" fillId="0" borderId="35" xfId="3" applyNumberFormat="1" applyFont="1" applyBorder="1" applyAlignment="1">
      <alignment horizontal="centerContinuous" vertical="center"/>
    </xf>
    <xf numFmtId="167" fontId="58" fillId="0" borderId="38" xfId="3" applyNumberFormat="1" applyFont="1" applyBorder="1" applyAlignment="1">
      <alignment horizontal="centerContinuous" vertical="center"/>
    </xf>
    <xf numFmtId="167" fontId="84" fillId="0" borderId="35" xfId="3" applyNumberFormat="1" applyFont="1" applyBorder="1" applyAlignment="1">
      <alignment horizontal="centerContinuous" vertical="center"/>
    </xf>
    <xf numFmtId="0" fontId="20" fillId="0" borderId="13" xfId="3" applyFont="1" applyBorder="1" applyAlignment="1">
      <alignment vertical="center"/>
    </xf>
    <xf numFmtId="0" fontId="20" fillId="0" borderId="21" xfId="3" applyFont="1" applyBorder="1" applyAlignment="1">
      <alignment vertical="center"/>
    </xf>
    <xf numFmtId="0" fontId="61" fillId="0" borderId="21" xfId="3" applyFont="1" applyBorder="1" applyAlignment="1">
      <alignment vertical="center"/>
    </xf>
    <xf numFmtId="0" fontId="61" fillId="0" borderId="21" xfId="3" applyFont="1" applyBorder="1" applyAlignment="1">
      <alignment horizontal="left" vertical="center"/>
    </xf>
    <xf numFmtId="0" fontId="61" fillId="0" borderId="21" xfId="3" applyFont="1" applyBorder="1" applyAlignment="1">
      <alignment horizontal="right" vertical="center"/>
    </xf>
    <xf numFmtId="167" fontId="61" fillId="0" borderId="47" xfId="3" quotePrefix="1" applyNumberFormat="1" applyFont="1" applyBorder="1" applyAlignment="1">
      <alignment horizontal="centerContinuous" vertical="center"/>
    </xf>
    <xf numFmtId="167" fontId="61" fillId="0" borderId="46" xfId="3" quotePrefix="1" applyNumberFormat="1" applyFont="1" applyBorder="1" applyAlignment="1">
      <alignment horizontal="centerContinuous" vertical="center"/>
    </xf>
    <xf numFmtId="167" fontId="82" fillId="0" borderId="31" xfId="3" quotePrefix="1" applyNumberFormat="1" applyFont="1" applyBorder="1" applyAlignment="1">
      <alignment horizontal="centerContinuous" vertical="center"/>
    </xf>
    <xf numFmtId="167" fontId="61" fillId="0" borderId="0" xfId="3" applyNumberFormat="1" applyFont="1" applyAlignment="1">
      <alignment horizontal="left" vertical="center"/>
    </xf>
    <xf numFmtId="167" fontId="40" fillId="0" borderId="0" xfId="3" applyNumberFormat="1" applyFont="1" applyAlignment="1">
      <alignment horizontal="left" vertical="center"/>
    </xf>
    <xf numFmtId="167" fontId="66" fillId="0" borderId="0" xfId="3" quotePrefix="1" applyNumberFormat="1" applyFont="1" applyAlignment="1">
      <alignment horizontal="left" vertical="center"/>
    </xf>
    <xf numFmtId="167" fontId="40" fillId="0" borderId="0" xfId="3" quotePrefix="1" applyNumberFormat="1" applyFont="1" applyAlignment="1">
      <alignment horizontal="left" vertical="center"/>
    </xf>
    <xf numFmtId="167" fontId="40" fillId="0" borderId="0" xfId="3" applyNumberFormat="1" applyFont="1" applyAlignment="1">
      <alignment horizontal="centerContinuous" vertical="center"/>
    </xf>
    <xf numFmtId="0" fontId="31" fillId="0" borderId="30" xfId="3" applyFont="1" applyBorder="1" applyAlignment="1">
      <alignment horizontal="centerContinuous" vertical="center"/>
    </xf>
    <xf numFmtId="0" fontId="31" fillId="0" borderId="7" xfId="3" applyFont="1" applyBorder="1" applyAlignment="1">
      <alignment horizontal="centerContinuous" vertical="center"/>
    </xf>
    <xf numFmtId="0" fontId="13" fillId="0" borderId="11" xfId="3" applyFont="1" applyBorder="1" applyAlignment="1">
      <alignment vertical="center"/>
    </xf>
    <xf numFmtId="0" fontId="13" fillId="0" borderId="30" xfId="3" applyFont="1" applyBorder="1" applyAlignment="1">
      <alignment horizontal="center" vertical="center"/>
    </xf>
    <xf numFmtId="0" fontId="13" fillId="0" borderId="30" xfId="3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/>
    </xf>
    <xf numFmtId="0" fontId="18" fillId="0" borderId="30" xfId="3" applyFont="1" applyBorder="1" applyAlignment="1">
      <alignment horizontal="center" vertical="center"/>
    </xf>
    <xf numFmtId="0" fontId="61" fillId="0" borderId="14" xfId="3" applyFont="1" applyBorder="1" applyAlignment="1">
      <alignment horizontal="center" vertical="center"/>
    </xf>
    <xf numFmtId="0" fontId="61" fillId="0" borderId="15" xfId="3" applyFont="1" applyBorder="1" applyAlignment="1">
      <alignment horizontal="centerContinuous" vertical="center"/>
    </xf>
    <xf numFmtId="0" fontId="61" fillId="0" borderId="27" xfId="3" applyFont="1" applyBorder="1" applyAlignment="1">
      <alignment horizontal="centerContinuous" vertical="center"/>
    </xf>
    <xf numFmtId="0" fontId="61" fillId="0" borderId="14" xfId="3" applyFont="1" applyBorder="1" applyAlignment="1">
      <alignment horizontal="centerContinuous" vertical="center"/>
    </xf>
    <xf numFmtId="0" fontId="61" fillId="0" borderId="26" xfId="3" applyFont="1" applyBorder="1" applyAlignment="1">
      <alignment horizontal="centerContinuous" vertical="center"/>
    </xf>
    <xf numFmtId="0" fontId="24" fillId="0" borderId="15" xfId="3" applyFont="1" applyBorder="1" applyAlignment="1">
      <alignment horizontal="left" vertical="center"/>
    </xf>
    <xf numFmtId="0" fontId="24" fillId="0" borderId="26" xfId="3" applyFont="1" applyBorder="1" applyAlignment="1">
      <alignment horizontal="left" vertical="center"/>
    </xf>
    <xf numFmtId="0" fontId="24" fillId="0" borderId="26" xfId="3" applyFont="1" applyBorder="1" applyAlignment="1">
      <alignment horizontal="center" vertical="center"/>
    </xf>
    <xf numFmtId="167" fontId="24" fillId="0" borderId="14" xfId="3" applyNumberFormat="1" applyFont="1" applyBorder="1" applyAlignment="1">
      <alignment horizontal="center" vertical="center"/>
    </xf>
    <xf numFmtId="167" fontId="24" fillId="0" borderId="27" xfId="3" applyNumberFormat="1" applyFont="1" applyBorder="1" applyAlignment="1">
      <alignment horizontal="center" vertical="center"/>
    </xf>
    <xf numFmtId="0" fontId="61" fillId="0" borderId="9" xfId="3" applyFont="1" applyBorder="1" applyAlignment="1">
      <alignment horizontal="center" vertical="center"/>
    </xf>
    <xf numFmtId="0" fontId="61" fillId="0" borderId="9" xfId="3" applyFont="1" applyBorder="1" applyAlignment="1">
      <alignment horizontal="centerContinuous" vertical="center"/>
    </xf>
    <xf numFmtId="0" fontId="24" fillId="0" borderId="16" xfId="3" applyFont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0" xfId="3" applyFont="1" applyAlignment="1">
      <alignment horizontal="center" vertical="center"/>
    </xf>
    <xf numFmtId="167" fontId="24" fillId="0" borderId="9" xfId="3" applyNumberFormat="1" applyFont="1" applyBorder="1" applyAlignment="1">
      <alignment horizontal="center" vertical="center"/>
    </xf>
    <xf numFmtId="167" fontId="24" fillId="0" borderId="28" xfId="3" applyNumberFormat="1" applyFont="1" applyBorder="1" applyAlignment="1">
      <alignment horizontal="center" vertical="center"/>
    </xf>
    <xf numFmtId="0" fontId="61" fillId="0" borderId="12" xfId="3" applyFont="1" applyBorder="1" applyAlignment="1">
      <alignment horizontal="center" vertical="center"/>
    </xf>
    <xf numFmtId="0" fontId="61" fillId="0" borderId="29" xfId="3" applyFont="1" applyBorder="1" applyAlignment="1">
      <alignment horizontal="centerContinuous" vertical="center"/>
    </xf>
    <xf numFmtId="0" fontId="61" fillId="0" borderId="12" xfId="3" applyFont="1" applyBorder="1" applyAlignment="1">
      <alignment horizontal="centerContinuous" vertical="center"/>
    </xf>
    <xf numFmtId="0" fontId="61" fillId="0" borderId="13" xfId="3" applyFont="1" applyBorder="1" applyAlignment="1">
      <alignment vertical="center"/>
    </xf>
    <xf numFmtId="0" fontId="85" fillId="0" borderId="0" xfId="3" applyFont="1" applyAlignment="1">
      <alignment horizontal="center" vertical="center"/>
    </xf>
    <xf numFmtId="0" fontId="86" fillId="0" borderId="0" xfId="3" applyFont="1" applyAlignment="1">
      <alignment horizontal="center" vertical="center"/>
    </xf>
    <xf numFmtId="0" fontId="87" fillId="0" borderId="0" xfId="3" applyFont="1" applyAlignment="1">
      <alignment horizontal="center" vertical="center"/>
    </xf>
    <xf numFmtId="0" fontId="88" fillId="0" borderId="0" xfId="3" applyFont="1" applyAlignment="1">
      <alignment horizontal="center" vertical="center"/>
    </xf>
    <xf numFmtId="0" fontId="89" fillId="0" borderId="0" xfId="3" applyFont="1" applyAlignment="1">
      <alignment horizontal="center" vertical="center"/>
    </xf>
    <xf numFmtId="0" fontId="90" fillId="0" borderId="0" xfId="3" applyFont="1" applyAlignment="1">
      <alignment horizontal="center" vertical="center"/>
    </xf>
    <xf numFmtId="0" fontId="13" fillId="0" borderId="16" xfId="3" applyFont="1" applyBorder="1" applyAlignment="1">
      <alignment horizontal="left" vertical="center"/>
    </xf>
    <xf numFmtId="0" fontId="13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165" fontId="91" fillId="0" borderId="9" xfId="3" applyNumberFormat="1" applyFont="1" applyBorder="1" applyAlignment="1">
      <alignment horizontal="center" vertical="center"/>
    </xf>
    <xf numFmtId="165" fontId="91" fillId="0" borderId="28" xfId="3" applyNumberFormat="1" applyFont="1" applyBorder="1" applyAlignment="1">
      <alignment horizontal="center" vertical="center"/>
    </xf>
    <xf numFmtId="0" fontId="40" fillId="0" borderId="11" xfId="3" applyFont="1" applyBorder="1" applyAlignment="1">
      <alignment horizontal="center" vertical="center"/>
    </xf>
    <xf numFmtId="0" fontId="45" fillId="0" borderId="11" xfId="3" applyFont="1" applyBorder="1" applyAlignment="1">
      <alignment horizontal="centerContinuous" vertical="center"/>
    </xf>
    <xf numFmtId="0" fontId="86" fillId="0" borderId="7" xfId="3" applyFont="1" applyBorder="1" applyAlignment="1">
      <alignment horizontal="centerContinuous" vertical="center"/>
    </xf>
    <xf numFmtId="0" fontId="40" fillId="0" borderId="6" xfId="3" applyFont="1" applyBorder="1" applyAlignment="1">
      <alignment horizontal="center" vertical="center"/>
    </xf>
    <xf numFmtId="0" fontId="92" fillId="0" borderId="11" xfId="3" applyFont="1" applyBorder="1" applyAlignment="1">
      <alignment horizontal="centerContinuous" vertical="center"/>
    </xf>
    <xf numFmtId="0" fontId="88" fillId="0" borderId="30" xfId="3" applyFont="1" applyBorder="1" applyAlignment="1">
      <alignment horizontal="centerContinuous" vertical="center"/>
    </xf>
    <xf numFmtId="0" fontId="88" fillId="0" borderId="7" xfId="3" applyFont="1" applyBorder="1" applyAlignment="1">
      <alignment horizontal="centerContinuous" vertical="center"/>
    </xf>
    <xf numFmtId="0" fontId="78" fillId="0" borderId="11" xfId="3" applyFont="1" applyBorder="1" applyAlignment="1">
      <alignment horizontal="centerContinuous" vertical="center"/>
    </xf>
    <xf numFmtId="0" fontId="90" fillId="0" borderId="7" xfId="3" applyFont="1" applyBorder="1" applyAlignment="1">
      <alignment horizontal="centerContinuous" vertical="center"/>
    </xf>
    <xf numFmtId="0" fontId="13" fillId="0" borderId="16" xfId="3" quotePrefix="1" applyFont="1" applyBorder="1" applyAlignment="1">
      <alignment horizontal="left" vertical="center"/>
    </xf>
    <xf numFmtId="0" fontId="20" fillId="0" borderId="42" xfId="3" applyFont="1" applyBorder="1" applyAlignment="1">
      <alignment horizontal="center" vertical="center"/>
    </xf>
    <xf numFmtId="2" fontId="72" fillId="0" borderId="35" xfId="3" applyNumberFormat="1" applyFont="1" applyBorder="1" applyAlignment="1">
      <alignment horizontal="centerContinuous" vertical="center"/>
    </xf>
    <xf numFmtId="0" fontId="20" fillId="0" borderId="45" xfId="3" applyFont="1" applyBorder="1" applyAlignment="1">
      <alignment horizontal="center" vertical="center"/>
    </xf>
    <xf numFmtId="2" fontId="88" fillId="0" borderId="44" xfId="3" applyNumberFormat="1" applyFont="1" applyBorder="1" applyAlignment="1">
      <alignment horizontal="centerContinuous" vertical="center"/>
    </xf>
    <xf numFmtId="2" fontId="88" fillId="0" borderId="43" xfId="3" applyNumberFormat="1" applyFont="1" applyBorder="1" applyAlignment="1">
      <alignment horizontal="centerContinuous" vertical="center"/>
    </xf>
    <xf numFmtId="2" fontId="90" fillId="0" borderId="35" xfId="3" applyNumberFormat="1" applyFont="1" applyBorder="1" applyAlignment="1">
      <alignment horizontal="centerContinuous" vertical="center"/>
    </xf>
    <xf numFmtId="0" fontId="13" fillId="0" borderId="13" xfId="3" quotePrefix="1" applyFont="1" applyBorder="1" applyAlignment="1">
      <alignment horizontal="left" vertical="center"/>
    </xf>
    <xf numFmtId="0" fontId="13" fillId="0" borderId="21" xfId="3" applyFont="1" applyBorder="1" applyAlignment="1">
      <alignment horizontal="left" vertical="center"/>
    </xf>
    <xf numFmtId="0" fontId="13" fillId="0" borderId="21" xfId="3" applyFont="1" applyBorder="1" applyAlignment="1">
      <alignment horizontal="center" vertical="center"/>
    </xf>
    <xf numFmtId="167" fontId="24" fillId="0" borderId="12" xfId="3" applyNumberFormat="1" applyFont="1" applyBorder="1" applyAlignment="1">
      <alignment horizontal="center" vertical="center"/>
    </xf>
    <xf numFmtId="167" fontId="24" fillId="0" borderId="29" xfId="3" applyNumberFormat="1" applyFont="1" applyBorder="1" applyAlignment="1">
      <alignment horizontal="center" vertical="center"/>
    </xf>
    <xf numFmtId="0" fontId="20" fillId="0" borderId="37" xfId="3" applyFont="1" applyBorder="1" applyAlignment="1">
      <alignment horizontal="center" vertical="center"/>
    </xf>
    <xf numFmtId="2" fontId="72" fillId="0" borderId="36" xfId="3" applyNumberFormat="1" applyFont="1" applyBorder="1" applyAlignment="1">
      <alignment horizontal="centerContinuous" vertical="center"/>
    </xf>
    <xf numFmtId="2" fontId="88" fillId="0" borderId="38" xfId="3" applyNumberFormat="1" applyFont="1" applyBorder="1" applyAlignment="1">
      <alignment horizontal="centerContinuous" vertical="center"/>
    </xf>
    <xf numFmtId="2" fontId="88" fillId="0" borderId="35" xfId="3" applyNumberFormat="1" applyFont="1" applyBorder="1" applyAlignment="1">
      <alignment horizontal="centerContinuous" vertical="center"/>
    </xf>
    <xf numFmtId="2" fontId="90" fillId="0" borderId="36" xfId="3" applyNumberFormat="1" applyFont="1" applyBorder="1" applyAlignment="1">
      <alignment horizontal="centerContinuous" vertical="center"/>
    </xf>
    <xf numFmtId="0" fontId="13" fillId="0" borderId="15" xfId="3" quotePrefix="1" applyFont="1" applyBorder="1" applyAlignment="1">
      <alignment horizontal="left" vertical="center"/>
    </xf>
    <xf numFmtId="0" fontId="13" fillId="0" borderId="26" xfId="3" applyFont="1" applyBorder="1" applyAlignment="1">
      <alignment horizontal="left" vertical="center"/>
    </xf>
    <xf numFmtId="0" fontId="13" fillId="0" borderId="26" xfId="3" applyFont="1" applyBorder="1" applyAlignment="1">
      <alignment horizontal="center" vertical="center"/>
    </xf>
    <xf numFmtId="167" fontId="24" fillId="0" borderId="11" xfId="3" applyNumberFormat="1" applyFont="1" applyBorder="1" applyAlignment="1">
      <alignment horizontal="centerContinuous" vertical="center"/>
    </xf>
    <xf numFmtId="167" fontId="91" fillId="0" borderId="7" xfId="3" applyNumberFormat="1" applyFont="1" applyBorder="1" applyAlignment="1">
      <alignment horizontal="centerContinuous" vertical="center"/>
    </xf>
    <xf numFmtId="167" fontId="91" fillId="4" borderId="27" xfId="3" applyNumberFormat="1" applyFont="1" applyFill="1" applyBorder="1" applyAlignment="1">
      <alignment horizontal="center" vertical="center"/>
    </xf>
    <xf numFmtId="2" fontId="20" fillId="0" borderId="0" xfId="3" applyNumberFormat="1" applyFont="1" applyAlignment="1">
      <alignment vertical="center"/>
    </xf>
    <xf numFmtId="2" fontId="90" fillId="0" borderId="0" xfId="3" applyNumberFormat="1" applyFont="1" applyAlignment="1">
      <alignment horizontal="centerContinuous" vertical="center"/>
    </xf>
    <xf numFmtId="2" fontId="55" fillId="0" borderId="36" xfId="3" applyNumberFormat="1" applyFont="1" applyBorder="1" applyAlignment="1">
      <alignment horizontal="centerContinuous" vertical="center"/>
    </xf>
    <xf numFmtId="0" fontId="13" fillId="0" borderId="13" xfId="3" applyFont="1" applyBorder="1" applyAlignment="1">
      <alignment horizontal="left" vertical="center"/>
    </xf>
    <xf numFmtId="167" fontId="91" fillId="4" borderId="13" xfId="3" applyNumberFormat="1" applyFont="1" applyFill="1" applyBorder="1" applyAlignment="1">
      <alignment horizontal="center" vertical="center"/>
    </xf>
    <xf numFmtId="167" fontId="24" fillId="0" borderId="6" xfId="3" applyNumberFormat="1" applyFont="1" applyBorder="1" applyAlignment="1">
      <alignment horizontal="center" vertical="center"/>
    </xf>
    <xf numFmtId="167" fontId="24" fillId="4" borderId="27" xfId="3" applyNumberFormat="1" applyFont="1" applyFill="1" applyBorder="1" applyAlignment="1">
      <alignment horizontal="center" vertical="center"/>
    </xf>
    <xf numFmtId="167" fontId="24" fillId="4" borderId="13" xfId="3" applyNumberFormat="1" applyFont="1" applyFill="1" applyBorder="1" applyAlignment="1">
      <alignment horizontal="center" vertical="center"/>
    </xf>
    <xf numFmtId="165" fontId="91" fillId="0" borderId="0" xfId="3" applyNumberFormat="1" applyFont="1" applyAlignment="1">
      <alignment horizontal="center" vertical="center"/>
    </xf>
    <xf numFmtId="167" fontId="24" fillId="0" borderId="15" xfId="3" applyNumberFormat="1" applyFont="1" applyBorder="1" applyAlignment="1">
      <alignment horizontal="center" vertical="center"/>
    </xf>
    <xf numFmtId="165" fontId="24" fillId="0" borderId="26" xfId="3" applyNumberFormat="1" applyFont="1" applyBorder="1" applyAlignment="1">
      <alignment horizontal="centerContinuous" vertical="center"/>
    </xf>
    <xf numFmtId="165" fontId="91" fillId="0" borderId="26" xfId="3" applyNumberFormat="1" applyFont="1" applyBorder="1" applyAlignment="1">
      <alignment horizontal="centerContinuous" vertical="center"/>
    </xf>
    <xf numFmtId="165" fontId="91" fillId="0" borderId="27" xfId="3" applyNumberFormat="1" applyFont="1" applyBorder="1" applyAlignment="1">
      <alignment horizontal="centerContinuous" vertical="center"/>
    </xf>
    <xf numFmtId="167" fontId="24" fillId="0" borderId="13" xfId="3" applyNumberFormat="1" applyFont="1" applyBorder="1" applyAlignment="1">
      <alignment horizontal="center" vertical="center"/>
    </xf>
    <xf numFmtId="1" fontId="93" fillId="0" borderId="6" xfId="3" applyNumberFormat="1" applyFont="1" applyBorder="1" applyAlignment="1">
      <alignment horizontal="center" vertical="center"/>
    </xf>
    <xf numFmtId="167" fontId="24" fillId="0" borderId="16" xfId="3" applyNumberFormat="1" applyFont="1" applyBorder="1" applyAlignment="1">
      <alignment horizontal="center" vertical="center"/>
    </xf>
    <xf numFmtId="2" fontId="94" fillId="0" borderId="36" xfId="3" applyNumberFormat="1" applyFont="1" applyBorder="1" applyAlignment="1">
      <alignment horizontal="centerContinuous" vertical="center"/>
    </xf>
    <xf numFmtId="2" fontId="86" fillId="0" borderId="36" xfId="3" applyNumberFormat="1" applyFont="1" applyBorder="1" applyAlignment="1">
      <alignment horizontal="centerContinuous" vertical="center"/>
    </xf>
    <xf numFmtId="2" fontId="86" fillId="0" borderId="35" xfId="3" applyNumberFormat="1" applyFont="1" applyBorder="1" applyAlignment="1">
      <alignment horizontal="centerContinuous" vertical="center"/>
    </xf>
    <xf numFmtId="2" fontId="95" fillId="0" borderId="34" xfId="3" applyNumberFormat="1" applyFont="1" applyBorder="1" applyAlignment="1">
      <alignment horizontal="centerContinuous" vertical="center"/>
    </xf>
    <xf numFmtId="2" fontId="88" fillId="0" borderId="33" xfId="3" applyNumberFormat="1" applyFont="1" applyBorder="1" applyAlignment="1">
      <alignment horizontal="centerContinuous" vertical="center"/>
    </xf>
    <xf numFmtId="2" fontId="94" fillId="0" borderId="16" xfId="3" applyNumberFormat="1" applyFont="1" applyBorder="1" applyAlignment="1">
      <alignment horizontal="centerContinuous" vertical="center"/>
    </xf>
    <xf numFmtId="2" fontId="55" fillId="0" borderId="40" xfId="3" applyNumberFormat="1" applyFont="1" applyBorder="1" applyAlignment="1">
      <alignment horizontal="centerContinuous" vertical="center"/>
    </xf>
    <xf numFmtId="2" fontId="86" fillId="0" borderId="40" xfId="3" applyNumberFormat="1" applyFont="1" applyBorder="1" applyAlignment="1">
      <alignment horizontal="centerContinuous" vertical="center"/>
    </xf>
    <xf numFmtId="0" fontId="13" fillId="0" borderId="9" xfId="3" applyFont="1" applyBorder="1" applyAlignment="1">
      <alignment vertical="center"/>
    </xf>
    <xf numFmtId="0" fontId="13" fillId="0" borderId="16" xfId="3" applyFont="1" applyBorder="1" applyAlignment="1">
      <alignment vertical="center"/>
    </xf>
    <xf numFmtId="0" fontId="13" fillId="0" borderId="28" xfId="3" applyFont="1" applyBorder="1" applyAlignment="1">
      <alignment vertical="center"/>
    </xf>
    <xf numFmtId="0" fontId="20" fillId="0" borderId="9" xfId="3" applyFont="1" applyBorder="1" applyAlignment="1">
      <alignment vertical="center"/>
    </xf>
    <xf numFmtId="2" fontId="86" fillId="0" borderId="39" xfId="3" applyNumberFormat="1" applyFont="1" applyBorder="1" applyAlignment="1">
      <alignment horizontal="centerContinuous" vertical="center"/>
    </xf>
    <xf numFmtId="0" fontId="20" fillId="0" borderId="32" xfId="3" applyFont="1" applyBorder="1" applyAlignment="1">
      <alignment horizontal="center" vertical="center"/>
    </xf>
    <xf numFmtId="2" fontId="86" fillId="0" borderId="13" xfId="3" applyNumberFormat="1" applyFont="1" applyBorder="1" applyAlignment="1">
      <alignment horizontal="centerContinuous" vertical="center"/>
    </xf>
    <xf numFmtId="2" fontId="86" fillId="0" borderId="31" xfId="3" applyNumberFormat="1" applyFont="1" applyBorder="1" applyAlignment="1">
      <alignment horizontal="centerContinuous" vertical="center"/>
    </xf>
    <xf numFmtId="2" fontId="55" fillId="0" borderId="16" xfId="3" applyNumberFormat="1" applyFont="1" applyBorder="1" applyAlignment="1">
      <alignment horizontal="centerContinuous" vertical="center"/>
    </xf>
    <xf numFmtId="2" fontId="88" fillId="0" borderId="34" xfId="3" applyNumberFormat="1" applyFont="1" applyBorder="1" applyAlignment="1">
      <alignment horizontal="centerContinuous" vertical="center"/>
    </xf>
    <xf numFmtId="2" fontId="90" fillId="0" borderId="13" xfId="3" applyNumberFormat="1" applyFont="1" applyBorder="1" applyAlignment="1">
      <alignment horizontal="centerContinuous" vertical="center"/>
    </xf>
    <xf numFmtId="2" fontId="90" fillId="0" borderId="31" xfId="3" applyNumberFormat="1" applyFont="1" applyBorder="1" applyAlignment="1">
      <alignment horizontal="centerContinuous" vertical="center"/>
    </xf>
    <xf numFmtId="0" fontId="20" fillId="0" borderId="12" xfId="3" applyFont="1" applyBorder="1" applyAlignment="1">
      <alignment vertical="center"/>
    </xf>
    <xf numFmtId="2" fontId="94" fillId="0" borderId="26" xfId="3" applyNumberFormat="1" applyFont="1" applyBorder="1" applyAlignment="1">
      <alignment horizontal="centerContinuous" vertical="center"/>
    </xf>
    <xf numFmtId="2" fontId="88" fillId="0" borderId="26" xfId="3" applyNumberFormat="1" applyFont="1" applyBorder="1" applyAlignment="1">
      <alignment horizontal="centerContinuous" vertical="center"/>
    </xf>
    <xf numFmtId="2" fontId="94" fillId="0" borderId="0" xfId="3" applyNumberFormat="1" applyFont="1" applyAlignment="1">
      <alignment horizontal="centerContinuous" vertical="center"/>
    </xf>
    <xf numFmtId="2" fontId="95" fillId="0" borderId="0" xfId="3" applyNumberFormat="1" applyFont="1" applyAlignment="1">
      <alignment horizontal="centerContinuous" vertical="center"/>
    </xf>
    <xf numFmtId="2" fontId="88" fillId="0" borderId="0" xfId="3" applyNumberFormat="1" applyFont="1" applyAlignment="1">
      <alignment horizontal="centerContinuous" vertical="center"/>
    </xf>
    <xf numFmtId="0" fontId="59" fillId="0" borderId="6" xfId="3" applyFont="1" applyBorder="1" applyAlignment="1">
      <alignment horizontal="center" vertical="center"/>
    </xf>
    <xf numFmtId="0" fontId="62" fillId="0" borderId="30" xfId="3" applyFont="1" applyBorder="1" applyAlignment="1">
      <alignment horizontal="centerContinuous" vertical="center"/>
    </xf>
    <xf numFmtId="0" fontId="59" fillId="0" borderId="7" xfId="3" applyFont="1" applyBorder="1" applyAlignment="1">
      <alignment horizontal="center" vertical="center"/>
    </xf>
    <xf numFmtId="0" fontId="62" fillId="0" borderId="7" xfId="3" applyFont="1" applyBorder="1" applyAlignment="1">
      <alignment horizontal="centerContinuous" vertical="center"/>
    </xf>
    <xf numFmtId="167" fontId="61" fillId="0" borderId="9" xfId="3" applyNumberFormat="1" applyFont="1" applyBorder="1" applyAlignment="1">
      <alignment horizontal="center" vertical="center"/>
    </xf>
    <xf numFmtId="167" fontId="70" fillId="0" borderId="15" xfId="3" applyNumberFormat="1" applyFont="1" applyBorder="1" applyAlignment="1">
      <alignment horizontal="center" vertical="center"/>
    </xf>
    <xf numFmtId="167" fontId="61" fillId="0" borderId="27" xfId="3" applyNumberFormat="1" applyFont="1" applyBorder="1" applyAlignment="1">
      <alignment horizontal="center" vertical="center"/>
    </xf>
    <xf numFmtId="0" fontId="20" fillId="0" borderId="6" xfId="3" applyFont="1" applyBorder="1" applyAlignment="1">
      <alignment horizontal="center" vertical="center"/>
    </xf>
    <xf numFmtId="0" fontId="20" fillId="0" borderId="7" xfId="3" applyFont="1" applyBorder="1" applyAlignment="1">
      <alignment horizontal="center" vertical="center"/>
    </xf>
    <xf numFmtId="167" fontId="70" fillId="0" borderId="16" xfId="3" applyNumberFormat="1" applyFont="1" applyBorder="1" applyAlignment="1">
      <alignment horizontal="center" vertical="center"/>
    </xf>
    <xf numFmtId="167" fontId="61" fillId="0" borderId="28" xfId="3" applyNumberFormat="1" applyFont="1" applyBorder="1" applyAlignment="1">
      <alignment horizontal="center" vertical="center"/>
    </xf>
    <xf numFmtId="167" fontId="61" fillId="0" borderId="12" xfId="3" applyNumberFormat="1" applyFont="1" applyBorder="1" applyAlignment="1">
      <alignment horizontal="center" vertical="center"/>
    </xf>
    <xf numFmtId="167" fontId="61" fillId="0" borderId="29" xfId="3" applyNumberFormat="1" applyFont="1" applyBorder="1" applyAlignment="1">
      <alignment horizontal="center" vertical="center"/>
    </xf>
    <xf numFmtId="0" fontId="96" fillId="0" borderId="11" xfId="3" applyFont="1" applyBorder="1" applyAlignment="1">
      <alignment horizontal="centerContinuous" vertical="center"/>
    </xf>
    <xf numFmtId="0" fontId="67" fillId="0" borderId="30" xfId="3" applyFont="1" applyBorder="1" applyAlignment="1">
      <alignment horizontal="centerContinuous" vertical="center"/>
    </xf>
    <xf numFmtId="0" fontId="67" fillId="0" borderId="7" xfId="3" applyFont="1" applyBorder="1" applyAlignment="1">
      <alignment horizontal="centerContinuous" vertical="center"/>
    </xf>
    <xf numFmtId="167" fontId="40" fillId="0" borderId="13" xfId="3" applyNumberFormat="1" applyFont="1" applyBorder="1" applyAlignment="1">
      <alignment horizontal="centerContinuous" vertical="center"/>
    </xf>
    <xf numFmtId="172" fontId="62" fillId="0" borderId="21" xfId="3" applyNumberFormat="1" applyFont="1" applyBorder="1" applyAlignment="1">
      <alignment horizontal="centerContinuous" vertical="center"/>
    </xf>
    <xf numFmtId="172" fontId="59" fillId="0" borderId="21" xfId="3" applyNumberFormat="1" applyFont="1" applyBorder="1" applyAlignment="1">
      <alignment horizontal="centerContinuous" vertical="center"/>
    </xf>
    <xf numFmtId="172" fontId="62" fillId="0" borderId="29" xfId="3" applyNumberFormat="1" applyFont="1" applyBorder="1" applyAlignment="1">
      <alignment horizontal="centerContinuous" vertical="center"/>
    </xf>
    <xf numFmtId="0" fontId="97" fillId="0" borderId="0" xfId="3" applyFont="1" applyAlignment="1">
      <alignment horizontal="centerContinuous" vertical="center"/>
    </xf>
    <xf numFmtId="167" fontId="70" fillId="0" borderId="13" xfId="3" applyNumberFormat="1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0" borderId="15" xfId="0" applyFont="1" applyBorder="1"/>
    <xf numFmtId="0" fontId="11" fillId="0" borderId="27" xfId="0" applyFont="1" applyBorder="1"/>
    <xf numFmtId="2" fontId="27" fillId="3" borderId="0" xfId="2" applyNumberFormat="1" applyFont="1" applyFill="1" applyAlignment="1" applyProtection="1">
      <alignment horizontal="left"/>
      <protection locked="0"/>
    </xf>
    <xf numFmtId="0" fontId="66" fillId="0" borderId="15" xfId="2" applyFont="1" applyBorder="1"/>
    <xf numFmtId="0" fontId="66" fillId="0" borderId="26" xfId="2" applyFont="1" applyBorder="1"/>
    <xf numFmtId="0" fontId="66" fillId="0" borderId="30" xfId="2" applyFont="1" applyBorder="1"/>
    <xf numFmtId="0" fontId="66" fillId="0" borderId="27" xfId="2" applyFont="1" applyBorder="1"/>
    <xf numFmtId="0" fontId="73" fillId="0" borderId="11" xfId="2" applyFont="1" applyBorder="1" applyAlignment="1">
      <alignment vertical="center"/>
    </xf>
    <xf numFmtId="0" fontId="66" fillId="0" borderId="56" xfId="2" applyFont="1" applyBorder="1"/>
    <xf numFmtId="2" fontId="66" fillId="0" borderId="11" xfId="8" applyNumberFormat="1" applyFont="1" applyBorder="1" applyAlignment="1" applyProtection="1">
      <alignment horizontal="left"/>
      <protection locked="0"/>
    </xf>
    <xf numFmtId="0" fontId="66" fillId="0" borderId="26" xfId="2" applyFont="1" applyBorder="1" applyAlignment="1">
      <alignment vertical="center"/>
    </xf>
    <xf numFmtId="0" fontId="66" fillId="0" borderId="0" xfId="2" applyFont="1"/>
    <xf numFmtId="0" fontId="66" fillId="0" borderId="16" xfId="2" applyFont="1" applyBorder="1"/>
    <xf numFmtId="0" fontId="99" fillId="0" borderId="0" xfId="2" applyFont="1" applyAlignment="1">
      <alignment horizontal="left"/>
    </xf>
    <xf numFmtId="0" fontId="66" fillId="0" borderId="21" xfId="2" applyFont="1" applyBorder="1"/>
    <xf numFmtId="0" fontId="66" fillId="0" borderId="28" xfId="2" applyFont="1" applyBorder="1"/>
    <xf numFmtId="0" fontId="66" fillId="0" borderId="30" xfId="2" applyFont="1" applyBorder="1" applyAlignment="1">
      <alignment vertical="center"/>
    </xf>
    <xf numFmtId="0" fontId="66" fillId="0" borderId="7" xfId="2" applyFont="1" applyBorder="1"/>
    <xf numFmtId="0" fontId="100" fillId="0" borderId="0" xfId="2" applyFont="1" applyProtection="1">
      <protection locked="0"/>
    </xf>
    <xf numFmtId="0" fontId="66" fillId="0" borderId="0" xfId="2" applyFont="1" applyAlignment="1">
      <alignment horizontal="left"/>
    </xf>
    <xf numFmtId="0" fontId="66" fillId="0" borderId="11" xfId="2" applyFont="1" applyBorder="1" applyAlignment="1">
      <alignment vertical="center"/>
    </xf>
    <xf numFmtId="2" fontId="66" fillId="0" borderId="0" xfId="2" quotePrefix="1" applyNumberFormat="1" applyFont="1"/>
    <xf numFmtId="0" fontId="66" fillId="0" borderId="13" xfId="2" applyFont="1" applyBorder="1"/>
    <xf numFmtId="0" fontId="66" fillId="0" borderId="3" xfId="2" applyFont="1" applyBorder="1"/>
    <xf numFmtId="0" fontId="66" fillId="0" borderId="29" xfId="2" applyFont="1" applyBorder="1"/>
    <xf numFmtId="0" fontId="66" fillId="0" borderId="21" xfId="2" applyFont="1" applyBorder="1" applyAlignment="1">
      <alignment vertical="center"/>
    </xf>
    <xf numFmtId="0" fontId="66" fillId="0" borderId="24" xfId="2" applyFont="1" applyBorder="1"/>
    <xf numFmtId="0" fontId="73" fillId="0" borderId="16" xfId="2" applyFont="1" applyBorder="1" applyAlignment="1">
      <alignment horizontal="centerContinuous"/>
    </xf>
    <xf numFmtId="0" fontId="66" fillId="0" borderId="0" xfId="2" applyFont="1" applyAlignment="1">
      <alignment horizontal="centerContinuous"/>
    </xf>
    <xf numFmtId="0" fontId="66" fillId="0" borderId="28" xfId="2" applyFont="1" applyBorder="1" applyAlignment="1">
      <alignment horizontal="centerContinuous"/>
    </xf>
    <xf numFmtId="22" fontId="66" fillId="0" borderId="0" xfId="2" applyNumberFormat="1" applyFont="1" applyAlignment="1">
      <alignment horizontal="centerContinuous"/>
    </xf>
    <xf numFmtId="0" fontId="66" fillId="0" borderId="0" xfId="2" applyFont="1" applyAlignment="1">
      <alignment horizontal="center"/>
    </xf>
    <xf numFmtId="0" fontId="73" fillId="0" borderId="0" xfId="2" applyFont="1"/>
    <xf numFmtId="0" fontId="73" fillId="0" borderId="0" xfId="2" applyFont="1" applyProtection="1">
      <protection locked="0"/>
    </xf>
    <xf numFmtId="0" fontId="66" fillId="0" borderId="0" xfId="8" applyFont="1" applyAlignment="1" applyProtection="1">
      <alignment horizontal="left"/>
      <protection locked="0"/>
    </xf>
    <xf numFmtId="164" fontId="66" fillId="0" borderId="0" xfId="9" applyFont="1" applyBorder="1" applyProtection="1"/>
    <xf numFmtId="0" fontId="66" fillId="0" borderId="0" xfId="2" applyFont="1" applyAlignment="1">
      <alignment horizontal="right"/>
    </xf>
    <xf numFmtId="2" fontId="66" fillId="0" borderId="0" xfId="8" applyNumberFormat="1" applyFont="1" applyAlignment="1" applyProtection="1">
      <alignment horizontal="left"/>
      <protection locked="0"/>
    </xf>
    <xf numFmtId="0" fontId="66" fillId="7" borderId="0" xfId="2" applyFont="1" applyFill="1" applyAlignment="1">
      <alignment horizontal="center"/>
    </xf>
    <xf numFmtId="0" fontId="66" fillId="0" borderId="0" xfId="2" applyFont="1" applyProtection="1">
      <protection locked="0"/>
    </xf>
    <xf numFmtId="2" fontId="102" fillId="0" borderId="0" xfId="8" applyNumberFormat="1" applyFont="1" applyAlignment="1" applyProtection="1">
      <alignment horizontal="left"/>
      <protection locked="0"/>
    </xf>
    <xf numFmtId="0" fontId="27" fillId="7" borderId="0" xfId="2" applyFont="1" applyFill="1" applyAlignment="1">
      <alignment horizontal="center"/>
    </xf>
    <xf numFmtId="0" fontId="66" fillId="0" borderId="41" xfId="2" applyFont="1" applyBorder="1"/>
    <xf numFmtId="0" fontId="66" fillId="0" borderId="44" xfId="2" applyFont="1" applyBorder="1"/>
    <xf numFmtId="0" fontId="66" fillId="0" borderId="70" xfId="2" applyFont="1" applyBorder="1"/>
    <xf numFmtId="0" fontId="66" fillId="0" borderId="71" xfId="2" applyFont="1" applyBorder="1" applyAlignment="1">
      <alignment horizontal="centerContinuous"/>
    </xf>
    <xf numFmtId="0" fontId="66" fillId="0" borderId="40" xfId="2" applyFont="1" applyBorder="1"/>
    <xf numFmtId="0" fontId="66" fillId="0" borderId="38" xfId="2" applyFont="1" applyBorder="1"/>
    <xf numFmtId="0" fontId="66" fillId="0" borderId="72" xfId="2" applyFont="1" applyBorder="1" applyAlignment="1">
      <alignment horizontal="right"/>
    </xf>
    <xf numFmtId="0" fontId="66" fillId="0" borderId="38" xfId="2" applyFont="1" applyBorder="1" applyAlignment="1">
      <alignment horizontal="centerContinuous"/>
    </xf>
    <xf numFmtId="0" fontId="66" fillId="0" borderId="48" xfId="2" applyFont="1" applyBorder="1"/>
    <xf numFmtId="0" fontId="66" fillId="0" borderId="34" xfId="2" applyFont="1" applyBorder="1"/>
    <xf numFmtId="0" fontId="66" fillId="0" borderId="52" xfId="2" applyFont="1" applyBorder="1" applyAlignment="1">
      <alignment horizontal="right"/>
    </xf>
    <xf numFmtId="0" fontId="66" fillId="0" borderId="34" xfId="2" applyFont="1" applyBorder="1" applyAlignment="1">
      <alignment horizontal="centerContinuous"/>
    </xf>
    <xf numFmtId="0" fontId="66" fillId="0" borderId="26" xfId="2" applyFont="1" applyBorder="1" applyAlignment="1">
      <alignment horizontal="centerContinuous"/>
    </xf>
    <xf numFmtId="0" fontId="66" fillId="6" borderId="0" xfId="2" applyFont="1" applyFill="1"/>
    <xf numFmtId="0" fontId="66" fillId="0" borderId="44" xfId="2" applyFont="1" applyBorder="1" applyAlignment="1">
      <alignment horizontal="center"/>
    </xf>
    <xf numFmtId="0" fontId="66" fillId="6" borderId="42" xfId="8" applyFont="1" applyFill="1" applyBorder="1" applyAlignment="1" applyProtection="1">
      <alignment horizontal="center"/>
      <protection locked="0"/>
    </xf>
    <xf numFmtId="0" fontId="66" fillId="6" borderId="73" xfId="8" applyFont="1" applyFill="1" applyBorder="1" applyAlignment="1" applyProtection="1">
      <alignment horizontal="center"/>
      <protection locked="0"/>
    </xf>
    <xf numFmtId="0" fontId="66" fillId="0" borderId="38" xfId="2" applyFont="1" applyBorder="1" applyAlignment="1">
      <alignment horizontal="center"/>
    </xf>
    <xf numFmtId="2" fontId="66" fillId="6" borderId="74" xfId="8" applyNumberFormat="1" applyFont="1" applyFill="1" applyBorder="1" applyAlignment="1" applyProtection="1">
      <alignment horizontal="right"/>
      <protection locked="0"/>
    </xf>
    <xf numFmtId="2" fontId="66" fillId="6" borderId="75" xfId="8" applyNumberFormat="1" applyFont="1" applyFill="1" applyBorder="1" applyAlignment="1" applyProtection="1">
      <alignment horizontal="right"/>
      <protection locked="0"/>
    </xf>
    <xf numFmtId="0" fontId="103" fillId="0" borderId="72" xfId="2" applyFont="1" applyBorder="1" applyAlignment="1">
      <alignment horizontal="right"/>
    </xf>
    <xf numFmtId="2" fontId="66" fillId="6" borderId="74" xfId="8" applyNumberFormat="1" applyFont="1" applyFill="1" applyBorder="1" applyAlignment="1">
      <alignment horizontal="right"/>
    </xf>
    <xf numFmtId="2" fontId="66" fillId="6" borderId="75" xfId="8" applyNumberFormat="1" applyFont="1" applyFill="1" applyBorder="1" applyAlignment="1">
      <alignment horizontal="right"/>
    </xf>
    <xf numFmtId="0" fontId="66" fillId="0" borderId="38" xfId="2" applyFont="1" applyBorder="1" applyAlignment="1">
      <alignment horizontal="right"/>
    </xf>
    <xf numFmtId="2" fontId="66" fillId="0" borderId="38" xfId="2" applyNumberFormat="1" applyFont="1" applyBorder="1" applyAlignment="1">
      <alignment horizontal="center"/>
    </xf>
    <xf numFmtId="167" fontId="66" fillId="0" borderId="38" xfId="2" applyNumberFormat="1" applyFont="1" applyBorder="1" applyAlignment="1">
      <alignment horizontal="center"/>
    </xf>
    <xf numFmtId="167" fontId="66" fillId="6" borderId="74" xfId="8" applyNumberFormat="1" applyFont="1" applyFill="1" applyBorder="1" applyAlignment="1">
      <alignment horizontal="right"/>
    </xf>
    <xf numFmtId="167" fontId="66" fillId="6" borderId="75" xfId="8" applyNumberFormat="1" applyFont="1" applyFill="1" applyBorder="1" applyAlignment="1">
      <alignment horizontal="right"/>
    </xf>
    <xf numFmtId="0" fontId="66" fillId="0" borderId="46" xfId="2" applyFont="1" applyBorder="1"/>
    <xf numFmtId="0" fontId="66" fillId="0" borderId="47" xfId="2" applyFont="1" applyBorder="1"/>
    <xf numFmtId="0" fontId="66" fillId="0" borderId="47" xfId="2" applyFont="1" applyBorder="1" applyAlignment="1">
      <alignment horizontal="right"/>
    </xf>
    <xf numFmtId="0" fontId="66" fillId="0" borderId="50" xfId="2" applyFont="1" applyBorder="1"/>
    <xf numFmtId="2" fontId="66" fillId="0" borderId="47" xfId="2" applyNumberFormat="1" applyFont="1" applyBorder="1" applyAlignment="1">
      <alignment horizontal="centerContinuous"/>
    </xf>
    <xf numFmtId="0" fontId="100" fillId="0" borderId="0" xfId="2" applyFont="1"/>
    <xf numFmtId="0" fontId="66" fillId="0" borderId="16" xfId="2" applyFont="1" applyBorder="1" applyAlignment="1">
      <alignment horizontal="left"/>
    </xf>
    <xf numFmtId="0" fontId="66" fillId="0" borderId="0" xfId="8" applyFont="1"/>
    <xf numFmtId="0" fontId="66" fillId="6" borderId="0" xfId="8" applyFont="1" applyFill="1"/>
    <xf numFmtId="0" fontId="66" fillId="0" borderId="71" xfId="2" applyFont="1" applyBorder="1" applyAlignment="1">
      <alignment horizontal="center"/>
    </xf>
    <xf numFmtId="0" fontId="66" fillId="0" borderId="76" xfId="2" applyFont="1" applyBorder="1" applyAlignment="1">
      <alignment horizontal="center"/>
    </xf>
    <xf numFmtId="2" fontId="27" fillId="7" borderId="0" xfId="2" applyNumberFormat="1" applyFont="1" applyFill="1" applyAlignment="1">
      <alignment horizontal="center"/>
    </xf>
    <xf numFmtId="0" fontId="66" fillId="6" borderId="74" xfId="8" applyFont="1" applyFill="1" applyBorder="1" applyAlignment="1" applyProtection="1">
      <alignment horizontal="right"/>
      <protection locked="0"/>
    </xf>
    <xf numFmtId="0" fontId="66" fillId="6" borderId="75" xfId="8" applyFont="1" applyFill="1" applyBorder="1" applyAlignment="1" applyProtection="1">
      <alignment horizontal="right"/>
      <protection locked="0"/>
    </xf>
    <xf numFmtId="2" fontId="66" fillId="0" borderId="76" xfId="2" applyNumberFormat="1" applyFont="1" applyBorder="1" applyAlignment="1">
      <alignment horizontal="center"/>
    </xf>
    <xf numFmtId="0" fontId="104" fillId="0" borderId="0" xfId="2" applyFont="1"/>
    <xf numFmtId="2" fontId="66" fillId="0" borderId="72" xfId="2" applyNumberFormat="1" applyFont="1" applyBorder="1" applyAlignment="1">
      <alignment horizontal="right"/>
    </xf>
    <xf numFmtId="2" fontId="66" fillId="0" borderId="50" xfId="2" applyNumberFormat="1" applyFont="1" applyBorder="1" applyAlignment="1">
      <alignment horizontal="right"/>
    </xf>
    <xf numFmtId="1" fontId="66" fillId="0" borderId="77" xfId="2" applyNumberFormat="1" applyFont="1" applyBorder="1" applyAlignment="1">
      <alignment horizontal="centerContinuous"/>
    </xf>
    <xf numFmtId="0" fontId="66" fillId="0" borderId="28" xfId="2" applyFont="1" applyBorder="1" applyAlignment="1">
      <alignment horizontal="center"/>
    </xf>
    <xf numFmtId="0" fontId="100" fillId="0" borderId="0" xfId="2" applyFont="1" applyAlignment="1">
      <alignment horizontal="center"/>
    </xf>
    <xf numFmtId="166" fontId="66" fillId="0" borderId="0" xfId="2" applyNumberFormat="1" applyFont="1"/>
    <xf numFmtId="166" fontId="66" fillId="0" borderId="0" xfId="8" applyNumberFormat="1" applyFont="1" applyAlignment="1">
      <alignment horizontal="center"/>
    </xf>
    <xf numFmtId="166" fontId="66" fillId="0" borderId="0" xfId="8" applyNumberFormat="1" applyFont="1"/>
    <xf numFmtId="166" fontId="66" fillId="6" borderId="0" xfId="8" applyNumberFormat="1" applyFont="1" applyFill="1" applyAlignment="1">
      <alignment horizontal="center"/>
    </xf>
    <xf numFmtId="166" fontId="66" fillId="6" borderId="0" xfId="8" applyNumberFormat="1" applyFont="1" applyFill="1"/>
    <xf numFmtId="2" fontId="66" fillId="0" borderId="28" xfId="2" applyNumberFormat="1" applyFont="1" applyBorder="1"/>
    <xf numFmtId="2" fontId="100" fillId="0" borderId="0" xfId="2" applyNumberFormat="1" applyFont="1"/>
    <xf numFmtId="0" fontId="66" fillId="0" borderId="44" xfId="2" applyFont="1" applyBorder="1" applyAlignment="1">
      <alignment horizontal="right"/>
    </xf>
    <xf numFmtId="0" fontId="66" fillId="0" borderId="70" xfId="2" applyFont="1" applyBorder="1" applyAlignment="1">
      <alignment horizontal="right"/>
    </xf>
    <xf numFmtId="166" fontId="66" fillId="0" borderId="71" xfId="2" applyNumberFormat="1" applyFont="1" applyBorder="1" applyAlignment="1">
      <alignment horizontal="centerContinuous"/>
    </xf>
    <xf numFmtId="1" fontId="66" fillId="6" borderId="41" xfId="8" applyNumberFormat="1" applyFont="1" applyFill="1" applyBorder="1" applyAlignment="1" applyProtection="1">
      <alignment horizontal="right"/>
      <protection locked="0"/>
    </xf>
    <xf numFmtId="1" fontId="66" fillId="6" borderId="43" xfId="8" applyNumberFormat="1" applyFont="1" applyFill="1" applyBorder="1" applyAlignment="1" applyProtection="1">
      <alignment horizontal="center"/>
      <protection locked="0"/>
    </xf>
    <xf numFmtId="0" fontId="66" fillId="0" borderId="76" xfId="2" applyFont="1" applyBorder="1" applyAlignment="1">
      <alignment horizontal="centerContinuous"/>
    </xf>
    <xf numFmtId="2" fontId="66" fillId="6" borderId="40" xfId="8" applyNumberFormat="1" applyFont="1" applyFill="1" applyBorder="1" applyAlignment="1">
      <alignment horizontal="right"/>
    </xf>
    <xf numFmtId="2" fontId="66" fillId="6" borderId="35" xfId="8" applyNumberFormat="1" applyFont="1" applyFill="1" applyBorder="1" applyAlignment="1" applyProtection="1">
      <alignment horizontal="right"/>
      <protection locked="0"/>
    </xf>
    <xf numFmtId="2" fontId="66" fillId="0" borderId="40" xfId="10" applyNumberFormat="1" applyFont="1" applyBorder="1" applyAlignment="1">
      <alignment horizontal="right"/>
    </xf>
    <xf numFmtId="2" fontId="66" fillId="0" borderId="35" xfId="8" applyNumberFormat="1" applyFont="1" applyBorder="1" applyAlignment="1">
      <alignment horizontal="right"/>
    </xf>
    <xf numFmtId="2" fontId="66" fillId="6" borderId="40" xfId="10" applyNumberFormat="1" applyFont="1" applyFill="1" applyBorder="1" applyAlignment="1">
      <alignment horizontal="right"/>
    </xf>
    <xf numFmtId="2" fontId="66" fillId="6" borderId="35" xfId="8" applyNumberFormat="1" applyFont="1" applyFill="1" applyBorder="1" applyAlignment="1">
      <alignment horizontal="right"/>
    </xf>
    <xf numFmtId="2" fontId="66" fillId="0" borderId="40" xfId="8" applyNumberFormat="1" applyFont="1" applyBorder="1" applyAlignment="1">
      <alignment horizontal="right"/>
    </xf>
    <xf numFmtId="0" fontId="66" fillId="0" borderId="50" xfId="2" applyFont="1" applyBorder="1" applyAlignment="1">
      <alignment horizontal="right"/>
    </xf>
    <xf numFmtId="2" fontId="66" fillId="0" borderId="77" xfId="2" applyNumberFormat="1" applyFont="1" applyBorder="1" applyAlignment="1">
      <alignment horizontal="centerContinuous"/>
    </xf>
    <xf numFmtId="167" fontId="73" fillId="0" borderId="46" xfId="8" applyNumberFormat="1" applyFont="1" applyBorder="1" applyAlignment="1">
      <alignment horizontal="right"/>
    </xf>
    <xf numFmtId="2" fontId="73" fillId="0" borderId="31" xfId="8" applyNumberFormat="1" applyFont="1" applyBorder="1" applyAlignment="1">
      <alignment horizontal="right"/>
    </xf>
    <xf numFmtId="2" fontId="66" fillId="0" borderId="0" xfId="2" applyNumberFormat="1" applyFont="1" applyAlignment="1">
      <alignment horizontal="centerContinuous"/>
    </xf>
    <xf numFmtId="2" fontId="66" fillId="0" borderId="0" xfId="8" applyNumberFormat="1" applyFont="1" applyAlignment="1">
      <alignment horizontal="right"/>
    </xf>
    <xf numFmtId="2" fontId="66" fillId="0" borderId="71" xfId="2" applyNumberFormat="1" applyFont="1" applyBorder="1" applyAlignment="1">
      <alignment horizontal="centerContinuous"/>
    </xf>
    <xf numFmtId="167" fontId="73" fillId="0" borderId="41" xfId="8" applyNumberFormat="1" applyFont="1" applyBorder="1" applyAlignment="1">
      <alignment horizontal="right"/>
    </xf>
    <xf numFmtId="167" fontId="73" fillId="0" borderId="43" xfId="8" applyNumberFormat="1" applyFont="1" applyBorder="1" applyAlignment="1">
      <alignment horizontal="right"/>
    </xf>
    <xf numFmtId="2" fontId="66" fillId="0" borderId="0" xfId="2" applyNumberFormat="1" applyFont="1"/>
    <xf numFmtId="2" fontId="66" fillId="0" borderId="76" xfId="2" applyNumberFormat="1" applyFont="1" applyBorder="1" applyAlignment="1">
      <alignment horizontal="centerContinuous"/>
    </xf>
    <xf numFmtId="2" fontId="73" fillId="0" borderId="40" xfId="8" applyNumberFormat="1" applyFont="1" applyBorder="1" applyAlignment="1">
      <alignment horizontal="right"/>
    </xf>
    <xf numFmtId="2" fontId="73" fillId="0" borderId="35" xfId="8" applyNumberFormat="1" applyFont="1" applyBorder="1" applyAlignment="1">
      <alignment horizontal="right"/>
    </xf>
    <xf numFmtId="166" fontId="66" fillId="0" borderId="28" xfId="2" applyNumberFormat="1" applyFont="1" applyBorder="1"/>
    <xf numFmtId="2" fontId="73" fillId="0" borderId="46" xfId="8" applyNumberFormat="1" applyFont="1" applyBorder="1" applyAlignment="1">
      <alignment horizontal="right"/>
    </xf>
    <xf numFmtId="166" fontId="27" fillId="0" borderId="0" xfId="2" applyNumberFormat="1" applyFont="1"/>
    <xf numFmtId="169" fontId="66" fillId="0" borderId="0" xfId="8" applyNumberFormat="1" applyFont="1" applyAlignment="1" applyProtection="1">
      <alignment horizontal="centerContinuous"/>
      <protection hidden="1"/>
    </xf>
    <xf numFmtId="167" fontId="66" fillId="7" borderId="0" xfId="2" applyNumberFormat="1" applyFont="1" applyFill="1" applyAlignment="1">
      <alignment horizontal="center"/>
    </xf>
    <xf numFmtId="2" fontId="66" fillId="7" borderId="0" xfId="2" applyNumberFormat="1" applyFont="1" applyFill="1" applyAlignment="1">
      <alignment horizontal="center"/>
    </xf>
    <xf numFmtId="0" fontId="41" fillId="0" borderId="0" xfId="2" applyFont="1"/>
    <xf numFmtId="0" fontId="11" fillId="0" borderId="15" xfId="11" applyFont="1" applyBorder="1" applyAlignment="1">
      <alignment vertical="center"/>
    </xf>
    <xf numFmtId="0" fontId="11" fillId="0" borderId="26" xfId="11" applyFont="1" applyBorder="1" applyAlignment="1">
      <alignment vertical="center"/>
    </xf>
    <xf numFmtId="0" fontId="11" fillId="0" borderId="26" xfId="11" applyFont="1" applyBorder="1" applyAlignment="1">
      <alignment horizontal="center" vertical="center"/>
    </xf>
    <xf numFmtId="0" fontId="11" fillId="0" borderId="27" xfId="11" applyFont="1" applyBorder="1" applyAlignment="1">
      <alignment vertical="center"/>
    </xf>
    <xf numFmtId="0" fontId="11" fillId="0" borderId="0" xfId="11" applyFont="1" applyAlignment="1">
      <alignment vertical="center"/>
    </xf>
    <xf numFmtId="0" fontId="11" fillId="0" borderId="16" xfId="11" applyFont="1" applyBorder="1" applyAlignment="1">
      <alignment vertical="center"/>
    </xf>
    <xf numFmtId="0" fontId="11" fillId="0" borderId="28" xfId="11" applyFont="1" applyBorder="1" applyAlignment="1">
      <alignment vertical="center"/>
    </xf>
    <xf numFmtId="0" fontId="11" fillId="0" borderId="16" xfId="11" applyFont="1" applyBorder="1"/>
    <xf numFmtId="0" fontId="11" fillId="0" borderId="28" xfId="11" applyFont="1" applyBorder="1"/>
    <xf numFmtId="0" fontId="11" fillId="0" borderId="0" xfId="11" applyFont="1"/>
    <xf numFmtId="0" fontId="11" fillId="0" borderId="0" xfId="11" applyFont="1" applyAlignment="1">
      <alignment horizontal="center" vertical="center"/>
    </xf>
    <xf numFmtId="0" fontId="19" fillId="0" borderId="0" xfId="11" applyFont="1" applyAlignment="1">
      <alignment vertical="center"/>
    </xf>
    <xf numFmtId="0" fontId="11" fillId="0" borderId="16" xfId="11" applyFont="1" applyBorder="1" applyAlignment="1">
      <alignment horizontal="center" vertical="center"/>
    </xf>
    <xf numFmtId="0" fontId="11" fillId="0" borderId="6" xfId="11" applyFont="1" applyBorder="1" applyAlignment="1">
      <alignment horizontal="center" vertical="center"/>
    </xf>
    <xf numFmtId="0" fontId="11" fillId="0" borderId="28" xfId="11" applyFont="1" applyBorder="1" applyAlignment="1">
      <alignment horizontal="center" vertical="center"/>
    </xf>
    <xf numFmtId="0" fontId="16" fillId="0" borderId="11" xfId="11" applyFont="1" applyBorder="1" applyAlignment="1">
      <alignment vertical="center"/>
    </xf>
    <xf numFmtId="0" fontId="11" fillId="0" borderId="30" xfId="11" applyFont="1" applyBorder="1" applyAlignment="1">
      <alignment vertical="center"/>
    </xf>
    <xf numFmtId="0" fontId="11" fillId="0" borderId="30" xfId="11" applyFont="1" applyBorder="1" applyAlignment="1">
      <alignment horizontal="center" vertical="center"/>
    </xf>
    <xf numFmtId="0" fontId="11" fillId="0" borderId="7" xfId="11" applyFont="1" applyBorder="1" applyAlignment="1">
      <alignment vertical="center"/>
    </xf>
    <xf numFmtId="0" fontId="19" fillId="0" borderId="16" xfId="11" applyFont="1" applyBorder="1" applyAlignment="1">
      <alignment vertical="center"/>
    </xf>
    <xf numFmtId="0" fontId="19" fillId="0" borderId="28" xfId="11" applyFont="1" applyBorder="1" applyAlignment="1">
      <alignment vertical="center"/>
    </xf>
    <xf numFmtId="167" fontId="11" fillId="0" borderId="30" xfId="11" applyNumberFormat="1" applyFont="1" applyBorder="1" applyAlignment="1">
      <alignment vertical="center"/>
    </xf>
    <xf numFmtId="0" fontId="11" fillId="0" borderId="21" xfId="11" applyFont="1" applyBorder="1" applyAlignment="1">
      <alignment horizontal="center" vertical="center"/>
    </xf>
    <xf numFmtId="0" fontId="11" fillId="0" borderId="21" xfId="11" applyFont="1" applyBorder="1" applyAlignment="1">
      <alignment vertical="center"/>
    </xf>
    <xf numFmtId="0" fontId="11" fillId="0" borderId="29" xfId="11" applyFont="1" applyBorder="1" applyAlignment="1">
      <alignment vertical="center"/>
    </xf>
    <xf numFmtId="0" fontId="16" fillId="0" borderId="15" xfId="11" applyFont="1" applyBorder="1" applyAlignment="1">
      <alignment vertical="center"/>
    </xf>
    <xf numFmtId="0" fontId="13" fillId="0" borderId="16" xfId="11" applyFont="1" applyBorder="1" applyAlignment="1">
      <alignment vertical="center"/>
    </xf>
    <xf numFmtId="0" fontId="17" fillId="0" borderId="15" xfId="11" applyFont="1" applyBorder="1" applyAlignment="1">
      <alignment vertical="center"/>
    </xf>
    <xf numFmtId="0" fontId="11" fillId="0" borderId="13" xfId="11" applyFont="1" applyBorder="1" applyAlignment="1">
      <alignment vertical="center"/>
    </xf>
    <xf numFmtId="2" fontId="80" fillId="3" borderId="41" xfId="3" applyNumberFormat="1" applyFont="1" applyFill="1" applyBorder="1" applyAlignment="1">
      <alignment horizontal="centerContinuous" vertical="center"/>
    </xf>
    <xf numFmtId="167" fontId="80" fillId="3" borderId="43" xfId="3" applyNumberFormat="1" applyFont="1" applyFill="1" applyBorder="1" applyAlignment="1">
      <alignment horizontal="centerContinuous" vertical="center"/>
    </xf>
    <xf numFmtId="2" fontId="80" fillId="3" borderId="40" xfId="3" applyNumberFormat="1" applyFont="1" applyFill="1" applyBorder="1" applyAlignment="1">
      <alignment horizontal="centerContinuous" vertical="center"/>
    </xf>
    <xf numFmtId="167" fontId="80" fillId="3" borderId="35" xfId="3" applyNumberFormat="1" applyFont="1" applyFill="1" applyBorder="1" applyAlignment="1">
      <alignment horizontal="centerContinuous" vertical="center"/>
    </xf>
    <xf numFmtId="167" fontId="80" fillId="3" borderId="41" xfId="3" applyNumberFormat="1" applyFont="1" applyFill="1" applyBorder="1" applyAlignment="1">
      <alignment horizontal="centerContinuous" vertical="center"/>
    </xf>
    <xf numFmtId="167" fontId="80" fillId="3" borderId="40" xfId="3" applyNumberFormat="1" applyFont="1" applyFill="1" applyBorder="1" applyAlignment="1">
      <alignment horizontal="centerContinuous" vertical="center"/>
    </xf>
    <xf numFmtId="167" fontId="80" fillId="3" borderId="46" xfId="3" applyNumberFormat="1" applyFont="1" applyFill="1" applyBorder="1" applyAlignment="1">
      <alignment horizontal="centerContinuous" vertical="center"/>
    </xf>
    <xf numFmtId="167" fontId="80" fillId="3" borderId="31" xfId="3" applyNumberFormat="1" applyFont="1" applyFill="1" applyBorder="1" applyAlignment="1">
      <alignment horizontal="centerContinuous" vertical="center"/>
    </xf>
    <xf numFmtId="167" fontId="83" fillId="3" borderId="41" xfId="3" applyNumberFormat="1" applyFont="1" applyFill="1" applyBorder="1" applyAlignment="1">
      <alignment horizontal="centerContinuous" vertical="center"/>
    </xf>
    <xf numFmtId="167" fontId="83" fillId="3" borderId="43" xfId="3" applyNumberFormat="1" applyFont="1" applyFill="1" applyBorder="1" applyAlignment="1">
      <alignment horizontal="centerContinuous" vertical="center"/>
    </xf>
    <xf numFmtId="167" fontId="83" fillId="3" borderId="44" xfId="3" applyNumberFormat="1" applyFont="1" applyFill="1" applyBorder="1" applyAlignment="1">
      <alignment horizontal="centerContinuous" vertical="center"/>
    </xf>
    <xf numFmtId="167" fontId="83" fillId="3" borderId="41" xfId="3" quotePrefix="1" applyNumberFormat="1" applyFont="1" applyFill="1" applyBorder="1" applyAlignment="1">
      <alignment horizontal="centerContinuous" vertical="center"/>
    </xf>
    <xf numFmtId="167" fontId="82" fillId="3" borderId="43" xfId="3" quotePrefix="1" applyNumberFormat="1" applyFont="1" applyFill="1" applyBorder="1" applyAlignment="1">
      <alignment horizontal="centerContinuous" vertical="center"/>
    </xf>
    <xf numFmtId="0" fontId="20" fillId="3" borderId="26" xfId="3" applyFont="1" applyFill="1" applyBorder="1" applyAlignment="1">
      <alignment vertical="center"/>
    </xf>
    <xf numFmtId="0" fontId="72" fillId="3" borderId="34" xfId="3" applyFont="1" applyFill="1" applyBorder="1" applyAlignment="1">
      <alignment vertical="center"/>
    </xf>
    <xf numFmtId="0" fontId="20" fillId="3" borderId="34" xfId="3" applyFont="1" applyFill="1" applyBorder="1" applyAlignment="1">
      <alignment vertical="center"/>
    </xf>
    <xf numFmtId="0" fontId="20" fillId="3" borderId="47" xfId="3" applyFont="1" applyFill="1" applyBorder="1" applyAlignment="1">
      <alignment vertical="center"/>
    </xf>
    <xf numFmtId="0" fontId="20" fillId="3" borderId="27" xfId="3" applyFont="1" applyFill="1" applyBorder="1" applyAlignment="1">
      <alignment vertical="center"/>
    </xf>
    <xf numFmtId="0" fontId="55" fillId="3" borderId="47" xfId="3" applyFont="1" applyFill="1" applyBorder="1" applyAlignment="1">
      <alignment vertical="center"/>
    </xf>
    <xf numFmtId="0" fontId="20" fillId="3" borderId="31" xfId="3" applyFont="1" applyFill="1" applyBorder="1" applyAlignment="1">
      <alignment vertical="center"/>
    </xf>
    <xf numFmtId="0" fontId="16" fillId="0" borderId="13" xfId="11" applyFont="1" applyBorder="1" applyAlignment="1">
      <alignment vertical="center"/>
    </xf>
    <xf numFmtId="0" fontId="11" fillId="0" borderId="30" xfId="0" applyFont="1" applyBorder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16" xfId="0" applyFont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6" xfId="0" applyFont="1" applyBorder="1" applyAlignment="1">
      <alignment horizontal="center" vertical="center"/>
    </xf>
    <xf numFmtId="0" fontId="10" fillId="0" borderId="14" xfId="0" applyFont="1" applyBorder="1"/>
    <xf numFmtId="0" fontId="113" fillId="0" borderId="14" xfId="0" applyFont="1" applyBorder="1" applyAlignment="1">
      <alignment horizontal="center" vertical="center" readingOrder="1"/>
    </xf>
    <xf numFmtId="0" fontId="12" fillId="0" borderId="14" xfId="0" applyFont="1" applyBorder="1" applyAlignment="1">
      <alignment vertical="center" wrapText="1"/>
    </xf>
    <xf numFmtId="0" fontId="11" fillId="0" borderId="16" xfId="0" applyFont="1" applyBorder="1" applyAlignment="1">
      <alignment horizontal="left"/>
    </xf>
    <xf numFmtId="0" fontId="11" fillId="0" borderId="7" xfId="0" applyFont="1" applyBorder="1" applyAlignment="1">
      <alignment vertical="center"/>
    </xf>
    <xf numFmtId="0" fontId="11" fillId="3" borderId="0" xfId="0" applyFont="1" applyFill="1"/>
    <xf numFmtId="0" fontId="10" fillId="3" borderId="6" xfId="0" applyFont="1" applyFill="1" applyBorder="1" applyAlignment="1">
      <alignment horizontal="center" vertical="center"/>
    </xf>
    <xf numFmtId="2" fontId="10" fillId="3" borderId="6" xfId="0" applyNumberFormat="1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 vertical="center"/>
    </xf>
    <xf numFmtId="0" fontId="114" fillId="8" borderId="0" xfId="0" applyFont="1" applyFill="1"/>
    <xf numFmtId="0" fontId="115" fillId="8" borderId="0" xfId="0" applyFont="1" applyFill="1"/>
    <xf numFmtId="2" fontId="114" fillId="8" borderId="0" xfId="0" applyNumberFormat="1" applyFont="1" applyFill="1" applyAlignment="1">
      <alignment vertical="center"/>
    </xf>
    <xf numFmtId="0" fontId="115" fillId="8" borderId="0" xfId="0" applyFont="1" applyFill="1" applyAlignment="1">
      <alignment vertical="center"/>
    </xf>
    <xf numFmtId="2" fontId="6" fillId="0" borderId="0" xfId="10" applyNumberFormat="1" applyAlignment="1" applyProtection="1">
      <alignment vertical="center"/>
      <protection locked="0"/>
    </xf>
    <xf numFmtId="167" fontId="11" fillId="0" borderId="0" xfId="0" applyNumberFormat="1" applyFont="1" applyAlignment="1">
      <alignment horizontal="center"/>
    </xf>
    <xf numFmtId="0" fontId="11" fillId="0" borderId="13" xfId="0" applyFont="1" applyBorder="1"/>
    <xf numFmtId="0" fontId="11" fillId="0" borderId="21" xfId="0" applyFont="1" applyBorder="1"/>
    <xf numFmtId="0" fontId="11" fillId="0" borderId="29" xfId="0" applyFont="1" applyBorder="1"/>
    <xf numFmtId="0" fontId="11" fillId="0" borderId="16" xfId="0" applyFont="1" applyBorder="1" applyAlignment="1">
      <alignment horizontal="left" vertical="center"/>
    </xf>
    <xf numFmtId="0" fontId="11" fillId="0" borderId="28" xfId="0" applyFont="1" applyBorder="1" applyAlignment="1">
      <alignment horizontal="left" vertical="center"/>
    </xf>
    <xf numFmtId="0" fontId="11" fillId="0" borderId="30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11" fillId="0" borderId="0" xfId="0" applyNumberFormat="1" applyFont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11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0" xfId="0" applyFont="1" applyBorder="1" applyAlignment="1">
      <alignment vertical="center"/>
    </xf>
    <xf numFmtId="167" fontId="11" fillId="0" borderId="6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48" fillId="0" borderId="0" xfId="5" applyFont="1" applyAlignment="1">
      <alignment horizontal="left"/>
    </xf>
    <xf numFmtId="0" fontId="48" fillId="0" borderId="0" xfId="5" applyFont="1"/>
    <xf numFmtId="177" fontId="26" fillId="6" borderId="6" xfId="5" applyNumberFormat="1" applyFont="1" applyFill="1" applyBorder="1" applyAlignment="1" applyProtection="1">
      <alignment horizontal="center" vertical="center"/>
      <protection locked="0"/>
    </xf>
    <xf numFmtId="0" fontId="11" fillId="0" borderId="6" xfId="0" applyFont="1" applyBorder="1" applyAlignment="1">
      <alignment horizontal="left" vertical="center"/>
    </xf>
    <xf numFmtId="0" fontId="48" fillId="0" borderId="0" xfId="5" applyFont="1" applyAlignment="1">
      <alignment horizontal="center"/>
    </xf>
    <xf numFmtId="0" fontId="48" fillId="0" borderId="0" xfId="5" applyFont="1" applyAlignment="1" applyProtection="1">
      <alignment horizontal="left"/>
      <protection locked="0"/>
    </xf>
    <xf numFmtId="0" fontId="11" fillId="11" borderId="6" xfId="0" applyFont="1" applyFill="1" applyBorder="1" applyAlignment="1">
      <alignment horizontal="center" vertical="center"/>
    </xf>
    <xf numFmtId="172" fontId="10" fillId="0" borderId="0" xfId="0" applyNumberFormat="1" applyFont="1"/>
    <xf numFmtId="0" fontId="11" fillId="0" borderId="86" xfId="0" applyFont="1" applyBorder="1" applyAlignment="1">
      <alignment vertical="center"/>
    </xf>
    <xf numFmtId="0" fontId="11" fillId="0" borderId="87" xfId="0" applyFont="1" applyBorder="1" applyAlignment="1">
      <alignment vertical="center"/>
    </xf>
    <xf numFmtId="0" fontId="11" fillId="0" borderId="88" xfId="0" applyFont="1" applyBorder="1" applyAlignment="1">
      <alignment vertical="center"/>
    </xf>
    <xf numFmtId="0" fontId="11" fillId="0" borderId="89" xfId="0" applyFont="1" applyBorder="1" applyAlignment="1">
      <alignment horizontal="center" vertical="center"/>
    </xf>
    <xf numFmtId="167" fontId="11" fillId="0" borderId="89" xfId="0" applyNumberFormat="1" applyFont="1" applyBorder="1" applyAlignment="1">
      <alignment horizontal="center" vertical="center"/>
    </xf>
    <xf numFmtId="0" fontId="11" fillId="0" borderId="90" xfId="0" applyFont="1" applyBorder="1" applyAlignment="1">
      <alignment horizontal="left" vertical="center"/>
    </xf>
    <xf numFmtId="177" fontId="48" fillId="0" borderId="0" xfId="5" applyNumberFormat="1" applyFont="1" applyProtection="1">
      <protection locked="0"/>
    </xf>
    <xf numFmtId="0" fontId="11" fillId="3" borderId="6" xfId="0" applyFont="1" applyFill="1" applyBorder="1" applyAlignment="1">
      <alignment horizontal="center" vertical="center"/>
    </xf>
    <xf numFmtId="0" fontId="11" fillId="0" borderId="84" xfId="0" applyFont="1" applyBorder="1" applyAlignment="1">
      <alignment vertical="center"/>
    </xf>
    <xf numFmtId="0" fontId="11" fillId="0" borderId="6" xfId="0" applyFont="1" applyBorder="1" applyAlignment="1">
      <alignment horizontal="center" vertical="center"/>
    </xf>
    <xf numFmtId="0" fontId="11" fillId="0" borderId="83" xfId="0" applyFont="1" applyBorder="1" applyAlignment="1">
      <alignment horizontal="left" vertical="center"/>
    </xf>
    <xf numFmtId="0" fontId="26" fillId="0" borderId="6" xfId="5" applyFont="1" applyBorder="1" applyAlignment="1">
      <alignment horizontal="left" vertical="center"/>
    </xf>
    <xf numFmtId="167" fontId="40" fillId="0" borderId="6" xfId="0" applyNumberFormat="1" applyFont="1" applyBorder="1" applyAlignment="1">
      <alignment horizontal="center" vertical="center"/>
    </xf>
    <xf numFmtId="167" fontId="10" fillId="0" borderId="0" xfId="0" applyNumberFormat="1" applyFont="1" applyAlignment="1">
      <alignment vertical="top"/>
    </xf>
    <xf numFmtId="167" fontId="48" fillId="0" borderId="0" xfId="5" quotePrefix="1" applyNumberFormat="1" applyFont="1" applyAlignment="1">
      <alignment horizontal="left"/>
    </xf>
    <xf numFmtId="166" fontId="48" fillId="0" borderId="0" xfId="5" applyNumberFormat="1" applyFont="1" applyAlignment="1">
      <alignment horizontal="left"/>
    </xf>
    <xf numFmtId="177" fontId="48" fillId="0" borderId="0" xfId="5" applyNumberFormat="1" applyFont="1" applyAlignment="1">
      <alignment horizontal="left"/>
    </xf>
    <xf numFmtId="0" fontId="11" fillId="0" borderId="83" xfId="0" quotePrefix="1" applyFont="1" applyBorder="1" applyAlignment="1">
      <alignment horizontal="left" vertical="center"/>
    </xf>
    <xf numFmtId="178" fontId="26" fillId="0" borderId="0" xfId="5" applyNumberFormat="1" applyFont="1" applyAlignment="1">
      <alignment horizontal="center"/>
    </xf>
    <xf numFmtId="179" fontId="51" fillId="0" borderId="0" xfId="5" applyNumberFormat="1" applyFont="1" applyAlignment="1" applyProtection="1">
      <alignment horizontal="center"/>
      <protection locked="0"/>
    </xf>
    <xf numFmtId="179" fontId="51" fillId="0" borderId="0" xfId="5" applyNumberFormat="1" applyFont="1" applyAlignment="1">
      <alignment horizontal="center"/>
    </xf>
    <xf numFmtId="0" fontId="11" fillId="0" borderId="91" xfId="0" applyFont="1" applyBorder="1" applyAlignment="1">
      <alignment vertical="center"/>
    </xf>
    <xf numFmtId="0" fontId="11" fillId="0" borderId="92" xfId="0" applyFont="1" applyBorder="1" applyAlignment="1">
      <alignment vertical="center"/>
    </xf>
    <xf numFmtId="0" fontId="11" fillId="0" borderId="93" xfId="0" applyFont="1" applyBorder="1" applyAlignment="1">
      <alignment vertical="center"/>
    </xf>
    <xf numFmtId="0" fontId="11" fillId="0" borderId="94" xfId="0" applyFont="1" applyBorder="1" applyAlignment="1">
      <alignment horizontal="center" vertical="center"/>
    </xf>
    <xf numFmtId="167" fontId="11" fillId="0" borderId="94" xfId="0" applyNumberFormat="1" applyFont="1" applyBorder="1" applyAlignment="1">
      <alignment horizontal="center" vertical="center"/>
    </xf>
    <xf numFmtId="0" fontId="11" fillId="0" borderId="95" xfId="0" applyFont="1" applyBorder="1" applyAlignment="1">
      <alignment horizontal="left" vertical="center"/>
    </xf>
    <xf numFmtId="0" fontId="26" fillId="0" borderId="0" xfId="5" applyFont="1" applyAlignment="1">
      <alignment horizontal="center"/>
    </xf>
    <xf numFmtId="0" fontId="40" fillId="0" borderId="14" xfId="4" applyFont="1" applyBorder="1" applyAlignment="1">
      <alignment horizontal="center" vertical="center"/>
    </xf>
    <xf numFmtId="179" fontId="11" fillId="0" borderId="6" xfId="0" applyNumberFormat="1" applyFont="1" applyBorder="1" applyAlignment="1">
      <alignment horizontal="center" vertical="center"/>
    </xf>
    <xf numFmtId="167" fontId="11" fillId="0" borderId="0" xfId="0" applyNumberFormat="1" applyFont="1"/>
    <xf numFmtId="0" fontId="11" fillId="3" borderId="0" xfId="0" applyFont="1" applyFill="1" applyAlignment="1">
      <alignment horizontal="center" vertical="center"/>
    </xf>
    <xf numFmtId="0" fontId="10" fillId="0" borderId="6" xfId="0" applyFont="1" applyBorder="1"/>
    <xf numFmtId="0" fontId="10" fillId="0" borderId="6" xfId="0" applyFont="1" applyBorder="1" applyAlignment="1">
      <alignment horizontal="left" vertical="center"/>
    </xf>
    <xf numFmtId="2" fontId="11" fillId="0" borderId="6" xfId="0" applyNumberFormat="1" applyFont="1" applyBorder="1" applyAlignment="1">
      <alignment horizontal="center" vertical="center"/>
    </xf>
    <xf numFmtId="0" fontId="11" fillId="10" borderId="6" xfId="0" applyFont="1" applyFill="1" applyBorder="1" applyAlignment="1">
      <alignment horizontal="left" vertical="center"/>
    </xf>
    <xf numFmtId="0" fontId="121" fillId="0" borderId="6" xfId="0" applyFont="1" applyBorder="1" applyAlignment="1">
      <alignment horizontal="center" vertical="center"/>
    </xf>
    <xf numFmtId="2" fontId="11" fillId="10" borderId="6" xfId="0" applyNumberFormat="1" applyFont="1" applyFill="1" applyBorder="1" applyAlignment="1">
      <alignment horizontal="center" vertical="center"/>
    </xf>
    <xf numFmtId="0" fontId="11" fillId="14" borderId="6" xfId="0" applyFont="1" applyFill="1" applyBorder="1" applyAlignment="1">
      <alignment horizontal="left" vertical="center"/>
    </xf>
    <xf numFmtId="179" fontId="11" fillId="10" borderId="6" xfId="0" applyNumberFormat="1" applyFont="1" applyFill="1" applyBorder="1" applyAlignment="1">
      <alignment horizontal="center" vertical="center"/>
    </xf>
    <xf numFmtId="0" fontId="122" fillId="0" borderId="6" xfId="0" applyFont="1" applyBorder="1" applyAlignment="1">
      <alignment horizontal="center" vertical="center"/>
    </xf>
    <xf numFmtId="0" fontId="123" fillId="0" borderId="6" xfId="0" applyFont="1" applyBorder="1" applyAlignment="1">
      <alignment horizontal="center" vertical="center"/>
    </xf>
    <xf numFmtId="0" fontId="11" fillId="10" borderId="6" xfId="0" applyFont="1" applyFill="1" applyBorder="1" applyAlignment="1">
      <alignment horizontal="center" vertical="center"/>
    </xf>
    <xf numFmtId="179" fontId="11" fillId="0" borderId="0" xfId="0" applyNumberFormat="1" applyFont="1"/>
    <xf numFmtId="0" fontId="10" fillId="0" borderId="0" xfId="0" applyFont="1" applyAlignment="1">
      <alignment horizontal="center"/>
    </xf>
    <xf numFmtId="0" fontId="121" fillId="0" borderId="0" xfId="0" applyFont="1" applyAlignment="1">
      <alignment horizontal="center" vertical="center"/>
    </xf>
    <xf numFmtId="0" fontId="122" fillId="0" borderId="0" xfId="0" applyFont="1" applyAlignment="1">
      <alignment horizontal="center" vertical="center"/>
    </xf>
    <xf numFmtId="0" fontId="123" fillId="0" borderId="0" xfId="0" applyFont="1" applyAlignment="1">
      <alignment horizontal="center" vertical="center"/>
    </xf>
    <xf numFmtId="179" fontId="11" fillId="0" borderId="0" xfId="0" applyNumberFormat="1" applyFont="1" applyAlignment="1">
      <alignment horizontal="center" vertical="center"/>
    </xf>
    <xf numFmtId="0" fontId="36" fillId="0" borderId="0" xfId="0" applyFont="1"/>
    <xf numFmtId="167" fontId="11" fillId="0" borderId="0" xfId="0" applyNumberFormat="1" applyFont="1" applyAlignment="1">
      <alignment horizontal="center" vertical="center"/>
    </xf>
    <xf numFmtId="167" fontId="10" fillId="0" borderId="0" xfId="0" applyNumberFormat="1" applyFont="1"/>
    <xf numFmtId="167" fontId="27" fillId="3" borderId="0" xfId="2" applyNumberFormat="1" applyFont="1" applyFill="1" applyAlignment="1" applyProtection="1">
      <alignment horizontal="center"/>
      <protection locked="0"/>
    </xf>
    <xf numFmtId="167" fontId="27" fillId="0" borderId="0" xfId="2" applyNumberFormat="1" applyFont="1" applyAlignment="1">
      <alignment horizontal="center"/>
    </xf>
    <xf numFmtId="167" fontId="50" fillId="0" borderId="0" xfId="2" applyNumberFormat="1" applyFont="1" applyAlignment="1" applyProtection="1">
      <alignment horizontal="center"/>
      <protection locked="0"/>
    </xf>
    <xf numFmtId="0" fontId="31" fillId="16" borderId="6" xfId="3" applyFont="1" applyFill="1" applyBorder="1" applyAlignment="1">
      <alignment horizontal="center" vertical="center"/>
    </xf>
    <xf numFmtId="0" fontId="26" fillId="3" borderId="0" xfId="2" applyFont="1" applyFill="1"/>
    <xf numFmtId="0" fontId="26" fillId="3" borderId="0" xfId="2" applyFont="1" applyFill="1" applyAlignment="1">
      <alignment horizontal="center"/>
    </xf>
    <xf numFmtId="0" fontId="37" fillId="3" borderId="0" xfId="2" applyFont="1" applyFill="1"/>
    <xf numFmtId="2" fontId="37" fillId="3" borderId="0" xfId="2" applyNumberFormat="1" applyFont="1" applyFill="1" applyAlignment="1">
      <alignment horizontal="center"/>
    </xf>
    <xf numFmtId="2" fontId="37" fillId="3" borderId="0" xfId="2" applyNumberFormat="1" applyFont="1" applyFill="1"/>
    <xf numFmtId="0" fontId="11" fillId="17" borderId="6" xfId="0" applyFont="1" applyFill="1" applyBorder="1" applyAlignment="1">
      <alignment horizontal="center" vertical="center"/>
    </xf>
    <xf numFmtId="0" fontId="40" fillId="0" borderId="0" xfId="11" applyFont="1" applyAlignment="1">
      <alignment vertical="center"/>
    </xf>
    <xf numFmtId="0" fontId="40" fillId="0" borderId="0" xfId="11" applyFont="1" applyAlignment="1">
      <alignment horizontal="center" vertical="center"/>
    </xf>
    <xf numFmtId="0" fontId="11" fillId="0" borderId="0" xfId="11" applyFont="1" applyAlignment="1">
      <alignment horizontal="left" vertical="center"/>
    </xf>
    <xf numFmtId="175" fontId="40" fillId="0" borderId="28" xfId="11" applyNumberFormat="1" applyFont="1" applyBorder="1" applyAlignment="1">
      <alignment horizontal="left" vertical="center"/>
    </xf>
    <xf numFmtId="0" fontId="112" fillId="0" borderId="0" xfId="11" applyFont="1" applyAlignment="1">
      <alignment vertical="center"/>
    </xf>
    <xf numFmtId="0" fontId="13" fillId="0" borderId="0" xfId="11" applyFont="1" applyAlignment="1">
      <alignment vertical="center"/>
    </xf>
    <xf numFmtId="0" fontId="20" fillId="0" borderId="13" xfId="11" applyFont="1" applyBorder="1" applyAlignment="1">
      <alignment vertical="center"/>
    </xf>
    <xf numFmtId="167" fontId="66" fillId="0" borderId="75" xfId="8" applyNumberFormat="1" applyFont="1" applyBorder="1" applyAlignment="1">
      <alignment horizontal="center" vertical="center"/>
    </xf>
    <xf numFmtId="0" fontId="66" fillId="0" borderId="0" xfId="8" applyFont="1" applyAlignment="1">
      <alignment horizontal="center" vertical="center"/>
    </xf>
    <xf numFmtId="167" fontId="73" fillId="0" borderId="31" xfId="8" applyNumberFormat="1" applyFont="1" applyBorder="1" applyAlignment="1">
      <alignment horizontal="centerContinuous" vertical="center"/>
    </xf>
    <xf numFmtId="2" fontId="66" fillId="0" borderId="35" xfId="8" applyNumberFormat="1" applyFont="1" applyBorder="1" applyAlignment="1">
      <alignment horizontal="centerContinuous"/>
    </xf>
    <xf numFmtId="2" fontId="73" fillId="0" borderId="31" xfId="8" applyNumberFormat="1" applyFont="1" applyBorder="1" applyAlignment="1">
      <alignment horizontal="centerContinuous"/>
    </xf>
    <xf numFmtId="167" fontId="73" fillId="0" borderId="43" xfId="8" applyNumberFormat="1" applyFont="1" applyBorder="1" applyAlignment="1">
      <alignment horizontal="centerContinuous"/>
    </xf>
    <xf numFmtId="2" fontId="73" fillId="0" borderId="35" xfId="8" applyNumberFormat="1" applyFont="1" applyBorder="1" applyAlignment="1">
      <alignment horizontal="centerContinuous"/>
    </xf>
    <xf numFmtId="0" fontId="66" fillId="0" borderId="42" xfId="8" applyFont="1" applyBorder="1" applyAlignment="1" applyProtection="1">
      <alignment horizontal="center"/>
      <protection locked="0"/>
    </xf>
    <xf numFmtId="0" fontId="66" fillId="0" borderId="73" xfId="8" applyFont="1" applyBorder="1" applyAlignment="1" applyProtection="1">
      <alignment horizontal="center"/>
      <protection locked="0"/>
    </xf>
    <xf numFmtId="2" fontId="66" fillId="0" borderId="74" xfId="8" applyNumberFormat="1" applyFont="1" applyBorder="1" applyAlignment="1" applyProtection="1">
      <alignment horizontal="right"/>
      <protection locked="0"/>
    </xf>
    <xf numFmtId="2" fontId="66" fillId="0" borderId="75" xfId="8" applyNumberFormat="1" applyFont="1" applyBorder="1" applyAlignment="1" applyProtection="1">
      <alignment horizontal="right"/>
      <protection locked="0"/>
    </xf>
    <xf numFmtId="2" fontId="66" fillId="0" borderId="74" xfId="8" applyNumberFormat="1" applyFont="1" applyBorder="1" applyAlignment="1">
      <alignment horizontal="right"/>
    </xf>
    <xf numFmtId="2" fontId="66" fillId="0" borderId="75" xfId="8" applyNumberFormat="1" applyFont="1" applyBorder="1" applyAlignment="1">
      <alignment horizontal="right"/>
    </xf>
    <xf numFmtId="167" fontId="66" fillId="0" borderId="74" xfId="8" applyNumberFormat="1" applyFont="1" applyBorder="1" applyAlignment="1">
      <alignment horizontal="right"/>
    </xf>
    <xf numFmtId="167" fontId="66" fillId="0" borderId="75" xfId="8" applyNumberFormat="1" applyFont="1" applyBorder="1" applyAlignment="1">
      <alignment horizontal="right"/>
    </xf>
    <xf numFmtId="0" fontId="66" fillId="0" borderId="74" xfId="8" applyFont="1" applyBorder="1" applyAlignment="1" applyProtection="1">
      <alignment horizontal="right"/>
      <protection locked="0"/>
    </xf>
    <xf numFmtId="0" fontId="66" fillId="0" borderId="75" xfId="8" applyFont="1" applyBorder="1" applyAlignment="1" applyProtection="1">
      <alignment horizontal="right"/>
      <protection locked="0"/>
    </xf>
    <xf numFmtId="1" fontId="66" fillId="0" borderId="41" xfId="8" applyNumberFormat="1" applyFont="1" applyBorder="1" applyAlignment="1" applyProtection="1">
      <alignment horizontal="right"/>
      <protection locked="0"/>
    </xf>
    <xf numFmtId="1" fontId="66" fillId="0" borderId="43" xfId="8" applyNumberFormat="1" applyFont="1" applyBorder="1" applyAlignment="1" applyProtection="1">
      <alignment horizontal="center"/>
      <protection locked="0"/>
    </xf>
    <xf numFmtId="2" fontId="66" fillId="0" borderId="35" xfId="8" applyNumberFormat="1" applyFont="1" applyBorder="1" applyAlignment="1" applyProtection="1">
      <alignment horizontal="right"/>
      <protection locked="0"/>
    </xf>
    <xf numFmtId="0" fontId="11" fillId="0" borderId="0" xfId="0" applyFont="1" applyAlignment="1">
      <alignment horizontal="centerContinuous"/>
    </xf>
    <xf numFmtId="0" fontId="51" fillId="0" borderId="0" xfId="0" applyFont="1"/>
    <xf numFmtId="0" fontId="40" fillId="0" borderId="0" xfId="3" applyFont="1" applyAlignment="1">
      <alignment horizontal="center" vertical="center" wrapText="1"/>
    </xf>
    <xf numFmtId="0" fontId="13" fillId="0" borderId="0" xfId="3" applyFont="1" applyAlignment="1">
      <alignment vertical="center"/>
    </xf>
    <xf numFmtId="0" fontId="125" fillId="18" borderId="0" xfId="3" applyFont="1" applyFill="1" applyAlignment="1">
      <alignment vertical="center"/>
    </xf>
    <xf numFmtId="0" fontId="40" fillId="18" borderId="0" xfId="3" applyFont="1" applyFill="1" applyAlignment="1">
      <alignment vertical="center"/>
    </xf>
    <xf numFmtId="0" fontId="10" fillId="0" borderId="0" xfId="3" applyFont="1" applyAlignment="1">
      <alignment vertical="center"/>
    </xf>
    <xf numFmtId="0" fontId="10" fillId="0" borderId="15" xfId="3" applyFont="1" applyBorder="1" applyAlignment="1">
      <alignment vertical="center"/>
    </xf>
    <xf numFmtId="0" fontId="10" fillId="0" borderId="26" xfId="3" applyFont="1" applyBorder="1" applyAlignment="1">
      <alignment vertical="center"/>
    </xf>
    <xf numFmtId="0" fontId="10" fillId="0" borderId="27" xfId="3" applyFont="1" applyBorder="1" applyAlignment="1">
      <alignment vertical="center"/>
    </xf>
    <xf numFmtId="0" fontId="66" fillId="0" borderId="9" xfId="3" applyFont="1" applyBorder="1" applyAlignment="1">
      <alignment horizontal="center" vertical="center"/>
    </xf>
    <xf numFmtId="2" fontId="26" fillId="18" borderId="0" xfId="3" applyNumberFormat="1" applyFont="1" applyFill="1" applyAlignment="1">
      <alignment vertical="center"/>
    </xf>
    <xf numFmtId="167" fontId="40" fillId="18" borderId="0" xfId="3" applyNumberFormat="1" applyFont="1" applyFill="1" applyAlignment="1">
      <alignment vertical="center"/>
    </xf>
    <xf numFmtId="2" fontId="40" fillId="18" borderId="0" xfId="3" applyNumberFormat="1" applyFont="1" applyFill="1" applyAlignment="1">
      <alignment vertical="center"/>
    </xf>
    <xf numFmtId="1" fontId="40" fillId="18" borderId="0" xfId="3" applyNumberFormat="1" applyFont="1" applyFill="1" applyAlignment="1">
      <alignment vertical="center"/>
    </xf>
    <xf numFmtId="0" fontId="10" fillId="0" borderId="16" xfId="3" applyFont="1" applyBorder="1" applyAlignment="1">
      <alignment vertical="center"/>
    </xf>
    <xf numFmtId="0" fontId="10" fillId="0" borderId="28" xfId="3" applyFont="1" applyBorder="1" applyAlignment="1">
      <alignment vertical="center"/>
    </xf>
    <xf numFmtId="0" fontId="40" fillId="0" borderId="11" xfId="3" applyFont="1" applyBorder="1" applyAlignment="1">
      <alignment vertical="center"/>
    </xf>
    <xf numFmtId="0" fontId="40" fillId="0" borderId="30" xfId="3" applyFont="1" applyBorder="1" applyAlignment="1">
      <alignment vertical="center"/>
    </xf>
    <xf numFmtId="0" fontId="27" fillId="0" borderId="9" xfId="3" applyFont="1" applyBorder="1" applyAlignment="1">
      <alignment horizontal="center" vertical="center"/>
    </xf>
    <xf numFmtId="0" fontId="40" fillId="0" borderId="0" xfId="3" applyFont="1" applyAlignment="1">
      <alignment horizontal="left" vertical="center"/>
    </xf>
    <xf numFmtId="0" fontId="40" fillId="0" borderId="13" xfId="3" applyFont="1" applyBorder="1" applyAlignment="1">
      <alignment vertical="center"/>
    </xf>
    <xf numFmtId="0" fontId="40" fillId="0" borderId="29" xfId="3" applyFont="1" applyBorder="1" applyAlignment="1">
      <alignment horizontal="centerContinuous" vertical="center"/>
    </xf>
    <xf numFmtId="0" fontId="100" fillId="0" borderId="12" xfId="3" applyFont="1" applyBorder="1" applyAlignment="1">
      <alignment horizontal="right" vertical="center"/>
    </xf>
    <xf numFmtId="0" fontId="10" fillId="0" borderId="13" xfId="3" applyFont="1" applyBorder="1" applyAlignment="1">
      <alignment vertical="center"/>
    </xf>
    <xf numFmtId="0" fontId="40" fillId="0" borderId="13" xfId="3" applyFont="1" applyBorder="1" applyAlignment="1">
      <alignment horizontal="left" vertical="center"/>
    </xf>
    <xf numFmtId="0" fontId="40" fillId="0" borderId="21" xfId="3" applyFont="1" applyBorder="1" applyAlignment="1">
      <alignment horizontal="left" vertical="center"/>
    </xf>
    <xf numFmtId="0" fontId="128" fillId="0" borderId="0" xfId="3" applyFont="1" applyAlignment="1">
      <alignment horizontal="center" vertical="center"/>
    </xf>
    <xf numFmtId="167" fontId="51" fillId="0" borderId="29" xfId="3" applyNumberFormat="1" applyFont="1" applyBorder="1" applyAlignment="1" applyProtection="1">
      <alignment horizontal="center" vertical="center"/>
      <protection locked="0"/>
    </xf>
    <xf numFmtId="2" fontId="40" fillId="0" borderId="9" xfId="3" applyNumberFormat="1" applyFont="1" applyBorder="1" applyAlignment="1">
      <alignment horizontal="center" vertical="center"/>
    </xf>
    <xf numFmtId="0" fontId="26" fillId="0" borderId="12" xfId="3" applyFont="1" applyBorder="1" applyAlignment="1">
      <alignment horizontal="center" vertical="center"/>
    </xf>
    <xf numFmtId="167" fontId="129" fillId="0" borderId="29" xfId="3" applyNumberFormat="1" applyFont="1" applyBorder="1" applyAlignment="1" applyProtection="1">
      <alignment horizontal="center" vertical="center"/>
      <protection locked="0"/>
    </xf>
    <xf numFmtId="2" fontId="128" fillId="0" borderId="29" xfId="3" applyNumberFormat="1" applyFont="1" applyBorder="1" applyAlignment="1">
      <alignment horizontal="center" vertical="center"/>
    </xf>
    <xf numFmtId="0" fontId="26" fillId="0" borderId="26" xfId="3" applyFont="1" applyBorder="1" applyAlignment="1">
      <alignment horizontal="center" vertical="center"/>
    </xf>
    <xf numFmtId="0" fontId="40" fillId="0" borderId="12" xfId="3" applyFont="1" applyBorder="1" applyAlignment="1">
      <alignment vertical="center"/>
    </xf>
    <xf numFmtId="2" fontId="128" fillId="0" borderId="0" xfId="3" applyNumberFormat="1" applyFont="1" applyAlignment="1">
      <alignment horizontal="center" vertical="center"/>
    </xf>
    <xf numFmtId="0" fontId="40" fillId="18" borderId="0" xfId="3" applyFont="1" applyFill="1" applyAlignment="1">
      <alignment horizontal="right" vertical="center"/>
    </xf>
    <xf numFmtId="166" fontId="40" fillId="18" borderId="0" xfId="3" applyNumberFormat="1" applyFont="1" applyFill="1" applyAlignment="1">
      <alignment vertical="center"/>
    </xf>
    <xf numFmtId="0" fontId="11" fillId="0" borderId="0" xfId="3" applyFont="1" applyAlignment="1">
      <alignment vertical="center"/>
    </xf>
    <xf numFmtId="0" fontId="11" fillId="0" borderId="16" xfId="3" applyFont="1" applyBorder="1" applyAlignment="1">
      <alignment vertical="center"/>
    </xf>
    <xf numFmtId="0" fontId="11" fillId="0" borderId="28" xfId="3" applyFont="1" applyBorder="1" applyAlignment="1">
      <alignment vertical="center"/>
    </xf>
    <xf numFmtId="167" fontId="40" fillId="0" borderId="12" xfId="3" applyNumberFormat="1" applyFont="1" applyBorder="1" applyAlignment="1">
      <alignment horizontal="center" vertical="center"/>
    </xf>
    <xf numFmtId="2" fontId="40" fillId="0" borderId="29" xfId="3" applyNumberFormat="1" applyFont="1" applyBorder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16" fillId="0" borderId="0" xfId="3" applyFont="1" applyAlignment="1">
      <alignment vertical="center"/>
    </xf>
    <xf numFmtId="0" fontId="16" fillId="0" borderId="16" xfId="3" applyFont="1" applyBorder="1" applyAlignment="1">
      <alignment vertical="center"/>
    </xf>
    <xf numFmtId="167" fontId="35" fillId="0" borderId="0" xfId="3" applyNumberFormat="1" applyFont="1" applyAlignment="1">
      <alignment vertical="center"/>
    </xf>
    <xf numFmtId="167" fontId="44" fillId="0" borderId="0" xfId="3" applyNumberFormat="1" applyFont="1" applyAlignment="1">
      <alignment horizontal="center" vertical="center"/>
    </xf>
    <xf numFmtId="2" fontId="40" fillId="0" borderId="0" xfId="3" applyNumberFormat="1" applyFont="1" applyAlignment="1">
      <alignment horizontal="center" vertical="center"/>
    </xf>
    <xf numFmtId="167" fontId="40" fillId="18" borderId="0" xfId="3" applyNumberFormat="1" applyFont="1" applyFill="1" applyAlignment="1">
      <alignment horizontal="left" vertical="center"/>
    </xf>
    <xf numFmtId="166" fontId="40" fillId="18" borderId="0" xfId="3" applyNumberFormat="1" applyFont="1" applyFill="1" applyAlignment="1">
      <alignment horizontal="left" vertical="center"/>
    </xf>
    <xf numFmtId="0" fontId="40" fillId="0" borderId="14" xfId="3" applyFont="1" applyBorder="1" applyAlignment="1">
      <alignment horizontal="center" vertical="center"/>
    </xf>
    <xf numFmtId="0" fontId="40" fillId="0" borderId="27" xfId="3" applyFont="1" applyBorder="1" applyAlignment="1">
      <alignment horizontal="center" vertical="center"/>
    </xf>
    <xf numFmtId="0" fontId="40" fillId="0" borderId="26" xfId="3" applyFont="1" applyBorder="1" applyAlignment="1">
      <alignment horizontal="left" vertical="center"/>
    </xf>
    <xf numFmtId="0" fontId="40" fillId="0" borderId="9" xfId="3" applyFont="1" applyBorder="1" applyAlignment="1">
      <alignment horizontal="center" vertical="center"/>
    </xf>
    <xf numFmtId="167" fontId="40" fillId="0" borderId="9" xfId="3" applyNumberFormat="1" applyFont="1" applyBorder="1" applyAlignment="1">
      <alignment horizontal="center" vertical="center"/>
    </xf>
    <xf numFmtId="167" fontId="40" fillId="0" borderId="28" xfId="3" applyNumberFormat="1" applyFont="1" applyBorder="1" applyAlignment="1">
      <alignment horizontal="center" vertical="center"/>
    </xf>
    <xf numFmtId="0" fontId="40" fillId="0" borderId="13" xfId="3" applyFont="1" applyBorder="1" applyAlignment="1">
      <alignment horizontal="centerContinuous" vertical="center"/>
    </xf>
    <xf numFmtId="0" fontId="40" fillId="0" borderId="21" xfId="3" applyFont="1" applyBorder="1" applyAlignment="1">
      <alignment horizontal="centerContinuous" vertical="center"/>
    </xf>
    <xf numFmtId="0" fontId="40" fillId="0" borderId="12" xfId="3" applyFont="1" applyBorder="1" applyAlignment="1">
      <alignment horizontal="center" vertical="center"/>
    </xf>
    <xf numFmtId="0" fontId="40" fillId="0" borderId="29" xfId="3" applyFont="1" applyBorder="1" applyAlignment="1">
      <alignment horizontal="center" vertical="center"/>
    </xf>
    <xf numFmtId="167" fontId="40" fillId="0" borderId="0" xfId="3" applyNumberFormat="1" applyFont="1" applyAlignment="1">
      <alignment horizontal="center" vertical="center"/>
    </xf>
    <xf numFmtId="167" fontId="40" fillId="0" borderId="29" xfId="3" applyNumberFormat="1" applyFont="1" applyBorder="1" applyAlignment="1">
      <alignment horizontal="centerContinuous" vertical="center"/>
    </xf>
    <xf numFmtId="0" fontId="128" fillId="0" borderId="0" xfId="3" applyFont="1" applyAlignment="1">
      <alignment horizontal="left" vertical="center"/>
    </xf>
    <xf numFmtId="2" fontId="40" fillId="0" borderId="29" xfId="3" applyNumberFormat="1" applyFont="1" applyBorder="1" applyAlignment="1">
      <alignment horizontal="centerContinuous" vertical="center"/>
    </xf>
    <xf numFmtId="165" fontId="40" fillId="0" borderId="0" xfId="3" applyNumberFormat="1" applyFont="1" applyAlignment="1">
      <alignment horizontal="left" vertical="center"/>
    </xf>
    <xf numFmtId="165" fontId="40" fillId="0" borderId="21" xfId="3" applyNumberFormat="1" applyFont="1" applyBorder="1" applyAlignment="1">
      <alignment horizontal="center" vertical="center"/>
    </xf>
    <xf numFmtId="0" fontId="40" fillId="6" borderId="0" xfId="3" applyFont="1" applyFill="1" applyAlignment="1">
      <alignment vertical="center"/>
    </xf>
    <xf numFmtId="2" fontId="40" fillId="6" borderId="0" xfId="3" applyNumberFormat="1" applyFont="1" applyFill="1" applyAlignment="1">
      <alignment vertical="center"/>
    </xf>
    <xf numFmtId="167" fontId="40" fillId="0" borderId="21" xfId="3" applyNumberFormat="1" applyFont="1" applyBorder="1" applyAlignment="1">
      <alignment horizontal="centerContinuous" vertical="center"/>
    </xf>
    <xf numFmtId="1" fontId="40" fillId="6" borderId="0" xfId="3" applyNumberFormat="1" applyFont="1" applyFill="1" applyAlignment="1">
      <alignment vertical="center"/>
    </xf>
    <xf numFmtId="166" fontId="40" fillId="6" borderId="0" xfId="3" applyNumberFormat="1" applyFont="1" applyFill="1" applyAlignment="1">
      <alignment vertical="center"/>
    </xf>
    <xf numFmtId="0" fontId="40" fillId="6" borderId="0" xfId="3" applyFont="1" applyFill="1" applyAlignment="1">
      <alignment horizontal="right" vertical="center"/>
    </xf>
    <xf numFmtId="2" fontId="40" fillId="0" borderId="0" xfId="3" applyNumberFormat="1" applyFont="1" applyAlignment="1">
      <alignment horizontal="left" vertical="center"/>
    </xf>
    <xf numFmtId="0" fontId="128" fillId="0" borderId="26" xfId="3" applyFont="1" applyBorder="1" applyAlignment="1" applyProtection="1">
      <alignment horizontal="center" vertical="center"/>
      <protection locked="0"/>
    </xf>
    <xf numFmtId="2" fontId="51" fillId="0" borderId="0" xfId="3" applyNumberFormat="1" applyFont="1" applyAlignment="1">
      <alignment horizontal="center" vertical="center"/>
    </xf>
    <xf numFmtId="0" fontId="40" fillId="0" borderId="26" xfId="3" applyFont="1" applyBorder="1" applyAlignment="1">
      <alignment horizontal="center" vertical="center"/>
    </xf>
    <xf numFmtId="0" fontId="10" fillId="0" borderId="21" xfId="3" applyFont="1" applyBorder="1" applyAlignment="1">
      <alignment vertical="center"/>
    </xf>
    <xf numFmtId="0" fontId="10" fillId="0" borderId="29" xfId="3" applyFont="1" applyBorder="1" applyAlignment="1">
      <alignment vertical="center"/>
    </xf>
    <xf numFmtId="167" fontId="40" fillId="0" borderId="6" xfId="3" applyNumberFormat="1" applyFont="1" applyBorder="1" applyAlignment="1">
      <alignment horizontal="center" vertical="center"/>
    </xf>
    <xf numFmtId="0" fontId="40" fillId="3" borderId="0" xfId="3" applyFont="1" applyFill="1" applyAlignment="1">
      <alignment horizontal="center" vertical="center" wrapText="1"/>
    </xf>
    <xf numFmtId="0" fontId="40" fillId="3" borderId="0" xfId="3" applyFont="1" applyFill="1" applyAlignment="1">
      <alignment horizontal="center" vertical="center"/>
    </xf>
    <xf numFmtId="0" fontId="40" fillId="3" borderId="0" xfId="3" applyFont="1" applyFill="1" applyAlignment="1">
      <alignment horizontal="left" vertical="center"/>
    </xf>
    <xf numFmtId="2" fontId="128" fillId="3" borderId="0" xfId="3" applyNumberFormat="1" applyFont="1" applyFill="1" applyAlignment="1">
      <alignment horizontal="center" vertical="center"/>
    </xf>
    <xf numFmtId="0" fontId="40" fillId="0" borderId="6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28" fillId="0" borderId="0" xfId="0" applyFont="1"/>
    <xf numFmtId="0" fontId="40" fillId="0" borderId="6" xfId="3" applyFont="1" applyBorder="1" applyAlignment="1">
      <alignment horizontal="left" vertical="center"/>
    </xf>
    <xf numFmtId="1" fontId="26" fillId="0" borderId="11" xfId="3" applyNumberFormat="1" applyFont="1" applyBorder="1" applyAlignment="1">
      <alignment vertical="center"/>
    </xf>
    <xf numFmtId="1" fontId="26" fillId="0" borderId="30" xfId="3" applyNumberFormat="1" applyFont="1" applyBorder="1" applyAlignment="1">
      <alignment vertical="center"/>
    </xf>
    <xf numFmtId="1" fontId="26" fillId="0" borderId="7" xfId="3" applyNumberFormat="1" applyFont="1" applyBorder="1" applyAlignment="1">
      <alignment vertical="center"/>
    </xf>
    <xf numFmtId="0" fontId="16" fillId="0" borderId="11" xfId="3" applyFont="1" applyBorder="1" applyAlignment="1">
      <alignment horizontal="left" vertical="center"/>
    </xf>
    <xf numFmtId="0" fontId="16" fillId="0" borderId="7" xfId="3" applyFont="1" applyBorder="1" applyAlignment="1">
      <alignment horizontal="left" vertical="center"/>
    </xf>
    <xf numFmtId="0" fontId="16" fillId="0" borderId="11" xfId="3" applyFont="1" applyBorder="1" applyAlignment="1">
      <alignment horizontal="centerContinuous" vertical="center"/>
    </xf>
    <xf numFmtId="0" fontId="16" fillId="0" borderId="7" xfId="3" applyFont="1" applyBorder="1" applyAlignment="1">
      <alignment horizontal="centerContinuous" vertical="center"/>
    </xf>
    <xf numFmtId="0" fontId="18" fillId="0" borderId="6" xfId="3" applyFont="1" applyBorder="1" applyAlignment="1">
      <alignment horizontal="centerContinuous" vertical="center"/>
    </xf>
    <xf numFmtId="0" fontId="40" fillId="0" borderId="6" xfId="3" applyFont="1" applyBorder="1" applyAlignment="1">
      <alignment horizontal="centerContinuous" vertical="center"/>
    </xf>
    <xf numFmtId="0" fontId="26" fillId="0" borderId="6" xfId="3" applyFont="1" applyBorder="1" applyAlignment="1">
      <alignment horizontal="centerContinuous" vertical="center"/>
    </xf>
    <xf numFmtId="2" fontId="138" fillId="0" borderId="41" xfId="3" applyNumberFormat="1" applyFont="1" applyBorder="1" applyAlignment="1">
      <alignment horizontal="centerContinuous" vertical="center"/>
    </xf>
    <xf numFmtId="2" fontId="138" fillId="0" borderId="36" xfId="3" applyNumberFormat="1" applyFont="1" applyBorder="1" applyAlignment="1">
      <alignment horizontal="centerContinuous" vertical="center"/>
    </xf>
    <xf numFmtId="2" fontId="138" fillId="0" borderId="40" xfId="3" applyNumberFormat="1" applyFont="1" applyBorder="1" applyAlignment="1">
      <alignment horizontal="centerContinuous" vertical="center"/>
    </xf>
    <xf numFmtId="167" fontId="13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center" vertical="center"/>
    </xf>
    <xf numFmtId="0" fontId="108" fillId="0" borderId="0" xfId="0" applyFont="1" applyAlignment="1">
      <alignment horizontal="center" vertical="center" wrapText="1"/>
    </xf>
    <xf numFmtId="0" fontId="35" fillId="0" borderId="15" xfId="13" applyFont="1" applyBorder="1" applyAlignment="1">
      <alignment vertical="center"/>
    </xf>
    <xf numFmtId="0" fontId="35" fillId="0" borderId="26" xfId="13" applyFont="1" applyBorder="1" applyAlignment="1">
      <alignment vertical="center"/>
    </xf>
    <xf numFmtId="0" fontId="35" fillId="0" borderId="26" xfId="13" applyFont="1" applyBorder="1" applyAlignment="1">
      <alignment horizontal="center" vertical="center"/>
    </xf>
    <xf numFmtId="0" fontId="35" fillId="0" borderId="27" xfId="13" applyFont="1" applyBorder="1" applyAlignment="1">
      <alignment vertical="center"/>
    </xf>
    <xf numFmtId="0" fontId="35" fillId="0" borderId="0" xfId="13" applyFont="1" applyAlignment="1">
      <alignment vertical="center"/>
    </xf>
    <xf numFmtId="0" fontId="124" fillId="0" borderId="0" xfId="13" applyFont="1" applyAlignment="1">
      <alignment vertical="center"/>
    </xf>
    <xf numFmtId="0" fontId="35" fillId="0" borderId="0" xfId="13" applyFont="1" applyAlignment="1">
      <alignment horizontal="center" vertical="center"/>
    </xf>
    <xf numFmtId="0" fontId="35" fillId="0" borderId="16" xfId="13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11" fillId="0" borderId="26" xfId="0" applyFont="1" applyBorder="1" applyAlignment="1">
      <alignment vertical="center"/>
    </xf>
    <xf numFmtId="0" fontId="35" fillId="0" borderId="28" xfId="13" applyFont="1" applyBorder="1" applyAlignment="1">
      <alignment vertical="center"/>
    </xf>
    <xf numFmtId="0" fontId="10" fillId="0" borderId="0" xfId="13" applyFont="1" applyAlignment="1">
      <alignment vertical="center"/>
    </xf>
    <xf numFmtId="14" fontId="13" fillId="0" borderId="0" xfId="0" applyNumberFormat="1" applyFont="1" applyAlignment="1">
      <alignment vertical="center"/>
    </xf>
    <xf numFmtId="0" fontId="15" fillId="0" borderId="0" xfId="0" applyFont="1" applyAlignment="1">
      <alignment horizontal="left" vertical="center" wrapText="1"/>
    </xf>
    <xf numFmtId="2" fontId="10" fillId="0" borderId="0" xfId="13" applyNumberFormat="1" applyFont="1" applyAlignment="1">
      <alignment horizontal="center" vertical="center"/>
    </xf>
    <xf numFmtId="0" fontId="10" fillId="0" borderId="0" xfId="13" applyFont="1" applyAlignment="1">
      <alignment horizontal="center" vertical="center"/>
    </xf>
    <xf numFmtId="167" fontId="10" fillId="0" borderId="0" xfId="13" applyNumberFormat="1" applyFont="1" applyAlignment="1">
      <alignment horizontal="center" vertical="center"/>
    </xf>
    <xf numFmtId="0" fontId="13" fillId="0" borderId="0" xfId="13" applyFont="1" applyAlignment="1">
      <alignment horizontal="right" vertical="center"/>
    </xf>
    <xf numFmtId="2" fontId="10" fillId="0" borderId="0" xfId="13" applyNumberFormat="1" applyFont="1" applyAlignment="1">
      <alignment horizontal="right" vertical="center"/>
    </xf>
    <xf numFmtId="0" fontId="16" fillId="0" borderId="0" xfId="13" applyFont="1" applyAlignment="1">
      <alignment vertical="center"/>
    </xf>
    <xf numFmtId="0" fontId="12" fillId="0" borderId="0" xfId="13" applyFont="1" applyAlignment="1">
      <alignment vertical="center"/>
    </xf>
    <xf numFmtId="0" fontId="19" fillId="0" borderId="0" xfId="13" applyFont="1" applyAlignment="1">
      <alignment horizontal="center" vertical="center" wrapText="1"/>
    </xf>
    <xf numFmtId="0" fontId="13" fillId="0" borderId="0" xfId="13" applyFont="1" applyAlignment="1">
      <alignment vertical="center"/>
    </xf>
    <xf numFmtId="0" fontId="11" fillId="0" borderId="0" xfId="13" applyFont="1" applyAlignment="1">
      <alignment vertical="center"/>
    </xf>
    <xf numFmtId="0" fontId="40" fillId="0" borderId="0" xfId="13" applyFont="1" applyAlignment="1">
      <alignment vertical="center"/>
    </xf>
    <xf numFmtId="0" fontId="11" fillId="0" borderId="0" xfId="13" applyFont="1" applyAlignment="1">
      <alignment horizontal="left" vertical="center"/>
    </xf>
    <xf numFmtId="14" fontId="11" fillId="0" borderId="0" xfId="13" applyNumberFormat="1" applyFont="1" applyAlignment="1">
      <alignment horizontal="left" vertical="center"/>
    </xf>
    <xf numFmtId="0" fontId="40" fillId="0" borderId="0" xfId="13" applyFont="1" applyAlignment="1">
      <alignment horizontal="left" vertical="center"/>
    </xf>
    <xf numFmtId="0" fontId="44" fillId="0" borderId="28" xfId="13" applyFont="1" applyBorder="1" applyAlignment="1">
      <alignment vertical="center"/>
    </xf>
    <xf numFmtId="0" fontId="10" fillId="0" borderId="6" xfId="14" applyFont="1" applyBorder="1" applyAlignment="1">
      <alignment horizontal="center" vertical="center"/>
    </xf>
    <xf numFmtId="0" fontId="11" fillId="0" borderId="0" xfId="13" applyFont="1" applyAlignment="1">
      <alignment horizontal="left" vertical="center" wrapText="1"/>
    </xf>
    <xf numFmtId="167" fontId="10" fillId="0" borderId="6" xfId="14" applyNumberFormat="1" applyFont="1" applyBorder="1" applyAlignment="1">
      <alignment horizontal="center" vertical="center"/>
    </xf>
    <xf numFmtId="0" fontId="40" fillId="0" borderId="0" xfId="13" applyFont="1" applyAlignment="1">
      <alignment horizontal="center" vertical="center"/>
    </xf>
    <xf numFmtId="0" fontId="16" fillId="0" borderId="0" xfId="13" applyFont="1" applyAlignment="1">
      <alignment horizontal="left" vertical="center"/>
    </xf>
    <xf numFmtId="0" fontId="16" fillId="0" borderId="0" xfId="13" applyFont="1" applyAlignment="1">
      <alignment horizontal="center" vertical="center"/>
    </xf>
    <xf numFmtId="0" fontId="16" fillId="0" borderId="6" xfId="13" applyFont="1" applyBorder="1" applyAlignment="1">
      <alignment horizontal="center" vertical="center"/>
    </xf>
    <xf numFmtId="0" fontId="16" fillId="0" borderId="6" xfId="13" applyFont="1" applyBorder="1" applyAlignment="1">
      <alignment horizontal="centerContinuous" vertical="center"/>
    </xf>
    <xf numFmtId="0" fontId="34" fillId="0" borderId="6" xfId="13" applyFont="1" applyBorder="1" applyAlignment="1">
      <alignment horizontal="centerContinuous" vertical="center"/>
    </xf>
    <xf numFmtId="0" fontId="18" fillId="0" borderId="6" xfId="13" applyFont="1" applyBorder="1" applyAlignment="1">
      <alignment horizontal="centerContinuous" vertical="center"/>
    </xf>
    <xf numFmtId="2" fontId="13" fillId="0" borderId="0" xfId="13" applyNumberFormat="1" applyFont="1" applyAlignment="1">
      <alignment vertical="center"/>
    </xf>
    <xf numFmtId="0" fontId="40" fillId="0" borderId="6" xfId="13" applyFont="1" applyBorder="1" applyAlignment="1">
      <alignment horizontal="center" vertical="center"/>
    </xf>
    <xf numFmtId="0" fontId="11" fillId="0" borderId="6" xfId="13" applyFont="1" applyBorder="1" applyAlignment="1">
      <alignment horizontal="center" vertical="center"/>
    </xf>
    <xf numFmtId="165" fontId="10" fillId="0" borderId="0" xfId="13" applyNumberFormat="1" applyFont="1" applyAlignment="1">
      <alignment vertical="center"/>
    </xf>
    <xf numFmtId="0" fontId="112" fillId="0" borderId="6" xfId="13" applyFont="1" applyBorder="1" applyAlignment="1">
      <alignment horizontal="center" vertical="center"/>
    </xf>
    <xf numFmtId="0" fontId="40" fillId="0" borderId="0" xfId="15" applyFont="1" applyAlignment="1">
      <alignment horizontal="center" vertical="center"/>
    </xf>
    <xf numFmtId="2" fontId="26" fillId="0" borderId="0" xfId="15" applyNumberFormat="1" applyFont="1" applyAlignment="1">
      <alignment horizontal="center" vertical="center"/>
    </xf>
    <xf numFmtId="0" fontId="35" fillId="12" borderId="0" xfId="13" applyFont="1" applyFill="1" applyAlignment="1">
      <alignment vertical="center"/>
    </xf>
    <xf numFmtId="0" fontId="59" fillId="0" borderId="6" xfId="13" applyFont="1" applyBorder="1" applyAlignment="1">
      <alignment horizontal="center" vertical="center"/>
    </xf>
    <xf numFmtId="0" fontId="35" fillId="0" borderId="6" xfId="13" applyFont="1" applyBorder="1" applyAlignment="1">
      <alignment vertical="center"/>
    </xf>
    <xf numFmtId="0" fontId="35" fillId="0" borderId="6" xfId="13" applyFont="1" applyBorder="1" applyAlignment="1">
      <alignment horizontal="center" vertical="center"/>
    </xf>
    <xf numFmtId="0" fontId="119" fillId="0" borderId="6" xfId="13" applyFont="1" applyBorder="1" applyAlignment="1">
      <alignment horizontal="center" vertical="center"/>
    </xf>
    <xf numFmtId="0" fontId="40" fillId="0" borderId="0" xfId="15" applyFont="1" applyAlignment="1">
      <alignment vertical="center"/>
    </xf>
    <xf numFmtId="165" fontId="10" fillId="0" borderId="0" xfId="13" applyNumberFormat="1" applyFont="1" applyAlignment="1">
      <alignment horizontal="center" vertical="center"/>
    </xf>
    <xf numFmtId="167" fontId="10" fillId="0" borderId="6" xfId="13" applyNumberFormat="1" applyFont="1" applyBorder="1" applyAlignment="1">
      <alignment horizontal="center" vertical="center"/>
    </xf>
    <xf numFmtId="0" fontId="35" fillId="0" borderId="11" xfId="13" applyFont="1" applyBorder="1" applyAlignment="1">
      <alignment vertical="center"/>
    </xf>
    <xf numFmtId="0" fontId="35" fillId="0" borderId="30" xfId="13" applyFont="1" applyBorder="1" applyAlignment="1">
      <alignment vertical="center"/>
    </xf>
    <xf numFmtId="0" fontId="35" fillId="0" borderId="7" xfId="13" applyFont="1" applyBorder="1" applyAlignment="1">
      <alignment vertical="center"/>
    </xf>
    <xf numFmtId="0" fontId="26" fillId="0" borderId="0" xfId="15" applyFont="1" applyAlignment="1">
      <alignment horizontal="center" vertical="center"/>
    </xf>
    <xf numFmtId="167" fontId="124" fillId="0" borderId="6" xfId="14" applyNumberFormat="1" applyFont="1" applyBorder="1" applyAlignment="1">
      <alignment horizontal="center" vertical="center"/>
    </xf>
    <xf numFmtId="0" fontId="26" fillId="0" borderId="0" xfId="15" applyFont="1" applyAlignment="1">
      <alignment vertical="center"/>
    </xf>
    <xf numFmtId="167" fontId="10" fillId="0" borderId="0" xfId="13" applyNumberFormat="1" applyFont="1" applyAlignment="1">
      <alignment vertical="center"/>
    </xf>
    <xf numFmtId="2" fontId="73" fillId="0" borderId="0" xfId="15" applyNumberFormat="1" applyFont="1" applyAlignment="1">
      <alignment vertical="center"/>
    </xf>
    <xf numFmtId="0" fontId="10" fillId="0" borderId="6" xfId="13" applyFont="1" applyBorder="1" applyAlignment="1">
      <alignment horizontal="center" vertical="center"/>
    </xf>
    <xf numFmtId="167" fontId="35" fillId="0" borderId="0" xfId="13" applyNumberFormat="1" applyFont="1" applyAlignment="1">
      <alignment vertical="center"/>
    </xf>
    <xf numFmtId="0" fontId="50" fillId="0" borderId="11" xfId="13" applyFont="1" applyBorder="1" applyAlignment="1">
      <alignment vertical="center"/>
    </xf>
    <xf numFmtId="0" fontId="50" fillId="0" borderId="30" xfId="13" applyFont="1" applyBorder="1" applyAlignment="1">
      <alignment vertical="center"/>
    </xf>
    <xf numFmtId="0" fontId="50" fillId="0" borderId="7" xfId="13" applyFont="1" applyBorder="1" applyAlignment="1">
      <alignment vertical="center"/>
    </xf>
    <xf numFmtId="0" fontId="50" fillId="0" borderId="6" xfId="13" applyFont="1" applyBorder="1" applyAlignment="1">
      <alignment horizontal="center" vertical="center"/>
    </xf>
    <xf numFmtId="0" fontId="27" fillId="0" borderId="11" xfId="13" applyFont="1" applyBorder="1" applyAlignment="1">
      <alignment vertical="center"/>
    </xf>
    <xf numFmtId="0" fontId="27" fillId="0" borderId="30" xfId="13" applyFont="1" applyBorder="1" applyAlignment="1">
      <alignment vertical="center"/>
    </xf>
    <xf numFmtId="0" fontId="27" fillId="0" borderId="7" xfId="13" applyFont="1" applyBorder="1" applyAlignment="1">
      <alignment vertical="center"/>
    </xf>
    <xf numFmtId="0" fontId="27" fillId="0" borderId="6" xfId="13" applyFont="1" applyBorder="1" applyAlignment="1">
      <alignment horizontal="center" vertical="center"/>
    </xf>
    <xf numFmtId="0" fontId="13" fillId="0" borderId="0" xfId="13" applyFont="1" applyAlignment="1">
      <alignment horizontal="center" vertical="center"/>
    </xf>
    <xf numFmtId="0" fontId="27" fillId="0" borderId="6" xfId="13" applyFont="1" applyBorder="1" applyAlignment="1" applyProtection="1">
      <alignment horizontal="center" vertical="center"/>
      <protection locked="0"/>
    </xf>
    <xf numFmtId="167" fontId="13" fillId="0" borderId="0" xfId="13" applyNumberFormat="1" applyFont="1" applyAlignment="1">
      <alignment vertical="center"/>
    </xf>
    <xf numFmtId="2" fontId="27" fillId="0" borderId="6" xfId="13" applyNumberFormat="1" applyFont="1" applyBorder="1" applyAlignment="1">
      <alignment horizontal="center" vertical="center"/>
    </xf>
    <xf numFmtId="0" fontId="50" fillId="0" borderId="0" xfId="13" applyFont="1" applyAlignment="1">
      <alignment vertical="center"/>
    </xf>
    <xf numFmtId="0" fontId="66" fillId="0" borderId="11" xfId="13" applyFont="1" applyBorder="1" applyAlignment="1">
      <alignment vertical="center"/>
    </xf>
    <xf numFmtId="0" fontId="66" fillId="0" borderId="30" xfId="13" applyFont="1" applyBorder="1" applyAlignment="1">
      <alignment vertical="center"/>
    </xf>
    <xf numFmtId="0" fontId="66" fillId="0" borderId="7" xfId="13" applyFont="1" applyBorder="1" applyAlignment="1">
      <alignment vertical="center"/>
    </xf>
    <xf numFmtId="0" fontId="66" fillId="0" borderId="6" xfId="13" applyFont="1" applyBorder="1" applyAlignment="1">
      <alignment horizontal="center" vertical="center"/>
    </xf>
    <xf numFmtId="0" fontId="27" fillId="0" borderId="0" xfId="13" applyFont="1" applyAlignment="1">
      <alignment vertical="center"/>
    </xf>
    <xf numFmtId="0" fontId="38" fillId="0" borderId="0" xfId="13" applyFont="1" applyAlignment="1">
      <alignment vertical="center"/>
    </xf>
    <xf numFmtId="167" fontId="27" fillId="0" borderId="6" xfId="13" applyNumberFormat="1" applyFont="1" applyBorder="1" applyAlignment="1" applyProtection="1">
      <alignment horizontal="center" vertical="center"/>
      <protection locked="0"/>
    </xf>
    <xf numFmtId="0" fontId="38" fillId="0" borderId="0" xfId="13" applyFont="1" applyAlignment="1" applyProtection="1">
      <alignment vertical="center"/>
      <protection locked="0"/>
    </xf>
    <xf numFmtId="0" fontId="66" fillId="0" borderId="0" xfId="13" applyFont="1" applyAlignment="1">
      <alignment vertical="center"/>
    </xf>
    <xf numFmtId="167" fontId="27" fillId="0" borderId="6" xfId="13" applyNumberFormat="1" applyFont="1" applyBorder="1" applyAlignment="1">
      <alignment horizontal="center" vertical="center"/>
    </xf>
    <xf numFmtId="167" fontId="38" fillId="0" borderId="0" xfId="13" applyNumberFormat="1" applyFont="1" applyAlignment="1">
      <alignment vertical="center"/>
    </xf>
    <xf numFmtId="0" fontId="101" fillId="0" borderId="0" xfId="13" applyFont="1" applyAlignment="1" applyProtection="1">
      <alignment horizontal="center" vertical="center"/>
      <protection locked="0"/>
    </xf>
    <xf numFmtId="0" fontId="38" fillId="0" borderId="0" xfId="13" applyFont="1" applyAlignment="1" applyProtection="1">
      <alignment horizontal="left" vertical="center"/>
      <protection locked="0"/>
    </xf>
    <xf numFmtId="167" fontId="36" fillId="0" borderId="0" xfId="13" applyNumberFormat="1" applyFont="1" applyAlignment="1">
      <alignment vertical="center"/>
    </xf>
    <xf numFmtId="0" fontId="35" fillId="0" borderId="13" xfId="13" applyFont="1" applyBorder="1" applyAlignment="1">
      <alignment vertical="center"/>
    </xf>
    <xf numFmtId="0" fontId="35" fillId="0" borderId="21" xfId="13" applyFont="1" applyBorder="1" applyAlignment="1">
      <alignment vertical="center"/>
    </xf>
    <xf numFmtId="0" fontId="13" fillId="0" borderId="21" xfId="13" applyFont="1" applyBorder="1" applyAlignment="1">
      <alignment vertical="center"/>
    </xf>
    <xf numFmtId="0" fontId="13" fillId="0" borderId="21" xfId="13" applyFont="1" applyBorder="1" applyAlignment="1">
      <alignment horizontal="center" vertical="center"/>
    </xf>
    <xf numFmtId="0" fontId="35" fillId="0" borderId="29" xfId="13" applyFont="1" applyBorder="1" applyAlignment="1">
      <alignment vertical="center"/>
    </xf>
    <xf numFmtId="0" fontId="11" fillId="0" borderId="0" xfId="13" applyFont="1" applyAlignment="1">
      <alignment horizontal="center" vertical="center"/>
    </xf>
    <xf numFmtId="167" fontId="35" fillId="0" borderId="0" xfId="13" applyNumberFormat="1" applyFont="1" applyAlignment="1">
      <alignment horizontal="center" vertical="center"/>
    </xf>
    <xf numFmtId="0" fontId="66" fillId="0" borderId="0" xfId="15" applyFont="1" applyAlignment="1">
      <alignment vertical="center"/>
    </xf>
    <xf numFmtId="2" fontId="26" fillId="0" borderId="0" xfId="15" applyNumberFormat="1" applyFont="1" applyAlignment="1">
      <alignment vertical="center"/>
    </xf>
    <xf numFmtId="0" fontId="51" fillId="0" borderId="0" xfId="15" applyFont="1" applyAlignment="1">
      <alignment vertical="center"/>
    </xf>
    <xf numFmtId="167" fontId="26" fillId="0" borderId="0" xfId="15" applyNumberFormat="1" applyFont="1" applyAlignment="1">
      <alignment horizontal="center" vertical="center"/>
    </xf>
    <xf numFmtId="167" fontId="26" fillId="0" borderId="0" xfId="15" applyNumberFormat="1" applyFont="1" applyAlignment="1">
      <alignment vertical="center"/>
    </xf>
    <xf numFmtId="0" fontId="40" fillId="0" borderId="0" xfId="15" applyFont="1" applyAlignment="1">
      <alignment horizontal="left" vertical="center"/>
    </xf>
    <xf numFmtId="167" fontId="40" fillId="0" borderId="0" xfId="15" applyNumberFormat="1" applyFont="1" applyAlignment="1">
      <alignment vertical="center"/>
    </xf>
    <xf numFmtId="0" fontId="66" fillId="0" borderId="0" xfId="15" applyFont="1" applyAlignment="1">
      <alignment horizontal="center" vertical="center"/>
    </xf>
    <xf numFmtId="2" fontId="66" fillId="0" borderId="0" xfId="15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4" fillId="3" borderId="6" xfId="13" applyFont="1" applyFill="1" applyBorder="1" applyAlignment="1">
      <alignment vertical="center"/>
    </xf>
    <xf numFmtId="2" fontId="72" fillId="0" borderId="41" xfId="3" applyNumberFormat="1" applyFont="1" applyBorder="1" applyAlignment="1">
      <alignment horizontal="centerContinuous" vertical="center"/>
    </xf>
    <xf numFmtId="0" fontId="14" fillId="0" borderId="13" xfId="11" applyFont="1" applyBorder="1" applyAlignment="1">
      <alignment vertical="center"/>
    </xf>
    <xf numFmtId="0" fontId="27" fillId="0" borderId="21" xfId="2" applyFont="1" applyBorder="1" applyAlignment="1" applyProtection="1">
      <alignment horizontal="left" vertical="top"/>
      <protection locked="0"/>
    </xf>
    <xf numFmtId="0" fontId="27" fillId="3" borderId="3" xfId="2" applyFont="1" applyFill="1" applyBorder="1" applyAlignment="1" applyProtection="1">
      <alignment horizontal="left" indent="1"/>
      <protection locked="0"/>
    </xf>
    <xf numFmtId="0" fontId="27" fillId="3" borderId="19" xfId="2" applyFont="1" applyFill="1" applyBorder="1" applyAlignment="1" applyProtection="1">
      <alignment horizontal="center"/>
      <protection locked="0"/>
    </xf>
    <xf numFmtId="0" fontId="43" fillId="0" borderId="0" xfId="2" applyFont="1" applyAlignment="1">
      <alignment horizontal="left"/>
    </xf>
    <xf numFmtId="170" fontId="66" fillId="6" borderId="0" xfId="2" applyNumberFormat="1" applyFont="1" applyFill="1" applyAlignment="1" applyProtection="1">
      <alignment horizontal="left"/>
      <protection locked="0"/>
    </xf>
    <xf numFmtId="0" fontId="35" fillId="6" borderId="0" xfId="2" applyFont="1" applyFill="1" applyAlignment="1" applyProtection="1">
      <alignment horizontal="left"/>
      <protection locked="0"/>
    </xf>
    <xf numFmtId="0" fontId="72" fillId="0" borderId="47" xfId="3" applyFont="1" applyBorder="1" applyAlignment="1">
      <alignment vertical="center"/>
    </xf>
    <xf numFmtId="0" fontId="72" fillId="0" borderId="41" xfId="3" applyFont="1" applyBorder="1" applyAlignment="1">
      <alignment vertical="center"/>
    </xf>
    <xf numFmtId="0" fontId="72" fillId="0" borderId="26" xfId="3" applyFont="1" applyBorder="1" applyAlignment="1">
      <alignment horizontal="left" vertical="center"/>
    </xf>
    <xf numFmtId="0" fontId="31" fillId="0" borderId="44" xfId="3" applyFont="1" applyBorder="1" applyAlignment="1">
      <alignment vertical="center"/>
    </xf>
    <xf numFmtId="0" fontId="31" fillId="0" borderId="43" xfId="3" applyFont="1" applyBorder="1" applyAlignment="1">
      <alignment vertical="center"/>
    </xf>
    <xf numFmtId="0" fontId="20" fillId="0" borderId="26" xfId="3" applyFont="1" applyBorder="1" applyAlignment="1">
      <alignment horizontal="left" vertical="center"/>
    </xf>
    <xf numFmtId="0" fontId="20" fillId="0" borderId="40" xfId="3" applyFont="1" applyBorder="1" applyAlignment="1">
      <alignment horizontal="left" vertical="center"/>
    </xf>
    <xf numFmtId="0" fontId="20" fillId="0" borderId="46" xfId="3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/>
    </xf>
    <xf numFmtId="0" fontId="14" fillId="0" borderId="16" xfId="11" applyFont="1" applyBorder="1" applyAlignment="1">
      <alignment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28" fillId="0" borderId="0" xfId="13" applyFont="1" applyAlignment="1">
      <alignment vertical="center"/>
    </xf>
    <xf numFmtId="0" fontId="13" fillId="0" borderId="6" xfId="0" applyFont="1" applyBorder="1" applyAlignment="1">
      <alignment horizontal="center"/>
    </xf>
    <xf numFmtId="0" fontId="115" fillId="9" borderId="6" xfId="13" applyFont="1" applyFill="1" applyBorder="1" applyAlignment="1">
      <alignment horizontal="center" vertical="center"/>
    </xf>
    <xf numFmtId="0" fontId="120" fillId="0" borderId="11" xfId="13" applyFont="1" applyBorder="1" applyAlignment="1">
      <alignment vertical="center"/>
    </xf>
    <xf numFmtId="0" fontId="120" fillId="0" borderId="30" xfId="13" applyFont="1" applyBorder="1" applyAlignment="1">
      <alignment vertical="center"/>
    </xf>
    <xf numFmtId="0" fontId="120" fillId="0" borderId="7" xfId="13" applyFont="1" applyBorder="1" applyAlignment="1">
      <alignment vertical="center"/>
    </xf>
    <xf numFmtId="0" fontId="120" fillId="0" borderId="6" xfId="13" applyFont="1" applyBorder="1" applyAlignment="1">
      <alignment horizontal="center" vertical="center"/>
    </xf>
    <xf numFmtId="0" fontId="50" fillId="0" borderId="0" xfId="10" applyFont="1" applyAlignment="1" applyProtection="1">
      <alignment horizontal="left" vertical="center"/>
      <protection locked="0"/>
    </xf>
    <xf numFmtId="2" fontId="50" fillId="0" borderId="0" xfId="10" applyNumberFormat="1" applyFont="1" applyAlignment="1">
      <alignment horizontal="left" vertical="center"/>
    </xf>
    <xf numFmtId="165" fontId="20" fillId="0" borderId="6" xfId="0" applyNumberFormat="1" applyFont="1" applyBorder="1" applyAlignment="1">
      <alignment horizontal="center" vertical="center"/>
    </xf>
    <xf numFmtId="165" fontId="13" fillId="0" borderId="6" xfId="0" applyNumberFormat="1" applyFont="1" applyBorder="1" applyAlignment="1">
      <alignment horizontal="center" vertical="center"/>
    </xf>
    <xf numFmtId="0" fontId="11" fillId="0" borderId="0" xfId="3" applyFont="1" applyAlignment="1">
      <alignment horizontal="right"/>
    </xf>
    <xf numFmtId="0" fontId="11" fillId="0" borderId="0" xfId="0" applyFont="1" applyAlignment="1">
      <alignment horizontal="right" vertical="center"/>
    </xf>
    <xf numFmtId="0" fontId="10" fillId="0" borderId="27" xfId="1" applyFont="1" applyBorder="1"/>
    <xf numFmtId="0" fontId="10" fillId="0" borderId="28" xfId="1" applyFont="1" applyBorder="1"/>
    <xf numFmtId="0" fontId="10" fillId="0" borderId="29" xfId="1" applyFont="1" applyBorder="1"/>
    <xf numFmtId="0" fontId="10" fillId="0" borderId="0" xfId="1" applyFont="1"/>
    <xf numFmtId="0" fontId="10" fillId="0" borderId="0" xfId="1" applyFont="1" applyAlignment="1">
      <alignment horizontal="centerContinuous"/>
    </xf>
    <xf numFmtId="164" fontId="10" fillId="0" borderId="0" xfId="1" applyNumberFormat="1" applyFont="1" applyBorder="1" applyProtection="1"/>
    <xf numFmtId="0" fontId="37" fillId="7" borderId="0" xfId="2" applyFont="1" applyFill="1" applyAlignment="1">
      <alignment horizontal="center"/>
    </xf>
    <xf numFmtId="0" fontId="59" fillId="0" borderId="0" xfId="2" applyFont="1"/>
    <xf numFmtId="0" fontId="26" fillId="7" borderId="0" xfId="2" applyFont="1" applyFill="1" applyAlignment="1">
      <alignment horizontal="center"/>
    </xf>
    <xf numFmtId="2" fontId="26" fillId="7" borderId="0" xfId="2" applyNumberFormat="1" applyFont="1" applyFill="1" applyAlignment="1">
      <alignment horizontal="center"/>
    </xf>
    <xf numFmtId="0" fontId="40" fillId="0" borderId="0" xfId="2" applyFont="1"/>
    <xf numFmtId="169" fontId="10" fillId="0" borderId="0" xfId="1" applyNumberFormat="1" applyFont="1" applyAlignment="1" applyProtection="1">
      <alignment horizontal="centerContinuous"/>
      <protection hidden="1"/>
    </xf>
    <xf numFmtId="0" fontId="10" fillId="0" borderId="21" xfId="1" applyFont="1" applyBorder="1"/>
    <xf numFmtId="0" fontId="10" fillId="0" borderId="0" xfId="1" applyFont="1" applyAlignment="1">
      <alignment horizontal="center"/>
    </xf>
    <xf numFmtId="0" fontId="124" fillId="0" borderId="0" xfId="3" applyFont="1"/>
    <xf numFmtId="0" fontId="10" fillId="7" borderId="0" xfId="1" applyFont="1" applyFill="1" applyAlignment="1">
      <alignment horizontal="center"/>
    </xf>
    <xf numFmtId="0" fontId="141" fillId="0" borderId="4" xfId="3" applyFont="1" applyBorder="1" applyAlignment="1">
      <alignment horizontal="center" vertical="center"/>
    </xf>
    <xf numFmtId="0" fontId="141" fillId="0" borderId="8" xfId="3" applyFont="1" applyBorder="1" applyAlignment="1">
      <alignment horizontal="center" vertical="center"/>
    </xf>
    <xf numFmtId="0" fontId="141" fillId="0" borderId="3" xfId="3" applyFont="1" applyBorder="1" applyAlignment="1">
      <alignment horizontal="center" vertical="center"/>
    </xf>
    <xf numFmtId="0" fontId="141" fillId="0" borderId="2" xfId="3" applyFont="1" applyBorder="1" applyAlignment="1">
      <alignment horizontal="center" vertical="center"/>
    </xf>
    <xf numFmtId="0" fontId="141" fillId="6" borderId="82" xfId="3" applyFont="1" applyFill="1" applyBorder="1" applyAlignment="1">
      <alignment horizontal="center"/>
    </xf>
    <xf numFmtId="2" fontId="143" fillId="6" borderId="12" xfId="3" applyNumberFormat="1" applyFont="1" applyFill="1" applyBorder="1" applyAlignment="1">
      <alignment horizontal="center"/>
    </xf>
    <xf numFmtId="2" fontId="143" fillId="6" borderId="21" xfId="3" applyNumberFormat="1" applyFont="1" applyFill="1" applyBorder="1" applyAlignment="1">
      <alignment horizontal="center"/>
    </xf>
    <xf numFmtId="167" fontId="143" fillId="6" borderId="6" xfId="3" applyNumberFormat="1" applyFont="1" applyFill="1" applyBorder="1" applyAlignment="1">
      <alignment horizontal="center"/>
    </xf>
    <xf numFmtId="166" fontId="141" fillId="0" borderId="6" xfId="3" applyNumberFormat="1" applyFont="1" applyBorder="1" applyAlignment="1">
      <alignment horizontal="center"/>
    </xf>
    <xf numFmtId="2" fontId="141" fillId="0" borderId="83" xfId="3" applyNumberFormat="1" applyFont="1" applyBorder="1" applyAlignment="1">
      <alignment horizontal="center"/>
    </xf>
    <xf numFmtId="0" fontId="141" fillId="0" borderId="82" xfId="3" applyFont="1" applyBorder="1" applyAlignment="1">
      <alignment horizontal="center"/>
    </xf>
    <xf numFmtId="2" fontId="143" fillId="0" borderId="12" xfId="3" applyNumberFormat="1" applyFont="1" applyBorder="1" applyAlignment="1">
      <alignment horizontal="center"/>
    </xf>
    <xf numFmtId="2" fontId="143" fillId="0" borderId="21" xfId="3" applyNumberFormat="1" applyFont="1" applyBorder="1" applyAlignment="1">
      <alignment horizontal="center"/>
    </xf>
    <xf numFmtId="167" fontId="143" fillId="0" borderId="6" xfId="3" applyNumberFormat="1" applyFont="1" applyBorder="1" applyAlignment="1">
      <alignment horizontal="center"/>
    </xf>
    <xf numFmtId="0" fontId="141" fillId="0" borderId="84" xfId="3" applyFont="1" applyBorder="1" applyAlignment="1">
      <alignment horizontal="center"/>
    </xf>
    <xf numFmtId="0" fontId="141" fillId="6" borderId="84" xfId="3" applyFont="1" applyFill="1" applyBorder="1" applyAlignment="1">
      <alignment horizontal="center"/>
    </xf>
    <xf numFmtId="2" fontId="143" fillId="6" borderId="6" xfId="3" applyNumberFormat="1" applyFont="1" applyFill="1" applyBorder="1" applyAlignment="1">
      <alignment horizontal="center"/>
    </xf>
    <xf numFmtId="167" fontId="50" fillId="0" borderId="74" xfId="1" applyNumberFormat="1" applyFont="1" applyBorder="1" applyAlignment="1">
      <alignment horizontal="center" vertical="center"/>
    </xf>
    <xf numFmtId="167" fontId="120" fillId="0" borderId="46" xfId="1" applyNumberFormat="1" applyFont="1" applyBorder="1" applyAlignment="1">
      <alignment horizontal="centerContinuous" vertical="center"/>
    </xf>
    <xf numFmtId="0" fontId="50" fillId="0" borderId="0" xfId="1" applyFont="1" applyAlignment="1">
      <alignment horizontal="center" vertical="center"/>
    </xf>
    <xf numFmtId="166" fontId="50" fillId="0" borderId="0" xfId="1" applyNumberFormat="1" applyFont="1" applyAlignment="1">
      <alignment horizontal="center"/>
    </xf>
    <xf numFmtId="167" fontId="50" fillId="0" borderId="40" xfId="1" applyNumberFormat="1" applyFont="1" applyBorder="1" applyAlignment="1">
      <alignment horizontal="centerContinuous" vertical="center"/>
    </xf>
    <xf numFmtId="167" fontId="50" fillId="0" borderId="0" xfId="1" applyNumberFormat="1" applyFont="1" applyAlignment="1">
      <alignment horizontal="center" vertical="center"/>
    </xf>
    <xf numFmtId="167" fontId="120" fillId="0" borderId="41" xfId="1" applyNumberFormat="1" applyFont="1" applyBorder="1" applyAlignment="1">
      <alignment horizontal="centerContinuous" vertical="center"/>
    </xf>
    <xf numFmtId="167" fontId="120" fillId="0" borderId="40" xfId="1" applyNumberFormat="1" applyFont="1" applyBorder="1" applyAlignment="1">
      <alignment horizontal="centerContinuous" vertical="center"/>
    </xf>
    <xf numFmtId="170" fontId="41" fillId="3" borderId="11" xfId="2" applyNumberFormat="1" applyFont="1" applyFill="1" applyBorder="1" applyAlignment="1" applyProtection="1">
      <alignment horizontal="center"/>
      <protection locked="0"/>
    </xf>
    <xf numFmtId="167" fontId="51" fillId="3" borderId="6" xfId="13" applyNumberFormat="1" applyFont="1" applyFill="1" applyBorder="1" applyAlignment="1">
      <alignment horizontal="center" vertical="center"/>
    </xf>
    <xf numFmtId="167" fontId="51" fillId="3" borderId="6" xfId="13" applyNumberFormat="1" applyFont="1" applyFill="1" applyBorder="1" applyAlignment="1" applyProtection="1">
      <alignment horizontal="center" vertical="center"/>
      <protection locked="0"/>
    </xf>
    <xf numFmtId="167" fontId="26" fillId="0" borderId="6" xfId="13" applyNumberFormat="1" applyFont="1" applyBorder="1" applyAlignment="1" applyProtection="1">
      <alignment horizontal="center" vertical="center"/>
      <protection locked="0"/>
    </xf>
    <xf numFmtId="167" fontId="26" fillId="0" borderId="6" xfId="13" applyNumberFormat="1" applyFont="1" applyBorder="1" applyAlignment="1">
      <alignment horizontal="center" vertical="center"/>
    </xf>
    <xf numFmtId="167" fontId="40" fillId="0" borderId="6" xfId="13" applyNumberFormat="1" applyFont="1" applyBorder="1" applyAlignment="1">
      <alignment horizontal="center" vertical="center"/>
    </xf>
    <xf numFmtId="167" fontId="51" fillId="0" borderId="0" xfId="13" applyNumberFormat="1" applyFont="1" applyAlignment="1" applyProtection="1">
      <alignment horizontal="center" vertical="center"/>
      <protection locked="0"/>
    </xf>
    <xf numFmtId="167" fontId="26" fillId="0" borderId="0" xfId="13" applyNumberFormat="1" applyFont="1" applyAlignment="1">
      <alignment horizontal="center" vertical="center"/>
    </xf>
    <xf numFmtId="167" fontId="40" fillId="0" borderId="6" xfId="13" applyNumberFormat="1" applyFont="1" applyBorder="1" applyAlignment="1" applyProtection="1">
      <alignment horizontal="center" vertical="center"/>
      <protection locked="0"/>
    </xf>
    <xf numFmtId="167" fontId="11" fillId="0" borderId="6" xfId="13" applyNumberFormat="1" applyFont="1" applyBorder="1" applyAlignment="1">
      <alignment horizontal="center" vertical="center"/>
    </xf>
    <xf numFmtId="167" fontId="128" fillId="3" borderId="12" xfId="3" applyNumberFormat="1" applyFont="1" applyFill="1" applyBorder="1" applyAlignment="1" applyProtection="1">
      <alignment horizontal="center" vertical="center"/>
      <protection locked="0"/>
    </xf>
    <xf numFmtId="167" fontId="40" fillId="0" borderId="29" xfId="3" applyNumberFormat="1" applyFont="1" applyBorder="1" applyAlignment="1" applyProtection="1">
      <alignment horizontal="center" vertical="center"/>
      <protection locked="0"/>
    </xf>
    <xf numFmtId="167" fontId="26" fillId="0" borderId="29" xfId="3" applyNumberFormat="1" applyFont="1" applyBorder="1" applyAlignment="1">
      <alignment horizontal="center" vertical="center"/>
    </xf>
    <xf numFmtId="167" fontId="128" fillId="0" borderId="29" xfId="3" applyNumberFormat="1" applyFont="1" applyBorder="1" applyAlignment="1" applyProtection="1">
      <alignment horizontal="center" vertical="center"/>
      <protection locked="0"/>
    </xf>
    <xf numFmtId="2" fontId="55" fillId="0" borderId="15" xfId="3" applyNumberFormat="1" applyFont="1" applyBorder="1" applyAlignment="1">
      <alignment horizontal="centerContinuous" vertical="center"/>
    </xf>
    <xf numFmtId="0" fontId="75" fillId="0" borderId="0" xfId="0" applyFont="1"/>
    <xf numFmtId="0" fontId="51" fillId="0" borderId="0" xfId="11" applyFont="1" applyAlignment="1">
      <alignment vertical="center"/>
    </xf>
    <xf numFmtId="167" fontId="37" fillId="7" borderId="0" xfId="2" applyNumberFormat="1" applyFont="1" applyFill="1" applyAlignment="1">
      <alignment horizontal="center"/>
    </xf>
    <xf numFmtId="167" fontId="27" fillId="7" borderId="0" xfId="2" applyNumberFormat="1" applyFont="1" applyFill="1" applyAlignment="1">
      <alignment horizontal="center"/>
    </xf>
    <xf numFmtId="0" fontId="116" fillId="9" borderId="6" xfId="0" applyFont="1" applyFill="1" applyBorder="1" applyAlignment="1">
      <alignment horizontal="center" vertical="center"/>
    </xf>
    <xf numFmtId="167" fontId="16" fillId="0" borderId="6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left" vertical="center"/>
    </xf>
    <xf numFmtId="0" fontId="11" fillId="0" borderId="26" xfId="0" applyFont="1" applyBorder="1"/>
    <xf numFmtId="1" fontId="144" fillId="0" borderId="0" xfId="10" applyNumberFormat="1" applyFont="1"/>
    <xf numFmtId="0" fontId="145" fillId="0" borderId="28" xfId="0" applyFont="1" applyBorder="1"/>
    <xf numFmtId="0" fontId="11" fillId="0" borderId="0" xfId="0" applyFont="1" applyAlignment="1">
      <alignment horizontal="right"/>
    </xf>
    <xf numFmtId="0" fontId="116" fillId="0" borderId="0" xfId="0" applyFont="1" applyAlignment="1">
      <alignment vertical="center"/>
    </xf>
    <xf numFmtId="167" fontId="16" fillId="0" borderId="0" xfId="0" applyNumberFormat="1" applyFont="1" applyAlignment="1">
      <alignment vertical="center"/>
    </xf>
    <xf numFmtId="0" fontId="16" fillId="0" borderId="16" xfId="0" applyFont="1" applyBorder="1" applyAlignment="1">
      <alignment horizontal="left" vertical="center"/>
    </xf>
    <xf numFmtId="0" fontId="13" fillId="0" borderId="16" xfId="0" applyFont="1" applyBorder="1" applyAlignment="1">
      <alignment horizontal="left" vertical="center"/>
    </xf>
    <xf numFmtId="0" fontId="18" fillId="0" borderId="16" xfId="0" applyFont="1" applyBorder="1" applyAlignment="1">
      <alignment vertical="center"/>
    </xf>
    <xf numFmtId="0" fontId="18" fillId="0" borderId="16" xfId="0" applyFont="1" applyBorder="1" applyAlignment="1">
      <alignment horizontal="center" vertical="center"/>
    </xf>
    <xf numFmtId="167" fontId="13" fillId="0" borderId="16" xfId="0" applyNumberFormat="1" applyFont="1" applyBorder="1" applyAlignment="1">
      <alignment vertical="center"/>
    </xf>
    <xf numFmtId="0" fontId="51" fillId="0" borderId="0" xfId="11" applyFont="1"/>
    <xf numFmtId="0" fontId="51" fillId="0" borderId="0" xfId="11" applyFont="1" applyAlignment="1">
      <alignment horizontal="center" vertical="center"/>
    </xf>
    <xf numFmtId="0" fontId="146" fillId="0" borderId="0" xfId="11" applyFont="1" applyAlignment="1">
      <alignment vertical="center"/>
    </xf>
    <xf numFmtId="0" fontId="16" fillId="0" borderId="0" xfId="11" applyFont="1" applyAlignment="1">
      <alignment vertical="center"/>
    </xf>
    <xf numFmtId="0" fontId="11" fillId="0" borderId="85" xfId="11" applyFont="1" applyBorder="1" applyAlignment="1">
      <alignment vertical="center" wrapText="1"/>
    </xf>
    <xf numFmtId="0" fontId="11" fillId="0" borderId="85" xfId="11" applyFont="1" applyBorder="1" applyAlignment="1">
      <alignment vertical="center"/>
    </xf>
    <xf numFmtId="0" fontId="18" fillId="0" borderId="0" xfId="11" applyFont="1" applyAlignment="1">
      <alignment vertical="center"/>
    </xf>
    <xf numFmtId="0" fontId="13" fillId="0" borderId="28" xfId="11" applyFont="1" applyBorder="1" applyAlignment="1">
      <alignment vertical="center"/>
    </xf>
    <xf numFmtId="0" fontId="72" fillId="0" borderId="0" xfId="11" applyFont="1" applyAlignment="1">
      <alignment vertical="center"/>
    </xf>
    <xf numFmtId="0" fontId="148" fillId="0" borderId="0" xfId="11" applyFont="1" applyAlignment="1">
      <alignment vertical="center"/>
    </xf>
    <xf numFmtId="0" fontId="11" fillId="0" borderId="11" xfId="0" applyFont="1" applyBorder="1" applyAlignment="1">
      <alignment vertical="center"/>
    </xf>
    <xf numFmtId="0" fontId="16" fillId="0" borderId="7" xfId="0" applyFont="1" applyBorder="1" applyAlignment="1">
      <alignment vertical="center"/>
    </xf>
    <xf numFmtId="0" fontId="11" fillId="0" borderId="0" xfId="10" applyFont="1" applyProtection="1">
      <protection locked="0"/>
    </xf>
    <xf numFmtId="1" fontId="11" fillId="0" borderId="0" xfId="10" applyNumberFormat="1" applyFont="1"/>
    <xf numFmtId="1" fontId="40" fillId="0" borderId="0" xfId="10" applyNumberFormat="1" applyFont="1"/>
    <xf numFmtId="0" fontId="11" fillId="0" borderId="0" xfId="10" applyFont="1" applyAlignment="1" applyProtection="1">
      <alignment horizontal="left" vertical="center"/>
      <protection locked="0"/>
    </xf>
    <xf numFmtId="2" fontId="11" fillId="0" borderId="0" xfId="10" applyNumberFormat="1" applyFont="1" applyAlignment="1">
      <alignment horizontal="left" vertical="center"/>
    </xf>
    <xf numFmtId="0" fontId="50" fillId="0" borderId="0" xfId="10" applyFont="1" applyProtection="1">
      <protection locked="0"/>
    </xf>
    <xf numFmtId="2" fontId="50" fillId="0" borderId="0" xfId="10" applyNumberFormat="1" applyFont="1" applyProtection="1">
      <protection locked="0"/>
    </xf>
    <xf numFmtId="2" fontId="50" fillId="0" borderId="0" xfId="10" applyNumberFormat="1" applyFont="1" applyAlignment="1" applyProtection="1">
      <alignment vertical="center"/>
      <protection locked="0"/>
    </xf>
    <xf numFmtId="0" fontId="120" fillId="0" borderId="0" xfId="10" applyFont="1" applyProtection="1">
      <protection locked="0"/>
    </xf>
    <xf numFmtId="0" fontId="50" fillId="0" borderId="0" xfId="10" applyFont="1" applyAlignment="1" applyProtection="1">
      <alignment horizontal="center" vertical="center"/>
      <protection locked="0"/>
    </xf>
    <xf numFmtId="1" fontId="50" fillId="0" borderId="0" xfId="10" applyNumberFormat="1" applyFont="1" applyAlignment="1" applyProtection="1">
      <alignment vertical="center"/>
      <protection locked="0"/>
    </xf>
    <xf numFmtId="2" fontId="50" fillId="0" borderId="0" xfId="10" applyNumberFormat="1" applyFont="1" applyAlignment="1">
      <alignment vertical="center"/>
    </xf>
    <xf numFmtId="0" fontId="11" fillId="0" borderId="0" xfId="10" applyFont="1" applyAlignment="1" applyProtection="1">
      <alignment vertical="center"/>
      <protection locked="0"/>
    </xf>
    <xf numFmtId="167" fontId="51" fillId="0" borderId="6" xfId="10" applyNumberFormat="1" applyFont="1" applyBorder="1" applyAlignment="1" applyProtection="1">
      <alignment horizontal="center"/>
      <protection locked="0"/>
    </xf>
    <xf numFmtId="167" fontId="51" fillId="0" borderId="6" xfId="10" applyNumberFormat="1" applyFont="1" applyBorder="1" applyAlignment="1">
      <alignment horizontal="center" vertical="center"/>
    </xf>
    <xf numFmtId="167" fontId="11" fillId="0" borderId="6" xfId="10" applyNumberFormat="1" applyFont="1" applyBorder="1" applyAlignment="1" applyProtection="1">
      <alignment horizontal="center" vertical="center"/>
      <protection locked="0"/>
    </xf>
    <xf numFmtId="167" fontId="11" fillId="0" borderId="6" xfId="10" applyNumberFormat="1" applyFont="1" applyBorder="1" applyAlignment="1" applyProtection="1">
      <alignment horizontal="center"/>
      <protection locked="0"/>
    </xf>
    <xf numFmtId="167" fontId="11" fillId="0" borderId="6" xfId="0" applyNumberFormat="1" applyFont="1" applyBorder="1" applyAlignment="1">
      <alignment horizontal="center"/>
    </xf>
    <xf numFmtId="167" fontId="50" fillId="0" borderId="6" xfId="10" applyNumberFormat="1" applyFont="1" applyBorder="1" applyAlignment="1" applyProtection="1">
      <alignment horizontal="center" vertical="center"/>
      <protection locked="0"/>
    </xf>
    <xf numFmtId="167" fontId="50" fillId="0" borderId="6" xfId="10" applyNumberFormat="1" applyFont="1" applyBorder="1" applyAlignment="1" applyProtection="1">
      <alignment horizontal="center"/>
      <protection locked="0"/>
    </xf>
    <xf numFmtId="167" fontId="50" fillId="0" borderId="6" xfId="10" applyNumberFormat="1" applyFont="1" applyBorder="1" applyAlignment="1">
      <alignment horizontal="center" vertical="center"/>
    </xf>
    <xf numFmtId="167" fontId="10" fillId="0" borderId="6" xfId="0" applyNumberFormat="1" applyFont="1" applyBorder="1" applyAlignment="1">
      <alignment horizontal="center"/>
    </xf>
    <xf numFmtId="0" fontId="11" fillId="0" borderId="6" xfId="10" applyFont="1" applyBorder="1" applyAlignment="1">
      <alignment horizontal="center" vertical="center"/>
    </xf>
    <xf numFmtId="0" fontId="35" fillId="43" borderId="0" xfId="2" applyFont="1" applyFill="1" applyAlignment="1" applyProtection="1">
      <alignment horizontal="left"/>
      <protection locked="0"/>
    </xf>
    <xf numFmtId="0" fontId="26" fillId="43" borderId="0" xfId="2" applyFont="1" applyFill="1"/>
    <xf numFmtId="0" fontId="11" fillId="0" borderId="0" xfId="0" applyFont="1" applyAlignment="1">
      <alignment horizontal="left" vertical="center" wrapText="1"/>
    </xf>
    <xf numFmtId="2" fontId="11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" fontId="11" fillId="0" borderId="0" xfId="0" applyNumberFormat="1" applyFont="1" applyAlignment="1">
      <alignment horizontal="center" vertical="center"/>
    </xf>
    <xf numFmtId="0" fontId="19" fillId="0" borderId="0" xfId="0" applyFont="1"/>
    <xf numFmtId="167" fontId="13" fillId="0" borderId="11" xfId="0" applyNumberFormat="1" applyFont="1" applyBorder="1" applyAlignment="1">
      <alignment horizontal="center" vertical="center"/>
    </xf>
    <xf numFmtId="0" fontId="20" fillId="0" borderId="6" xfId="3" applyFont="1" applyBorder="1" applyAlignment="1">
      <alignment vertical="center"/>
    </xf>
    <xf numFmtId="0" fontId="61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40" fillId="0" borderId="12" xfId="4" applyFont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40" fillId="0" borderId="15" xfId="3" applyFont="1" applyBorder="1" applyAlignment="1">
      <alignment horizontal="center" vertical="center"/>
    </xf>
    <xf numFmtId="0" fontId="40" fillId="0" borderId="16" xfId="3" applyFont="1" applyBorder="1" applyAlignment="1">
      <alignment horizontal="center" vertical="center"/>
    </xf>
    <xf numFmtId="0" fontId="40" fillId="0" borderId="28" xfId="3" applyFont="1" applyBorder="1" applyAlignment="1">
      <alignment horizontal="center" vertical="center"/>
    </xf>
    <xf numFmtId="0" fontId="40" fillId="0" borderId="13" xfId="3" applyFont="1" applyBorder="1" applyAlignment="1">
      <alignment horizontal="center" vertical="center"/>
    </xf>
    <xf numFmtId="0" fontId="40" fillId="0" borderId="21" xfId="3" applyFont="1" applyBorder="1" applyAlignment="1">
      <alignment horizontal="center" vertical="center"/>
    </xf>
    <xf numFmtId="165" fontId="40" fillId="0" borderId="0" xfId="3" applyNumberFormat="1" applyFont="1" applyAlignment="1">
      <alignment horizontal="center" vertical="center"/>
    </xf>
    <xf numFmtId="0" fontId="12" fillId="0" borderId="15" xfId="3" applyFont="1" applyBorder="1" applyAlignment="1">
      <alignment vertical="center"/>
    </xf>
    <xf numFmtId="0" fontId="12" fillId="0" borderId="26" xfId="3" applyFont="1" applyBorder="1" applyAlignment="1">
      <alignment vertical="center"/>
    </xf>
    <xf numFmtId="0" fontId="40" fillId="0" borderId="15" xfId="13" applyFont="1" applyBorder="1" applyAlignment="1">
      <alignment horizontal="left" vertical="center"/>
    </xf>
    <xf numFmtId="0" fontId="13" fillId="0" borderId="6" xfId="0" applyFont="1" applyBorder="1" applyAlignment="1">
      <alignment vertical="center"/>
    </xf>
    <xf numFmtId="0" fontId="11" fillId="0" borderId="21" xfId="0" applyFont="1" applyBorder="1" applyAlignment="1">
      <alignment vertical="center"/>
    </xf>
    <xf numFmtId="0" fontId="145" fillId="0" borderId="0" xfId="0" applyFont="1" applyAlignment="1">
      <alignment vertical="center"/>
    </xf>
    <xf numFmtId="0" fontId="145" fillId="0" borderId="16" xfId="0" applyFont="1" applyBorder="1" applyAlignment="1">
      <alignment vertical="center"/>
    </xf>
    <xf numFmtId="0" fontId="145" fillId="0" borderId="28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0" fillId="44" borderId="0" xfId="0" applyFont="1" applyFill="1" applyAlignment="1">
      <alignment horizontal="center" vertical="center"/>
    </xf>
    <xf numFmtId="0" fontId="11" fillId="44" borderId="0" xfId="0" applyFont="1" applyFill="1" applyAlignment="1">
      <alignment horizontal="center" vertical="center"/>
    </xf>
    <xf numFmtId="0" fontId="16" fillId="44" borderId="0" xfId="0" applyFont="1" applyFill="1" applyAlignment="1">
      <alignment horizontal="center" vertical="center"/>
    </xf>
    <xf numFmtId="0" fontId="16" fillId="0" borderId="6" xfId="0" applyFont="1" applyBorder="1"/>
    <xf numFmtId="0" fontId="26" fillId="0" borderId="6" xfId="5" applyFont="1" applyBorder="1" applyAlignment="1">
      <alignment horizontal="center" vertical="center"/>
    </xf>
    <xf numFmtId="0" fontId="13" fillId="44" borderId="0" xfId="0" applyFont="1" applyFill="1" applyAlignment="1">
      <alignment horizontal="center" vertical="center"/>
    </xf>
    <xf numFmtId="0" fontId="13" fillId="0" borderId="6" xfId="0" applyFont="1" applyBorder="1" applyAlignment="1">
      <alignment vertical="top"/>
    </xf>
    <xf numFmtId="0" fontId="13" fillId="0" borderId="6" xfId="0" applyFont="1" applyBorder="1"/>
    <xf numFmtId="177" fontId="40" fillId="6" borderId="6" xfId="5" applyNumberFormat="1" applyFont="1" applyFill="1" applyBorder="1" applyAlignment="1">
      <alignment horizontal="center" vertical="center"/>
    </xf>
    <xf numFmtId="178" fontId="26" fillId="0" borderId="6" xfId="5" applyNumberFormat="1" applyFont="1" applyBorder="1" applyAlignment="1">
      <alignment horizontal="center" vertical="center"/>
    </xf>
    <xf numFmtId="0" fontId="150" fillId="0" borderId="0" xfId="0" applyFont="1" applyAlignment="1">
      <alignment horizontal="right" vertical="top"/>
    </xf>
    <xf numFmtId="0" fontId="108" fillId="0" borderId="0" xfId="0" applyFont="1" applyAlignment="1">
      <alignment vertical="top"/>
    </xf>
    <xf numFmtId="167" fontId="13" fillId="12" borderId="6" xfId="0" applyNumberFormat="1" applyFont="1" applyFill="1" applyBorder="1" applyAlignment="1">
      <alignment horizontal="center" vertical="center"/>
    </xf>
    <xf numFmtId="167" fontId="26" fillId="0" borderId="6" xfId="5" applyNumberFormat="1" applyFont="1" applyBorder="1" applyAlignment="1">
      <alignment horizontal="center" vertical="center"/>
    </xf>
    <xf numFmtId="0" fontId="26" fillId="0" borderId="0" xfId="5" applyFont="1" applyAlignment="1">
      <alignment horizontal="center" vertical="center"/>
    </xf>
    <xf numFmtId="178" fontId="26" fillId="0" borderId="0" xfId="5" applyNumberFormat="1" applyFont="1" applyAlignment="1">
      <alignment horizontal="center" vertical="center"/>
    </xf>
    <xf numFmtId="0" fontId="34" fillId="0" borderId="11" xfId="4" applyFont="1" applyBorder="1" applyAlignment="1">
      <alignment vertical="center"/>
    </xf>
    <xf numFmtId="0" fontId="34" fillId="0" borderId="30" xfId="4" applyFont="1" applyBorder="1" applyAlignment="1">
      <alignment vertical="center"/>
    </xf>
    <xf numFmtId="0" fontId="34" fillId="0" borderId="7" xfId="4" applyFont="1" applyBorder="1" applyAlignment="1">
      <alignment vertical="center"/>
    </xf>
    <xf numFmtId="167" fontId="26" fillId="0" borderId="0" xfId="5" applyNumberFormat="1" applyFont="1" applyAlignment="1">
      <alignment horizontal="center" vertical="center"/>
    </xf>
    <xf numFmtId="0" fontId="40" fillId="0" borderId="9" xfId="4" applyFont="1" applyBorder="1" applyAlignment="1">
      <alignment horizontal="center" vertical="center"/>
    </xf>
    <xf numFmtId="0" fontId="40" fillId="0" borderId="14" xfId="4" applyFont="1" applyBorder="1" applyAlignment="1">
      <alignment vertical="center"/>
    </xf>
    <xf numFmtId="0" fontId="35" fillId="0" borderId="12" xfId="4" applyFont="1" applyBorder="1" applyAlignment="1">
      <alignment horizontal="center" vertical="center"/>
    </xf>
    <xf numFmtId="0" fontId="40" fillId="0" borderId="12" xfId="4" applyFont="1" applyBorder="1" applyAlignment="1">
      <alignment vertical="center"/>
    </xf>
    <xf numFmtId="178" fontId="20" fillId="0" borderId="6" xfId="4" applyNumberFormat="1" applyFont="1" applyBorder="1" applyAlignment="1">
      <alignment horizontal="center" vertical="center"/>
    </xf>
    <xf numFmtId="179" fontId="72" fillId="0" borderId="6" xfId="4" applyNumberFormat="1" applyFont="1" applyBorder="1" applyAlignment="1" applyProtection="1">
      <alignment horizontal="center" vertical="center"/>
      <protection locked="0"/>
    </xf>
    <xf numFmtId="179" fontId="55" fillId="0" borderId="6" xfId="4" applyNumberFormat="1" applyFont="1" applyBorder="1" applyAlignment="1" applyProtection="1">
      <alignment horizontal="center" vertical="center"/>
      <protection locked="0"/>
    </xf>
    <xf numFmtId="180" fontId="20" fillId="0" borderId="6" xfId="4" applyNumberFormat="1" applyFont="1" applyBorder="1" applyAlignment="1">
      <alignment horizontal="center" vertical="center"/>
    </xf>
    <xf numFmtId="0" fontId="13" fillId="8" borderId="6" xfId="0" applyFont="1" applyFill="1" applyBorder="1" applyAlignment="1">
      <alignment horizontal="center" vertical="center"/>
    </xf>
    <xf numFmtId="179" fontId="90" fillId="0" borderId="6" xfId="4" applyNumberFormat="1" applyFont="1" applyBorder="1" applyAlignment="1" applyProtection="1">
      <alignment horizontal="center" vertical="center"/>
      <protection locked="0"/>
    </xf>
    <xf numFmtId="0" fontId="117" fillId="13" borderId="0" xfId="0" applyFont="1" applyFill="1"/>
    <xf numFmtId="0" fontId="11" fillId="0" borderId="6" xfId="0" applyFont="1" applyBorder="1" applyAlignment="1">
      <alignment vertical="center"/>
    </xf>
    <xf numFmtId="0" fontId="11" fillId="45" borderId="6" xfId="0" applyFont="1" applyFill="1" applyBorder="1" applyAlignment="1">
      <alignment vertical="center"/>
    </xf>
    <xf numFmtId="0" fontId="11" fillId="45" borderId="6" xfId="0" applyFont="1" applyFill="1" applyBorder="1" applyAlignment="1">
      <alignment horizontal="center" vertical="center"/>
    </xf>
    <xf numFmtId="179" fontId="11" fillId="0" borderId="0" xfId="0" applyNumberFormat="1" applyFont="1" applyAlignment="1">
      <alignment horizontal="center"/>
    </xf>
    <xf numFmtId="177" fontId="11" fillId="0" borderId="6" xfId="0" applyNumberFormat="1" applyFont="1" applyBorder="1" applyAlignment="1">
      <alignment horizontal="center"/>
    </xf>
    <xf numFmtId="177" fontId="11" fillId="0" borderId="0" xfId="0" applyNumberFormat="1" applyFont="1" applyAlignment="1">
      <alignment horizontal="center"/>
    </xf>
    <xf numFmtId="177" fontId="11" fillId="45" borderId="0" xfId="0" applyNumberFormat="1" applyFont="1" applyFill="1" applyAlignment="1">
      <alignment horizontal="center"/>
    </xf>
    <xf numFmtId="177" fontId="11" fillId="0" borderId="6" xfId="0" applyNumberFormat="1" applyFont="1" applyBorder="1" applyAlignment="1">
      <alignment horizontal="center" vertical="center"/>
    </xf>
    <xf numFmtId="182" fontId="11" fillId="45" borderId="6" xfId="0" applyNumberFormat="1" applyFont="1" applyFill="1" applyBorder="1" applyAlignment="1">
      <alignment horizontal="center" vertical="center"/>
    </xf>
    <xf numFmtId="183" fontId="11" fillId="0" borderId="6" xfId="0" applyNumberFormat="1" applyFont="1" applyBorder="1" applyAlignment="1">
      <alignment horizontal="center" vertical="center"/>
    </xf>
    <xf numFmtId="184" fontId="11" fillId="0" borderId="6" xfId="0" applyNumberFormat="1" applyFont="1" applyBorder="1" applyAlignment="1">
      <alignment horizontal="center" vertical="center"/>
    </xf>
    <xf numFmtId="179" fontId="11" fillId="0" borderId="6" xfId="0" applyNumberFormat="1" applyFont="1" applyBorder="1" applyAlignment="1">
      <alignment horizontal="center"/>
    </xf>
    <xf numFmtId="179" fontId="151" fillId="8" borderId="0" xfId="0" applyNumberFormat="1" applyFont="1" applyFill="1" applyAlignment="1">
      <alignment horizontal="center" vertical="center"/>
    </xf>
    <xf numFmtId="11" fontId="151" fillId="8" borderId="0" xfId="0" applyNumberFormat="1" applyFont="1" applyFill="1" applyAlignment="1">
      <alignment horizontal="center" vertical="center"/>
    </xf>
    <xf numFmtId="181" fontId="16" fillId="0" borderId="0" xfId="0" applyNumberFormat="1" applyFont="1" applyAlignment="1">
      <alignment horizontal="center"/>
    </xf>
    <xf numFmtId="179" fontId="16" fillId="0" borderId="0" xfId="0" applyNumberFormat="1" applyFont="1" applyAlignment="1">
      <alignment horizontal="center"/>
    </xf>
    <xf numFmtId="0" fontId="151" fillId="8" borderId="0" xfId="0" applyFont="1" applyFill="1" applyAlignment="1">
      <alignment horizontal="center" vertical="center"/>
    </xf>
    <xf numFmtId="0" fontId="36" fillId="8" borderId="6" xfId="0" applyFont="1" applyFill="1" applyBorder="1"/>
    <xf numFmtId="0" fontId="121" fillId="0" borderId="11" xfId="0" applyFont="1" applyBorder="1" applyAlignment="1">
      <alignment vertical="center"/>
    </xf>
    <xf numFmtId="0" fontId="121" fillId="0" borderId="7" xfId="0" applyFont="1" applyBorder="1" applyAlignment="1">
      <alignment vertical="center"/>
    </xf>
    <xf numFmtId="0" fontId="122" fillId="0" borderId="11" xfId="0" applyFont="1" applyBorder="1" applyAlignment="1">
      <alignment vertical="center"/>
    </xf>
    <xf numFmtId="0" fontId="122" fillId="0" borderId="7" xfId="0" applyFont="1" applyBorder="1" applyAlignment="1">
      <alignment vertical="center"/>
    </xf>
    <xf numFmtId="0" fontId="123" fillId="0" borderId="11" xfId="0" applyFont="1" applyBorder="1" applyAlignment="1">
      <alignment vertical="center"/>
    </xf>
    <xf numFmtId="0" fontId="123" fillId="0" borderId="7" xfId="0" applyFont="1" applyBorder="1" applyAlignment="1">
      <alignment vertical="center"/>
    </xf>
    <xf numFmtId="0" fontId="10" fillId="0" borderId="11" xfId="0" applyFont="1" applyBorder="1"/>
    <xf numFmtId="0" fontId="10" fillId="0" borderId="7" xfId="0" applyFont="1" applyBorder="1"/>
    <xf numFmtId="0" fontId="5" fillId="17" borderId="0" xfId="16" applyFill="1" applyAlignment="1" applyProtection="1">
      <alignment horizontal="left" vertical="center"/>
      <protection locked="0"/>
    </xf>
    <xf numFmtId="0" fontId="5" fillId="0" borderId="0" xfId="16" applyAlignment="1" applyProtection="1">
      <alignment horizontal="left" vertical="center"/>
      <protection locked="0"/>
    </xf>
    <xf numFmtId="2" fontId="5" fillId="0" borderId="0" xfId="16" applyNumberFormat="1" applyAlignment="1">
      <alignment horizontal="left" vertical="center"/>
    </xf>
    <xf numFmtId="0" fontId="61" fillId="0" borderId="55" xfId="3" applyFont="1" applyBorder="1" applyAlignment="1">
      <alignment horizontal="center" vertical="center"/>
    </xf>
    <xf numFmtId="2" fontId="61" fillId="0" borderId="54" xfId="3" applyNumberFormat="1" applyFont="1" applyBorder="1" applyAlignment="1">
      <alignment horizontal="center" vertical="center"/>
    </xf>
    <xf numFmtId="167" fontId="61" fillId="0" borderId="54" xfId="3" applyNumberFormat="1" applyFont="1" applyBorder="1" applyAlignment="1">
      <alignment horizontal="center" vertical="center"/>
    </xf>
    <xf numFmtId="0" fontId="61" fillId="0" borderId="53" xfId="3" applyFont="1" applyBorder="1" applyAlignment="1">
      <alignment horizontal="center" vertical="center"/>
    </xf>
    <xf numFmtId="2" fontId="61" fillId="0" borderId="52" xfId="3" applyNumberFormat="1" applyFont="1" applyBorder="1" applyAlignment="1">
      <alignment horizontal="center" vertical="center"/>
    </xf>
    <xf numFmtId="167" fontId="61" fillId="0" borderId="52" xfId="3" applyNumberFormat="1" applyFont="1" applyBorder="1" applyAlignment="1">
      <alignment horizontal="center" vertical="center"/>
    </xf>
    <xf numFmtId="167" fontId="61" fillId="0" borderId="33" xfId="3" applyNumberFormat="1" applyFont="1" applyBorder="1" applyAlignment="1">
      <alignment horizontal="center" vertical="center"/>
    </xf>
    <xf numFmtId="0" fontId="61" fillId="0" borderId="51" xfId="3" applyFont="1" applyBorder="1" applyAlignment="1">
      <alignment horizontal="center" vertical="center"/>
    </xf>
    <xf numFmtId="2" fontId="61" fillId="0" borderId="50" xfId="3" applyNumberFormat="1" applyFont="1" applyBorder="1" applyAlignment="1">
      <alignment horizontal="center" vertical="center"/>
    </xf>
    <xf numFmtId="167" fontId="61" fillId="0" borderId="50" xfId="3" applyNumberFormat="1" applyFont="1" applyBorder="1" applyAlignment="1">
      <alignment horizontal="center" vertical="center"/>
    </xf>
    <xf numFmtId="167" fontId="61" fillId="0" borderId="31" xfId="3" applyNumberFormat="1" applyFont="1" applyBorder="1" applyAlignment="1">
      <alignment horizontal="center" vertical="center"/>
    </xf>
    <xf numFmtId="166" fontId="20" fillId="3" borderId="6" xfId="3" applyNumberFormat="1" applyFont="1" applyFill="1" applyBorder="1" applyAlignment="1">
      <alignment horizontal="center" vertical="center"/>
    </xf>
    <xf numFmtId="0" fontId="152" fillId="0" borderId="6" xfId="0" applyFont="1" applyBorder="1" applyAlignment="1">
      <alignment horizontal="center" vertical="center"/>
    </xf>
    <xf numFmtId="0" fontId="152" fillId="46" borderId="6" xfId="0" applyFont="1" applyFill="1" applyBorder="1" applyAlignment="1">
      <alignment horizontal="center" vertical="center"/>
    </xf>
    <xf numFmtId="165" fontId="152" fillId="46" borderId="6" xfId="0" applyNumberFormat="1" applyFont="1" applyFill="1" applyBorder="1" applyAlignment="1">
      <alignment horizontal="center" vertical="center"/>
    </xf>
    <xf numFmtId="167" fontId="152" fillId="0" borderId="6" xfId="0" applyNumberFormat="1" applyFont="1" applyBorder="1" applyAlignment="1">
      <alignment horizontal="center" vertical="center"/>
    </xf>
    <xf numFmtId="0" fontId="40" fillId="44" borderId="0" xfId="3" applyFont="1" applyFill="1" applyAlignment="1">
      <alignment vertical="center"/>
    </xf>
    <xf numFmtId="0" fontId="40" fillId="44" borderId="0" xfId="3" applyFont="1" applyFill="1" applyAlignment="1">
      <alignment horizontal="center" vertical="center" wrapText="1"/>
    </xf>
    <xf numFmtId="0" fontId="40" fillId="0" borderId="11" xfId="3" applyFont="1" applyBorder="1" applyAlignment="1">
      <alignment horizontal="left" vertical="center"/>
    </xf>
    <xf numFmtId="0" fontId="40" fillId="0" borderId="30" xfId="3" applyFont="1" applyBorder="1" applyAlignment="1">
      <alignment horizontal="center" vertical="center"/>
    </xf>
    <xf numFmtId="0" fontId="40" fillId="0" borderId="7" xfId="3" applyFont="1" applyBorder="1" applyAlignment="1">
      <alignment horizontal="center" vertical="center"/>
    </xf>
    <xf numFmtId="0" fontId="40" fillId="44" borderId="0" xfId="3" applyFont="1" applyFill="1" applyAlignment="1">
      <alignment horizontal="left" vertical="center"/>
    </xf>
    <xf numFmtId="0" fontId="59" fillId="0" borderId="21" xfId="3" applyFont="1" applyBorder="1" applyAlignment="1">
      <alignment horizontal="center" vertical="center"/>
    </xf>
    <xf numFmtId="0" fontId="59" fillId="0" borderId="13" xfId="3" applyFont="1" applyBorder="1" applyAlignment="1" applyProtection="1">
      <alignment horizontal="center" vertical="center"/>
      <protection locked="0"/>
    </xf>
    <xf numFmtId="0" fontId="128" fillId="0" borderId="21" xfId="3" applyFont="1" applyBorder="1" applyAlignment="1">
      <alignment horizontal="center" vertical="center"/>
    </xf>
    <xf numFmtId="0" fontId="40" fillId="44" borderId="0" xfId="3" applyFont="1" applyFill="1" applyAlignment="1">
      <alignment horizontal="centerContinuous" vertical="center"/>
    </xf>
    <xf numFmtId="167" fontId="128" fillId="3" borderId="6" xfId="3" applyNumberFormat="1" applyFont="1" applyFill="1" applyBorder="1" applyAlignment="1" applyProtection="1">
      <alignment horizontal="center" vertical="center"/>
      <protection locked="0"/>
    </xf>
    <xf numFmtId="167" fontId="26" fillId="0" borderId="7" xfId="3" applyNumberFormat="1" applyFont="1" applyBorder="1" applyAlignment="1">
      <alignment horizontal="center" vertical="center"/>
    </xf>
    <xf numFmtId="0" fontId="128" fillId="0" borderId="30" xfId="3" applyFont="1" applyBorder="1" applyAlignment="1">
      <alignment horizontal="center" vertical="center"/>
    </xf>
    <xf numFmtId="0" fontId="26" fillId="0" borderId="6" xfId="3" applyFont="1" applyBorder="1" applyAlignment="1">
      <alignment horizontal="center" vertical="center"/>
    </xf>
    <xf numFmtId="167" fontId="129" fillId="0" borderId="7" xfId="3" applyNumberFormat="1" applyFont="1" applyBorder="1" applyAlignment="1" applyProtection="1">
      <alignment horizontal="center" vertical="center"/>
      <protection locked="0"/>
    </xf>
    <xf numFmtId="0" fontId="34" fillId="0" borderId="0" xfId="3" applyFont="1" applyAlignment="1">
      <alignment vertical="center"/>
    </xf>
    <xf numFmtId="167" fontId="130" fillId="0" borderId="0" xfId="3" applyNumberFormat="1" applyFont="1" applyAlignment="1">
      <alignment vertical="center"/>
    </xf>
    <xf numFmtId="0" fontId="37" fillId="0" borderId="0" xfId="3" applyFont="1" applyAlignment="1" applyProtection="1">
      <alignment horizontal="left" vertical="center"/>
      <protection locked="0"/>
    </xf>
    <xf numFmtId="0" fontId="37" fillId="0" borderId="0" xfId="3" applyFont="1" applyAlignment="1">
      <alignment horizontal="center" vertical="center"/>
    </xf>
    <xf numFmtId="0" fontId="26" fillId="0" borderId="0" xfId="3" applyFont="1" applyAlignment="1">
      <alignment horizontal="center" vertical="center"/>
    </xf>
    <xf numFmtId="0" fontId="40" fillId="0" borderId="15" xfId="3" applyFont="1" applyBorder="1" applyAlignment="1">
      <alignment horizontal="left" vertical="center"/>
    </xf>
    <xf numFmtId="167" fontId="40" fillId="0" borderId="27" xfId="3" applyNumberFormat="1" applyFont="1" applyBorder="1" applyAlignment="1">
      <alignment horizontal="center" vertical="center"/>
    </xf>
    <xf numFmtId="0" fontId="40" fillId="0" borderId="16" xfId="3" applyFont="1" applyBorder="1" applyAlignment="1">
      <alignment horizontal="left" vertical="center"/>
    </xf>
    <xf numFmtId="2" fontId="128" fillId="44" borderId="0" xfId="3" applyNumberFormat="1" applyFont="1" applyFill="1" applyAlignment="1">
      <alignment horizontal="center" vertical="center"/>
    </xf>
    <xf numFmtId="0" fontId="40" fillId="44" borderId="0" xfId="3" applyFont="1" applyFill="1" applyAlignment="1">
      <alignment horizontal="center" vertical="center"/>
    </xf>
    <xf numFmtId="167" fontId="40" fillId="0" borderId="13" xfId="3" applyNumberFormat="1" applyFont="1" applyBorder="1" applyAlignment="1">
      <alignment horizontal="center" vertical="center"/>
    </xf>
    <xf numFmtId="167" fontId="40" fillId="0" borderId="29" xfId="3" applyNumberFormat="1" applyFont="1" applyBorder="1" applyAlignment="1">
      <alignment horizontal="center" vertical="center"/>
    </xf>
    <xf numFmtId="0" fontId="40" fillId="0" borderId="21" xfId="3" applyFont="1" applyBorder="1" applyAlignment="1" applyProtection="1">
      <alignment horizontal="center" vertical="center"/>
      <protection locked="0"/>
    </xf>
    <xf numFmtId="0" fontId="128" fillId="44" borderId="0" xfId="3" applyFont="1" applyFill="1" applyAlignment="1">
      <alignment horizontal="left" vertical="center"/>
    </xf>
    <xf numFmtId="2" fontId="40" fillId="44" borderId="0" xfId="3" applyNumberFormat="1" applyFont="1" applyFill="1" applyAlignment="1">
      <alignment horizontal="center" vertical="center"/>
    </xf>
    <xf numFmtId="167" fontId="40" fillId="44" borderId="0" xfId="3" applyNumberFormat="1" applyFont="1" applyFill="1" applyAlignment="1">
      <alignment vertical="center"/>
    </xf>
    <xf numFmtId="165" fontId="40" fillId="44" borderId="0" xfId="3" applyNumberFormat="1" applyFont="1" applyFill="1" applyAlignment="1">
      <alignment horizontal="left" vertical="center"/>
    </xf>
    <xf numFmtId="166" fontId="10" fillId="0" borderId="0" xfId="0" applyNumberFormat="1" applyFont="1" applyAlignment="1">
      <alignment horizontal="center" vertical="center"/>
    </xf>
    <xf numFmtId="2" fontId="40" fillId="44" borderId="0" xfId="3" applyNumberFormat="1" applyFont="1" applyFill="1" applyAlignment="1">
      <alignment horizontal="left" vertical="center"/>
    </xf>
    <xf numFmtId="0" fontId="40" fillId="0" borderId="30" xfId="3" applyFont="1" applyBorder="1" applyAlignment="1">
      <alignment horizontal="left" vertical="center"/>
    </xf>
    <xf numFmtId="0" fontId="40" fillId="0" borderId="29" xfId="3" applyFont="1" applyBorder="1" applyAlignment="1" applyProtection="1">
      <alignment horizontal="center" vertical="center"/>
      <protection locked="0"/>
    </xf>
    <xf numFmtId="0" fontId="128" fillId="0" borderId="26" xfId="3" applyFont="1" applyBorder="1" applyAlignment="1">
      <alignment horizontal="center" vertical="center"/>
    </xf>
    <xf numFmtId="0" fontId="59" fillId="0" borderId="0" xfId="3" applyFont="1" applyAlignment="1" applyProtection="1">
      <alignment horizontal="left" vertical="center"/>
      <protection locked="0"/>
    </xf>
    <xf numFmtId="0" fontId="131" fillId="44" borderId="0" xfId="3" applyFont="1" applyFill="1" applyAlignment="1">
      <alignment horizontal="centerContinuous" vertical="center"/>
    </xf>
    <xf numFmtId="0" fontId="131" fillId="0" borderId="0" xfId="3" applyFont="1" applyAlignment="1">
      <alignment horizontal="center" vertical="center"/>
    </xf>
    <xf numFmtId="0" fontId="12" fillId="0" borderId="16" xfId="3" applyFont="1" applyBorder="1" applyAlignment="1">
      <alignment vertical="center"/>
    </xf>
    <xf numFmtId="0" fontId="12" fillId="0" borderId="0" xfId="3" applyFont="1" applyAlignment="1">
      <alignment vertical="center"/>
    </xf>
    <xf numFmtId="0" fontId="40" fillId="0" borderId="0" xfId="3" applyFont="1" applyAlignment="1">
      <alignment vertical="top" wrapText="1"/>
    </xf>
    <xf numFmtId="167" fontId="35" fillId="0" borderId="0" xfId="3" applyNumberFormat="1" applyFont="1" applyAlignment="1">
      <alignment horizontal="center" vertical="center"/>
    </xf>
    <xf numFmtId="0" fontId="40" fillId="18" borderId="0" xfId="3" applyFont="1" applyFill="1" applyAlignment="1">
      <alignment horizontal="center" vertical="center"/>
    </xf>
    <xf numFmtId="2" fontId="40" fillId="18" borderId="0" xfId="3" applyNumberFormat="1" applyFont="1" applyFill="1" applyAlignment="1">
      <alignment horizontal="center" vertical="center"/>
    </xf>
    <xf numFmtId="1" fontId="40" fillId="18" borderId="0" xfId="3" applyNumberFormat="1" applyFont="1" applyFill="1" applyAlignment="1">
      <alignment horizontal="center" vertical="center"/>
    </xf>
    <xf numFmtId="0" fontId="13" fillId="0" borderId="28" xfId="3" applyFont="1" applyBorder="1" applyAlignment="1">
      <alignment horizontal="left" vertical="center"/>
    </xf>
    <xf numFmtId="0" fontId="40" fillId="0" borderId="0" xfId="3" applyFont="1" applyAlignment="1">
      <alignment horizontal="left" vertical="center" wrapText="1"/>
    </xf>
    <xf numFmtId="0" fontId="16" fillId="0" borderId="15" xfId="3" applyFont="1" applyBorder="1" applyAlignment="1">
      <alignment horizontal="centerContinuous" vertical="center"/>
    </xf>
    <xf numFmtId="0" fontId="16" fillId="0" borderId="27" xfId="3" applyFont="1" applyBorder="1" applyAlignment="1">
      <alignment horizontal="centerContinuous" vertical="center"/>
    </xf>
    <xf numFmtId="0" fontId="15" fillId="0" borderId="0" xfId="3" applyFont="1" applyAlignment="1">
      <alignment horizontal="left" vertical="center" wrapText="1"/>
    </xf>
    <xf numFmtId="0" fontId="15" fillId="0" borderId="21" xfId="3" applyFont="1" applyBorder="1" applyAlignment="1">
      <alignment horizontal="left" vertical="center" wrapText="1"/>
    </xf>
    <xf numFmtId="0" fontId="134" fillId="0" borderId="0" xfId="3" applyFont="1" applyAlignment="1">
      <alignment horizontal="left" vertical="center"/>
    </xf>
    <xf numFmtId="0" fontId="18" fillId="0" borderId="0" xfId="3" applyFont="1" applyAlignment="1">
      <alignment vertical="center"/>
    </xf>
    <xf numFmtId="0" fontId="18" fillId="0" borderId="0" xfId="3" applyFont="1" applyAlignment="1">
      <alignment horizontal="center" vertical="center" wrapText="1"/>
    </xf>
    <xf numFmtId="0" fontId="18" fillId="0" borderId="0" xfId="3" applyFont="1" applyAlignment="1">
      <alignment horizontal="center" vertical="center"/>
    </xf>
    <xf numFmtId="167" fontId="13" fillId="0" borderId="0" xfId="3" applyNumberFormat="1" applyFont="1" applyAlignment="1">
      <alignment horizontal="center" vertical="center"/>
    </xf>
    <xf numFmtId="0" fontId="59" fillId="44" borderId="0" xfId="3" applyFont="1" applyFill="1" applyAlignment="1">
      <alignment horizontal="center" vertical="center"/>
    </xf>
    <xf numFmtId="2" fontId="128" fillId="0" borderId="7" xfId="3" applyNumberFormat="1" applyFont="1" applyBorder="1" applyAlignment="1">
      <alignment horizontal="center" vertical="center"/>
    </xf>
    <xf numFmtId="0" fontId="11" fillId="0" borderId="30" xfId="13" applyFont="1" applyBorder="1" applyAlignment="1">
      <alignment horizontal="center" vertical="center"/>
    </xf>
    <xf numFmtId="0" fontId="11" fillId="0" borderId="7" xfId="13" applyFont="1" applyBorder="1" applyAlignment="1">
      <alignment horizontal="center" vertical="center"/>
    </xf>
    <xf numFmtId="0" fontId="40" fillId="0" borderId="30" xfId="13" applyFont="1" applyBorder="1" applyAlignment="1">
      <alignment horizontal="center" vertical="center"/>
    </xf>
    <xf numFmtId="0" fontId="40" fillId="0" borderId="7" xfId="13" applyFont="1" applyBorder="1" applyAlignment="1">
      <alignment horizontal="center" vertical="center"/>
    </xf>
    <xf numFmtId="0" fontId="40" fillId="0" borderId="26" xfId="13" applyFont="1" applyBorder="1" applyAlignment="1">
      <alignment horizontal="center" vertical="center"/>
    </xf>
    <xf numFmtId="0" fontId="40" fillId="0" borderId="27" xfId="13" applyFont="1" applyBorder="1" applyAlignment="1">
      <alignment horizontal="center" vertical="center"/>
    </xf>
    <xf numFmtId="0" fontId="40" fillId="0" borderId="13" xfId="13" applyFont="1" applyBorder="1" applyAlignment="1">
      <alignment horizontal="center" vertical="center"/>
    </xf>
    <xf numFmtId="0" fontId="40" fillId="0" borderId="21" xfId="13" applyFont="1" applyBorder="1" applyAlignment="1">
      <alignment horizontal="center" vertical="center"/>
    </xf>
    <xf numFmtId="0" fontId="40" fillId="0" borderId="29" xfId="13" applyFont="1" applyBorder="1" applyAlignment="1">
      <alignment horizontal="center" vertical="center"/>
    </xf>
    <xf numFmtId="0" fontId="11" fillId="0" borderId="11" xfId="13" applyFont="1" applyBorder="1" applyAlignment="1">
      <alignment horizontal="left" vertical="center"/>
    </xf>
    <xf numFmtId="0" fontId="40" fillId="0" borderId="11" xfId="13" applyFont="1" applyBorder="1" applyAlignment="1">
      <alignment horizontal="left" vertical="center"/>
    </xf>
    <xf numFmtId="0" fontId="40" fillId="0" borderId="30" xfId="13" applyFont="1" applyBorder="1" applyAlignment="1">
      <alignment horizontal="left" vertical="center"/>
    </xf>
    <xf numFmtId="0" fontId="61" fillId="0" borderId="0" xfId="13" applyFont="1" applyAlignment="1">
      <alignment vertical="center"/>
    </xf>
    <xf numFmtId="0" fontId="58" fillId="0" borderId="0" xfId="13" applyFont="1" applyAlignment="1">
      <alignment horizontal="left" vertical="center"/>
    </xf>
    <xf numFmtId="167" fontId="153" fillId="0" borderId="0" xfId="13" applyNumberFormat="1" applyFont="1" applyAlignment="1">
      <alignment vertical="center"/>
    </xf>
    <xf numFmtId="0" fontId="51" fillId="3" borderId="0" xfId="13" applyFont="1" applyFill="1" applyAlignment="1">
      <alignment horizontal="center" vertical="center"/>
    </xf>
    <xf numFmtId="0" fontId="153" fillId="0" borderId="0" xfId="13" applyFont="1" applyAlignment="1">
      <alignment vertical="center"/>
    </xf>
    <xf numFmtId="0" fontId="26" fillId="0" borderId="7" xfId="5" applyFont="1" applyBorder="1" applyAlignment="1" applyProtection="1">
      <alignment horizontal="left" vertical="center"/>
      <protection locked="0"/>
    </xf>
    <xf numFmtId="167" fontId="40" fillId="0" borderId="6" xfId="3" applyNumberFormat="1" applyFont="1" applyBorder="1" applyAlignment="1">
      <alignment horizontal="centerContinuous" vertical="center"/>
    </xf>
    <xf numFmtId="166" fontId="11" fillId="3" borderId="6" xfId="0" applyNumberFormat="1" applyFont="1" applyFill="1" applyBorder="1" applyAlignment="1">
      <alignment horizontal="center" vertical="center"/>
    </xf>
    <xf numFmtId="1" fontId="40" fillId="0" borderId="21" xfId="3" applyNumberFormat="1" applyFont="1" applyBorder="1" applyAlignment="1">
      <alignment horizontal="centerContinuous" vertical="center"/>
    </xf>
    <xf numFmtId="166" fontId="40" fillId="0" borderId="21" xfId="3" applyNumberFormat="1" applyFont="1" applyBorder="1" applyAlignment="1" applyProtection="1">
      <alignment horizontal="center" vertical="center"/>
      <protection locked="0"/>
    </xf>
    <xf numFmtId="2" fontId="40" fillId="0" borderId="21" xfId="3" applyNumberFormat="1" applyFont="1" applyBorder="1" applyAlignment="1" applyProtection="1">
      <alignment horizontal="center" vertical="center"/>
      <protection locked="0"/>
    </xf>
    <xf numFmtId="1" fontId="40" fillId="0" borderId="13" xfId="3" applyNumberFormat="1" applyFont="1" applyBorder="1" applyAlignment="1">
      <alignment horizontal="centerContinuous" vertical="center"/>
    </xf>
    <xf numFmtId="2" fontId="40" fillId="0" borderId="21" xfId="3" applyNumberFormat="1" applyFont="1" applyBorder="1" applyAlignment="1">
      <alignment horizontal="center" vertical="center"/>
    </xf>
    <xf numFmtId="167" fontId="40" fillId="0" borderId="21" xfId="3" applyNumberFormat="1" applyFont="1" applyBorder="1" applyAlignment="1" applyProtection="1">
      <alignment horizontal="center" vertical="center"/>
      <protection locked="0"/>
    </xf>
    <xf numFmtId="167" fontId="40" fillId="0" borderId="21" xfId="3" applyNumberFormat="1" applyFont="1" applyBorder="1" applyAlignment="1">
      <alignment horizontal="center" vertical="center"/>
    </xf>
    <xf numFmtId="166" fontId="40" fillId="0" borderId="11" xfId="3" applyNumberFormat="1" applyFont="1" applyBorder="1" applyAlignment="1" applyProtection="1">
      <alignment horizontal="center" vertical="center"/>
      <protection locked="0"/>
    </xf>
    <xf numFmtId="2" fontId="124" fillId="3" borderId="6" xfId="14" applyNumberFormat="1" applyFont="1" applyFill="1" applyBorder="1" applyAlignment="1">
      <alignment horizontal="center" vertical="center"/>
    </xf>
    <xf numFmtId="2" fontId="124" fillId="3" borderId="6" xfId="13" applyNumberFormat="1" applyFont="1" applyFill="1" applyBorder="1" applyAlignment="1">
      <alignment horizontal="center" vertical="center"/>
    </xf>
    <xf numFmtId="167" fontId="66" fillId="0" borderId="6" xfId="13" applyNumberFormat="1" applyFont="1" applyBorder="1" applyAlignment="1">
      <alignment horizontal="center" vertical="center"/>
    </xf>
    <xf numFmtId="167" fontId="11" fillId="0" borderId="6" xfId="13" applyNumberFormat="1" applyFont="1" applyBorder="1" applyAlignment="1">
      <alignment horizontal="centerContinuous" vertical="center"/>
    </xf>
    <xf numFmtId="167" fontId="35" fillId="0" borderId="6" xfId="13" applyNumberFormat="1" applyFont="1" applyBorder="1" applyAlignment="1">
      <alignment horizontal="centerContinuous" vertical="center"/>
    </xf>
    <xf numFmtId="167" fontId="13" fillId="0" borderId="6" xfId="13" applyNumberFormat="1" applyFont="1" applyBorder="1" applyAlignment="1">
      <alignment horizontal="centerContinuous" vertical="center"/>
    </xf>
    <xf numFmtId="167" fontId="40" fillId="0" borderId="6" xfId="13" applyNumberFormat="1" applyFont="1" applyBorder="1" applyAlignment="1">
      <alignment horizontal="centerContinuous" vertical="center"/>
    </xf>
    <xf numFmtId="167" fontId="40" fillId="0" borderId="6" xfId="15" applyNumberFormat="1" applyFont="1" applyBorder="1" applyAlignment="1">
      <alignment horizontal="centerContinuous" vertical="center"/>
    </xf>
    <xf numFmtId="167" fontId="26" fillId="0" borderId="6" xfId="15" applyNumberFormat="1" applyFont="1" applyBorder="1" applyAlignment="1">
      <alignment horizontal="centerContinuous" vertical="center"/>
    </xf>
    <xf numFmtId="167" fontId="53" fillId="0" borderId="6" xfId="13" applyNumberFormat="1" applyFont="1" applyBorder="1" applyAlignment="1">
      <alignment horizontal="centerContinuous" vertical="center"/>
    </xf>
    <xf numFmtId="167" fontId="40" fillId="0" borderId="0" xfId="13" applyNumberFormat="1" applyFont="1" applyAlignment="1">
      <alignment horizontal="center" vertical="center"/>
    </xf>
    <xf numFmtId="167" fontId="40" fillId="0" borderId="0" xfId="15" applyNumberFormat="1" applyFont="1" applyAlignment="1">
      <alignment horizontal="center" vertical="center"/>
    </xf>
    <xf numFmtId="2" fontId="10" fillId="0" borderId="6" xfId="14" applyNumberFormat="1" applyFont="1" applyBorder="1" applyAlignment="1">
      <alignment horizontal="center" vertical="center"/>
    </xf>
    <xf numFmtId="175" fontId="11" fillId="0" borderId="0" xfId="13" applyNumberFormat="1" applyFont="1" applyAlignment="1">
      <alignment horizontal="left" vertical="center"/>
    </xf>
    <xf numFmtId="175" fontId="13" fillId="0" borderId="0" xfId="3" applyNumberFormat="1" applyFont="1" applyAlignment="1">
      <alignment vertical="center"/>
    </xf>
    <xf numFmtId="0" fontId="18" fillId="0" borderId="0" xfId="0" applyFont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67" fontId="13" fillId="0" borderId="0" xfId="0" applyNumberFormat="1" applyFont="1" applyAlignment="1">
      <alignment horizontal="center" vertical="center"/>
    </xf>
    <xf numFmtId="168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0" fontId="20" fillId="0" borderId="0" xfId="3" applyFont="1" applyAlignment="1">
      <alignment horizontal="centerContinuous" vertical="center"/>
    </xf>
    <xf numFmtId="0" fontId="31" fillId="0" borderId="0" xfId="3" applyFont="1" applyAlignment="1">
      <alignment horizontal="center" vertical="center"/>
    </xf>
    <xf numFmtId="2" fontId="31" fillId="0" borderId="0" xfId="3" applyNumberFormat="1" applyFont="1" applyAlignment="1">
      <alignment horizontal="center" vertical="center"/>
    </xf>
    <xf numFmtId="167" fontId="20" fillId="0" borderId="0" xfId="3" applyNumberFormat="1" applyFont="1" applyAlignment="1">
      <alignment horizontal="center" vertical="center"/>
    </xf>
    <xf numFmtId="2" fontId="20" fillId="0" borderId="0" xfId="3" applyNumberFormat="1" applyFont="1" applyAlignment="1">
      <alignment horizontal="center" vertical="center"/>
    </xf>
    <xf numFmtId="167" fontId="31" fillId="0" borderId="0" xfId="3" applyNumberFormat="1" applyFont="1" applyAlignment="1">
      <alignment horizontal="center" vertical="center"/>
    </xf>
    <xf numFmtId="167" fontId="18" fillId="0" borderId="0" xfId="0" applyNumberFormat="1" applyFont="1"/>
    <xf numFmtId="2" fontId="18" fillId="0" borderId="0" xfId="0" applyNumberFormat="1" applyFont="1"/>
    <xf numFmtId="0" fontId="20" fillId="0" borderId="11" xfId="3" applyFont="1" applyBorder="1" applyAlignment="1">
      <alignment vertical="center"/>
    </xf>
    <xf numFmtId="0" fontId="20" fillId="0" borderId="30" xfId="3" applyFont="1" applyBorder="1" applyAlignment="1">
      <alignment vertical="center"/>
    </xf>
    <xf numFmtId="0" fontId="20" fillId="0" borderId="7" xfId="3" applyFont="1" applyBorder="1" applyAlignment="1">
      <alignment vertical="center"/>
    </xf>
    <xf numFmtId="167" fontId="13" fillId="0" borderId="0" xfId="0" applyNumberFormat="1" applyFont="1" applyAlignment="1">
      <alignment vertical="center"/>
    </xf>
    <xf numFmtId="167" fontId="25" fillId="0" borderId="0" xfId="2" applyNumberFormat="1" applyFont="1" applyAlignment="1">
      <alignment horizontal="center"/>
    </xf>
    <xf numFmtId="1" fontId="13" fillId="0" borderId="0" xfId="0" applyNumberFormat="1" applyFont="1" applyAlignment="1">
      <alignment horizontal="center" vertical="center"/>
    </xf>
    <xf numFmtId="2" fontId="25" fillId="0" borderId="0" xfId="2" applyNumberFormat="1" applyFont="1" applyAlignment="1">
      <alignment horizontal="center"/>
    </xf>
    <xf numFmtId="0" fontId="14" fillId="0" borderId="0" xfId="0" applyFont="1"/>
    <xf numFmtId="175" fontId="16" fillId="0" borderId="0" xfId="0" applyNumberFormat="1" applyFont="1" applyAlignment="1">
      <alignment vertical="center"/>
    </xf>
    <xf numFmtId="175" fontId="16" fillId="0" borderId="28" xfId="0" applyNumberFormat="1" applyFont="1" applyBorder="1" applyAlignment="1">
      <alignment vertical="center"/>
    </xf>
    <xf numFmtId="0" fontId="35" fillId="0" borderId="0" xfId="13" applyFont="1"/>
    <xf numFmtId="0" fontId="16" fillId="0" borderId="0" xfId="13" applyFont="1"/>
    <xf numFmtId="0" fontId="13" fillId="0" borderId="30" xfId="0" applyFont="1" applyBorder="1" applyAlignment="1">
      <alignment horizontal="center" vertical="center"/>
    </xf>
    <xf numFmtId="2" fontId="141" fillId="0" borderId="6" xfId="3" applyNumberFormat="1" applyFont="1" applyBorder="1" applyAlignment="1">
      <alignment horizontal="center"/>
    </xf>
    <xf numFmtId="0" fontId="20" fillId="0" borderId="0" xfId="0" applyFont="1" applyAlignment="1">
      <alignment horizontal="left" vertical="center"/>
    </xf>
    <xf numFmtId="0" fontId="40" fillId="44" borderId="0" xfId="0" applyFont="1" applyFill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0" fillId="47" borderId="0" xfId="0" applyFont="1" applyFill="1" applyAlignment="1">
      <alignment horizontal="center" vertical="center"/>
    </xf>
    <xf numFmtId="0" fontId="40" fillId="43" borderId="0" xfId="0" applyFont="1" applyFill="1" applyAlignment="1">
      <alignment horizontal="center" vertical="center"/>
    </xf>
    <xf numFmtId="167" fontId="40" fillId="45" borderId="0" xfId="0" applyNumberFormat="1" applyFont="1" applyFill="1" applyAlignment="1">
      <alignment horizontal="center" vertical="center"/>
    </xf>
    <xf numFmtId="167" fontId="40" fillId="14" borderId="0" xfId="0" applyNumberFormat="1" applyFont="1" applyFill="1" applyAlignment="1">
      <alignment horizontal="center" vertical="center"/>
    </xf>
    <xf numFmtId="0" fontId="40" fillId="14" borderId="0" xfId="0" applyFont="1" applyFill="1" applyAlignment="1">
      <alignment horizontal="center" vertical="center"/>
    </xf>
    <xf numFmtId="165" fontId="40" fillId="15" borderId="0" xfId="0" applyNumberFormat="1" applyFont="1" applyFill="1" applyAlignment="1">
      <alignment horizontal="center" vertical="center"/>
    </xf>
    <xf numFmtId="166" fontId="40" fillId="48" borderId="0" xfId="0" applyNumberFormat="1" applyFont="1" applyFill="1" applyAlignment="1">
      <alignment horizontal="center" vertical="center"/>
    </xf>
    <xf numFmtId="0" fontId="40" fillId="11" borderId="0" xfId="0" applyFont="1" applyFill="1" applyAlignment="1">
      <alignment horizontal="center" vertical="center"/>
    </xf>
    <xf numFmtId="166" fontId="40" fillId="49" borderId="0" xfId="0" applyNumberFormat="1" applyFont="1" applyFill="1" applyAlignment="1">
      <alignment horizontal="center" vertical="center"/>
    </xf>
    <xf numFmtId="167" fontId="40" fillId="43" borderId="0" xfId="0" applyNumberFormat="1" applyFont="1" applyFill="1" applyAlignment="1">
      <alignment horizontal="center" vertical="center"/>
    </xf>
    <xf numFmtId="0" fontId="40" fillId="10" borderId="0" xfId="0" applyFont="1" applyFill="1" applyAlignment="1">
      <alignment horizontal="center" vertical="center"/>
    </xf>
    <xf numFmtId="166" fontId="40" fillId="11" borderId="0" xfId="0" applyNumberFormat="1" applyFont="1" applyFill="1" applyAlignment="1">
      <alignment horizontal="center" vertical="center"/>
    </xf>
    <xf numFmtId="166" fontId="40" fillId="50" borderId="0" xfId="0" applyNumberFormat="1" applyFont="1" applyFill="1" applyAlignment="1">
      <alignment horizontal="center" vertical="center"/>
    </xf>
    <xf numFmtId="0" fontId="40" fillId="16" borderId="0" xfId="0" applyFont="1" applyFill="1" applyAlignment="1">
      <alignment horizontal="center" vertical="center"/>
    </xf>
    <xf numFmtId="167" fontId="40" fillId="16" borderId="0" xfId="0" applyNumberFormat="1" applyFont="1" applyFill="1" applyAlignment="1">
      <alignment horizontal="center" vertical="center"/>
    </xf>
    <xf numFmtId="0" fontId="40" fillId="51" borderId="0" xfId="0" applyFont="1" applyFill="1" applyAlignment="1">
      <alignment horizontal="center" vertical="center"/>
    </xf>
    <xf numFmtId="1" fontId="40" fillId="51" borderId="0" xfId="0" applyNumberFormat="1" applyFont="1" applyFill="1" applyAlignment="1">
      <alignment horizontal="center" vertical="center"/>
    </xf>
    <xf numFmtId="167" fontId="40" fillId="51" borderId="0" xfId="0" applyNumberFormat="1" applyFont="1" applyFill="1" applyAlignment="1">
      <alignment horizontal="center" vertical="center"/>
    </xf>
    <xf numFmtId="0" fontId="40" fillId="52" borderId="0" xfId="0" applyFont="1" applyFill="1" applyAlignment="1">
      <alignment horizontal="center" vertical="center"/>
    </xf>
    <xf numFmtId="167" fontId="40" fillId="52" borderId="0" xfId="0" applyNumberFormat="1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40" fillId="9" borderId="0" xfId="0" applyFont="1" applyFill="1" applyAlignment="1">
      <alignment horizontal="center" vertical="center"/>
    </xf>
    <xf numFmtId="0" fontId="134" fillId="53" borderId="0" xfId="0" applyFont="1" applyFill="1" applyAlignment="1">
      <alignment horizontal="center" vertical="center"/>
    </xf>
    <xf numFmtId="0" fontId="134" fillId="54" borderId="0" xfId="0" applyFont="1" applyFill="1" applyAlignment="1">
      <alignment horizontal="center" vertical="center"/>
    </xf>
    <xf numFmtId="166" fontId="40" fillId="3" borderId="0" xfId="0" applyNumberFormat="1" applyFont="1" applyFill="1" applyAlignment="1">
      <alignment horizontal="center" vertical="center"/>
    </xf>
    <xf numFmtId="2" fontId="40" fillId="0" borderId="0" xfId="0" applyNumberFormat="1" applyFont="1" applyAlignment="1">
      <alignment horizontal="center" vertical="center"/>
    </xf>
    <xf numFmtId="0" fontId="40" fillId="3" borderId="0" xfId="0" applyFont="1" applyFill="1" applyAlignment="1">
      <alignment horizontal="center" vertical="center"/>
    </xf>
    <xf numFmtId="0" fontId="50" fillId="0" borderId="42" xfId="1" applyFont="1" applyFill="1" applyBorder="1" applyAlignment="1" applyProtection="1">
      <alignment horizontal="center" vertical="center"/>
      <protection locked="0"/>
    </xf>
    <xf numFmtId="0" fontId="66" fillId="0" borderId="73" xfId="8" applyFont="1" applyBorder="1" applyAlignment="1" applyProtection="1">
      <alignment horizontal="center" vertical="center"/>
      <protection locked="0"/>
    </xf>
    <xf numFmtId="167" fontId="50" fillId="0" borderId="74" xfId="1" applyNumberFormat="1" applyFont="1" applyFill="1" applyBorder="1" applyAlignment="1" applyProtection="1">
      <alignment horizontal="center" vertical="center"/>
      <protection locked="0"/>
    </xf>
    <xf numFmtId="167" fontId="66" fillId="0" borderId="75" xfId="8" applyNumberFormat="1" applyFont="1" applyBorder="1" applyAlignment="1" applyProtection="1">
      <alignment horizontal="center" vertical="center"/>
      <protection locked="0"/>
    </xf>
    <xf numFmtId="1" fontId="50" fillId="0" borderId="74" xfId="1" applyNumberFormat="1" applyFont="1" applyFill="1" applyBorder="1" applyAlignment="1" applyProtection="1">
      <alignment horizontal="center" vertical="center"/>
      <protection locked="0"/>
    </xf>
    <xf numFmtId="1" fontId="66" fillId="0" borderId="75" xfId="8" applyNumberFormat="1" applyFont="1" applyBorder="1" applyAlignment="1" applyProtection="1">
      <alignment horizontal="center" vertical="center"/>
      <protection locked="0"/>
    </xf>
    <xf numFmtId="0" fontId="28" fillId="0" borderId="0" xfId="0" applyFont="1" applyAlignment="1">
      <alignment horizontal="right" vertical="top"/>
    </xf>
    <xf numFmtId="0" fontId="14" fillId="0" borderId="0" xfId="0" applyFont="1" applyAlignment="1">
      <alignment vertical="top"/>
    </xf>
    <xf numFmtId="0" fontId="108" fillId="0" borderId="0" xfId="0" applyFont="1" applyAlignment="1">
      <alignment vertical="center"/>
    </xf>
    <xf numFmtId="0" fontId="156" fillId="0" borderId="0" xfId="3" applyFont="1" applyAlignment="1">
      <alignment horizontal="right" vertical="top"/>
    </xf>
    <xf numFmtId="0" fontId="157" fillId="0" borderId="0" xfId="3" applyFont="1" applyAlignment="1">
      <alignment horizontal="left" vertical="top"/>
    </xf>
    <xf numFmtId="1" fontId="50" fillId="0" borderId="41" xfId="1" applyNumberFormat="1" applyFont="1" applyFill="1" applyBorder="1" applyAlignment="1" applyProtection="1">
      <alignment horizontal="centerContinuous" vertical="center"/>
      <protection locked="0"/>
    </xf>
    <xf numFmtId="167" fontId="50" fillId="0" borderId="40" xfId="1" applyNumberFormat="1" applyFont="1" applyFill="1" applyBorder="1" applyAlignment="1">
      <alignment horizontal="centerContinuous" vertical="center"/>
    </xf>
    <xf numFmtId="1" fontId="66" fillId="0" borderId="43" xfId="8" applyNumberFormat="1" applyFont="1" applyBorder="1" applyAlignment="1" applyProtection="1">
      <alignment horizontal="centerContinuous"/>
      <protection locked="0"/>
    </xf>
    <xf numFmtId="2" fontId="66" fillId="0" borderId="35" xfId="8" applyNumberFormat="1" applyFont="1" applyBorder="1" applyAlignment="1" applyProtection="1">
      <alignment horizontal="centerContinuous"/>
      <protection locked="0"/>
    </xf>
    <xf numFmtId="167" fontId="41" fillId="0" borderId="12" xfId="3" applyNumberFormat="1" applyFont="1" applyBorder="1" applyAlignment="1" applyProtection="1">
      <alignment horizontal="center"/>
      <protection locked="0"/>
    </xf>
    <xf numFmtId="166" fontId="41" fillId="0" borderId="6" xfId="3" applyNumberFormat="1" applyFont="1" applyBorder="1" applyAlignment="1" applyProtection="1">
      <alignment horizontal="center"/>
      <protection locked="0"/>
    </xf>
    <xf numFmtId="0" fontId="51" fillId="0" borderId="0" xfId="2" applyFont="1" applyAlignment="1" applyProtection="1">
      <alignment horizontal="center"/>
      <protection locked="0"/>
    </xf>
    <xf numFmtId="167" fontId="51" fillId="0" borderId="6" xfId="0" applyNumberFormat="1" applyFont="1" applyBorder="1" applyAlignment="1">
      <alignment horizontal="center" vertical="center"/>
    </xf>
    <xf numFmtId="167" fontId="36" fillId="12" borderId="6" xfId="13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15" xfId="17" applyFont="1" applyBorder="1" applyAlignment="1">
      <alignment vertical="center"/>
    </xf>
    <xf numFmtId="0" fontId="11" fillId="0" borderId="26" xfId="17" applyFont="1" applyBorder="1" applyAlignment="1">
      <alignment vertical="center"/>
    </xf>
    <xf numFmtId="0" fontId="11" fillId="0" borderId="16" xfId="17" applyFont="1" applyBorder="1" applyAlignment="1">
      <alignment vertical="center"/>
    </xf>
    <xf numFmtId="0" fontId="11" fillId="0" borderId="0" xfId="17" applyFont="1" applyAlignment="1">
      <alignment vertical="center"/>
    </xf>
    <xf numFmtId="0" fontId="11" fillId="0" borderId="13" xfId="17" applyFont="1" applyBorder="1" applyAlignment="1">
      <alignment vertical="center"/>
    </xf>
    <xf numFmtId="0" fontId="11" fillId="0" borderId="21" xfId="17" applyFont="1" applyBorder="1" applyAlignment="1">
      <alignment vertical="center"/>
    </xf>
    <xf numFmtId="0" fontId="15" fillId="0" borderId="0" xfId="17" applyFont="1" applyAlignment="1">
      <alignment horizontal="left" vertical="center" wrapText="1"/>
    </xf>
    <xf numFmtId="0" fontId="108" fillId="0" borderId="0" xfId="17" applyFont="1" applyAlignment="1">
      <alignment horizontal="center" vertical="center" wrapText="1"/>
    </xf>
    <xf numFmtId="0" fontId="13" fillId="0" borderId="0" xfId="17" applyFont="1" applyAlignment="1">
      <alignment vertical="center"/>
    </xf>
    <xf numFmtId="14" fontId="13" fillId="0" borderId="0" xfId="17" applyNumberFormat="1" applyFont="1" applyAlignment="1">
      <alignment vertical="center"/>
    </xf>
    <xf numFmtId="175" fontId="11" fillId="0" borderId="0" xfId="13" applyNumberFormat="1" applyFont="1" applyAlignment="1">
      <alignment vertical="center"/>
    </xf>
    <xf numFmtId="0" fontId="40" fillId="0" borderId="16" xfId="13" applyFont="1" applyBorder="1" applyAlignment="1">
      <alignment vertical="center"/>
    </xf>
    <xf numFmtId="0" fontId="45" fillId="0" borderId="28" xfId="13" applyFont="1" applyBorder="1" applyAlignment="1">
      <alignment vertical="center"/>
    </xf>
    <xf numFmtId="2" fontId="11" fillId="0" borderId="0" xfId="13" applyNumberFormat="1" applyFont="1" applyAlignment="1">
      <alignment horizontal="right" vertical="center"/>
    </xf>
    <xf numFmtId="0" fontId="59" fillId="0" borderId="0" xfId="13" applyFont="1" applyAlignment="1">
      <alignment vertical="center"/>
    </xf>
    <xf numFmtId="0" fontId="40" fillId="0" borderId="0" xfId="13" applyFont="1" applyAlignment="1">
      <alignment horizontal="right" vertical="center"/>
    </xf>
    <xf numFmtId="165" fontId="11" fillId="0" borderId="0" xfId="13" applyNumberFormat="1" applyFont="1" applyAlignment="1">
      <alignment vertical="center"/>
    </xf>
    <xf numFmtId="0" fontId="40" fillId="0" borderId="28" xfId="13" applyFont="1" applyBorder="1" applyAlignment="1">
      <alignment vertical="center"/>
    </xf>
    <xf numFmtId="2" fontId="40" fillId="0" borderId="0" xfId="13" applyNumberFormat="1" applyFont="1" applyAlignment="1">
      <alignment horizontal="center" vertical="center"/>
    </xf>
    <xf numFmtId="0" fontId="59" fillId="0" borderId="89" xfId="13" applyFont="1" applyBorder="1" applyAlignment="1">
      <alignment horizontal="center" vertical="center"/>
    </xf>
    <xf numFmtId="20" fontId="59" fillId="0" borderId="89" xfId="13" applyNumberFormat="1" applyFont="1" applyBorder="1" applyAlignment="1">
      <alignment horizontal="center" vertical="center"/>
    </xf>
    <xf numFmtId="0" fontId="59" fillId="0" borderId="90" xfId="13" applyFont="1" applyBorder="1" applyAlignment="1">
      <alignment horizontal="center" vertical="center"/>
    </xf>
    <xf numFmtId="0" fontId="40" fillId="0" borderId="94" xfId="13" applyFont="1" applyBorder="1" applyAlignment="1">
      <alignment horizontal="center" vertical="center"/>
    </xf>
    <xf numFmtId="0" fontId="40" fillId="0" borderId="95" xfId="13" applyFont="1" applyBorder="1" applyAlignment="1">
      <alignment horizontal="center" vertical="center"/>
    </xf>
    <xf numFmtId="14" fontId="40" fillId="3" borderId="0" xfId="13" applyNumberFormat="1" applyFont="1" applyFill="1" applyAlignment="1">
      <alignment horizontal="right" vertical="center"/>
    </xf>
    <xf numFmtId="0" fontId="59" fillId="0" borderId="16" xfId="13" applyFont="1" applyBorder="1" applyAlignment="1">
      <alignment horizontal="center" vertical="center"/>
    </xf>
    <xf numFmtId="0" fontId="59" fillId="0" borderId="28" xfId="13" applyFont="1" applyBorder="1" applyAlignment="1">
      <alignment horizontal="center" vertical="center"/>
    </xf>
    <xf numFmtId="0" fontId="40" fillId="0" borderId="9" xfId="13" applyFont="1" applyBorder="1" applyAlignment="1">
      <alignment horizontal="center" vertical="center"/>
    </xf>
    <xf numFmtId="0" fontId="59" fillId="0" borderId="9" xfId="13" applyFont="1" applyBorder="1" applyAlignment="1">
      <alignment horizontal="center" vertical="center"/>
    </xf>
    <xf numFmtId="0" fontId="40" fillId="0" borderId="81" xfId="13" applyFont="1" applyBorder="1" applyAlignment="1">
      <alignment horizontal="center" vertical="center"/>
    </xf>
    <xf numFmtId="0" fontId="40" fillId="3" borderId="0" xfId="13" applyFont="1" applyFill="1" applyAlignment="1">
      <alignment horizontal="right" vertical="center"/>
    </xf>
    <xf numFmtId="0" fontId="40" fillId="0" borderId="16" xfId="13" applyFont="1" applyBorder="1" applyAlignment="1">
      <alignment horizontal="center" vertical="center"/>
    </xf>
    <xf numFmtId="2" fontId="40" fillId="0" borderId="6" xfId="13" applyNumberFormat="1" applyFont="1" applyBorder="1" applyAlignment="1">
      <alignment horizontal="center" vertical="center"/>
    </xf>
    <xf numFmtId="0" fontId="40" fillId="0" borderId="83" xfId="13" applyFont="1" applyBorder="1" applyAlignment="1">
      <alignment horizontal="center" vertical="center"/>
    </xf>
    <xf numFmtId="0" fontId="40" fillId="0" borderId="28" xfId="13" applyFont="1" applyBorder="1" applyAlignment="1">
      <alignment horizontal="center" vertical="center"/>
    </xf>
    <xf numFmtId="20" fontId="40" fillId="3" borderId="0" xfId="13" applyNumberFormat="1" applyFont="1" applyFill="1" applyAlignment="1">
      <alignment horizontal="right" vertical="center"/>
    </xf>
    <xf numFmtId="165" fontId="40" fillId="0" borderId="6" xfId="13" applyNumberFormat="1" applyFont="1" applyBorder="1" applyAlignment="1">
      <alignment horizontal="center" vertical="center"/>
    </xf>
    <xf numFmtId="11" fontId="40" fillId="0" borderId="6" xfId="13" applyNumberFormat="1" applyFont="1" applyBorder="1" applyAlignment="1">
      <alignment horizontal="center" vertical="center"/>
    </xf>
    <xf numFmtId="11" fontId="40" fillId="0" borderId="83" xfId="13" applyNumberFormat="1" applyFont="1" applyBorder="1" applyAlignment="1">
      <alignment horizontal="center" vertical="center"/>
    </xf>
    <xf numFmtId="0" fontId="40" fillId="3" borderId="0" xfId="13" applyFont="1" applyFill="1" applyAlignment="1">
      <alignment horizontal="center" vertical="center"/>
    </xf>
    <xf numFmtId="2" fontId="40" fillId="0" borderId="30" xfId="13" applyNumberFormat="1" applyFont="1" applyBorder="1" applyAlignment="1">
      <alignment horizontal="center" vertical="center"/>
    </xf>
    <xf numFmtId="167" fontId="40" fillId="0" borderId="28" xfId="13" applyNumberFormat="1" applyFont="1" applyBorder="1" applyAlignment="1">
      <alignment horizontal="center" vertical="center"/>
    </xf>
    <xf numFmtId="14" fontId="40" fillId="0" borderId="0" xfId="13" applyNumberFormat="1" applyFont="1" applyAlignment="1">
      <alignment vertical="center"/>
    </xf>
    <xf numFmtId="0" fontId="40" fillId="0" borderId="30" xfId="13" applyFont="1" applyBorder="1" applyAlignment="1">
      <alignment vertical="center"/>
    </xf>
    <xf numFmtId="2" fontId="40" fillId="0" borderId="30" xfId="13" applyNumberFormat="1" applyFont="1" applyBorder="1" applyAlignment="1">
      <alignment vertical="center"/>
    </xf>
    <xf numFmtId="167" fontId="11" fillId="0" borderId="0" xfId="13" applyNumberFormat="1" applyFont="1" applyAlignment="1">
      <alignment vertical="center"/>
    </xf>
    <xf numFmtId="167" fontId="40" fillId="0" borderId="0" xfId="13" applyNumberFormat="1" applyFont="1" applyAlignment="1">
      <alignment vertical="center"/>
    </xf>
    <xf numFmtId="0" fontId="40" fillId="0" borderId="1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  <xf numFmtId="0" fontId="40" fillId="0" borderId="4" xfId="13" applyFont="1" applyBorder="1" applyAlignment="1">
      <alignment horizontal="center" vertical="center"/>
    </xf>
    <xf numFmtId="0" fontId="40" fillId="0" borderId="3" xfId="13" applyFont="1" applyBorder="1" applyAlignment="1">
      <alignment horizontal="center" vertical="center"/>
    </xf>
    <xf numFmtId="0" fontId="11" fillId="0" borderId="3" xfId="13" applyFont="1" applyBorder="1" applyAlignment="1">
      <alignment horizontal="center" vertical="center"/>
    </xf>
    <xf numFmtId="0" fontId="16" fillId="0" borderId="3" xfId="13" applyFont="1" applyBorder="1" applyAlignment="1">
      <alignment horizontal="left" vertical="center"/>
    </xf>
    <xf numFmtId="11" fontId="16" fillId="0" borderId="2" xfId="13" applyNumberFormat="1" applyFont="1" applyBorder="1" applyAlignment="1">
      <alignment horizontal="center" vertical="center"/>
    </xf>
    <xf numFmtId="167" fontId="11" fillId="0" borderId="0" xfId="13" applyNumberFormat="1" applyFont="1" applyAlignment="1">
      <alignment horizontal="center" vertical="center"/>
    </xf>
    <xf numFmtId="167" fontId="134" fillId="0" borderId="0" xfId="13" applyNumberFormat="1" applyFont="1" applyAlignment="1">
      <alignment vertical="center"/>
    </xf>
    <xf numFmtId="0" fontId="40" fillId="0" borderId="13" xfId="13" applyFont="1" applyBorder="1" applyAlignment="1">
      <alignment vertical="center"/>
    </xf>
    <xf numFmtId="0" fontId="40" fillId="0" borderId="21" xfId="13" applyFont="1" applyBorder="1" applyAlignment="1">
      <alignment vertical="center"/>
    </xf>
    <xf numFmtId="0" fontId="11" fillId="0" borderId="21" xfId="13" applyFont="1" applyBorder="1" applyAlignment="1">
      <alignment vertical="center"/>
    </xf>
    <xf numFmtId="0" fontId="40" fillId="0" borderId="21" xfId="15" applyFont="1" applyBorder="1" applyAlignment="1">
      <alignment horizontal="center" vertical="center"/>
    </xf>
    <xf numFmtId="0" fontId="11" fillId="0" borderId="21" xfId="13" applyFont="1" applyBorder="1" applyAlignment="1">
      <alignment horizontal="center" vertical="center"/>
    </xf>
    <xf numFmtId="0" fontId="40" fillId="0" borderId="29" xfId="13" applyFont="1" applyBorder="1" applyAlignment="1">
      <alignment vertical="center"/>
    </xf>
    <xf numFmtId="2" fontId="40" fillId="0" borderId="0" xfId="15" applyNumberFormat="1" applyFont="1" applyAlignment="1">
      <alignment horizontal="center" vertical="center"/>
    </xf>
    <xf numFmtId="2" fontId="59" fillId="0" borderId="0" xfId="15" applyNumberFormat="1" applyFont="1" applyAlignment="1">
      <alignment vertical="center"/>
    </xf>
    <xf numFmtId="0" fontId="40" fillId="0" borderId="0" xfId="18" applyFont="1"/>
    <xf numFmtId="0" fontId="40" fillId="0" borderId="0" xfId="18" applyFont="1" applyAlignment="1">
      <alignment horizontal="left"/>
    </xf>
    <xf numFmtId="2" fontId="40" fillId="0" borderId="0" xfId="18" applyNumberFormat="1" applyFont="1" applyAlignment="1">
      <alignment horizontal="centerContinuous"/>
    </xf>
    <xf numFmtId="1" fontId="40" fillId="0" borderId="0" xfId="18" applyNumberFormat="1" applyFont="1" applyAlignment="1">
      <alignment horizontal="centerContinuous"/>
    </xf>
    <xf numFmtId="0" fontId="40" fillId="0" borderId="0" xfId="18" applyFont="1" applyAlignment="1">
      <alignment horizontal="right"/>
    </xf>
    <xf numFmtId="0" fontId="40" fillId="0" borderId="29" xfId="18" applyFont="1" applyBorder="1"/>
    <xf numFmtId="0" fontId="40" fillId="0" borderId="21" xfId="18" applyFont="1" applyBorder="1"/>
    <xf numFmtId="0" fontId="40" fillId="0" borderId="28" xfId="18" applyFont="1" applyBorder="1"/>
    <xf numFmtId="0" fontId="40" fillId="0" borderId="16" xfId="18" applyFont="1" applyBorder="1"/>
    <xf numFmtId="1" fontId="26" fillId="0" borderId="0" xfId="18" applyNumberFormat="1" applyFont="1" applyAlignment="1">
      <alignment horizontal="centerContinuous"/>
    </xf>
    <xf numFmtId="0" fontId="40" fillId="0" borderId="32" xfId="18" applyFont="1" applyBorder="1"/>
    <xf numFmtId="0" fontId="40" fillId="0" borderId="0" xfId="18" applyFont="1" applyAlignment="1">
      <alignment horizontal="centerContinuous"/>
    </xf>
    <xf numFmtId="0" fontId="59" fillId="0" borderId="0" xfId="18" applyFont="1" applyAlignment="1">
      <alignment horizontal="centerContinuous"/>
    </xf>
    <xf numFmtId="166" fontId="40" fillId="0" borderId="37" xfId="18" applyNumberFormat="1" applyFont="1" applyBorder="1" applyAlignment="1">
      <alignment horizontal="centerContinuous"/>
    </xf>
    <xf numFmtId="0" fontId="59" fillId="0" borderId="16" xfId="18" applyFont="1" applyBorder="1" applyAlignment="1">
      <alignment horizontal="centerContinuous"/>
    </xf>
    <xf numFmtId="0" fontId="40" fillId="0" borderId="35" xfId="18" applyFont="1" applyBorder="1"/>
    <xf numFmtId="2" fontId="40" fillId="0" borderId="37" xfId="18" applyNumberFormat="1" applyFont="1" applyBorder="1" applyAlignment="1">
      <alignment horizontal="center"/>
    </xf>
    <xf numFmtId="166" fontId="40" fillId="0" borderId="37" xfId="18" applyNumberFormat="1" applyFont="1" applyBorder="1" applyAlignment="1">
      <alignment horizontal="center"/>
    </xf>
    <xf numFmtId="2" fontId="40" fillId="0" borderId="0" xfId="18" applyNumberFormat="1" applyFont="1"/>
    <xf numFmtId="166" fontId="40" fillId="0" borderId="45" xfId="18" applyNumberFormat="1" applyFont="1" applyBorder="1" applyAlignment="1">
      <alignment horizontal="centerContinuous"/>
    </xf>
    <xf numFmtId="166" fontId="40" fillId="0" borderId="45" xfId="18" applyNumberFormat="1" applyFont="1" applyBorder="1" applyAlignment="1">
      <alignment horizontal="center"/>
    </xf>
    <xf numFmtId="0" fontId="40" fillId="0" borderId="43" xfId="18" applyFont="1" applyBorder="1"/>
    <xf numFmtId="0" fontId="40" fillId="0" borderId="21" xfId="18" applyFont="1" applyBorder="1" applyAlignment="1">
      <alignment horizontal="center" vertical="center"/>
    </xf>
    <xf numFmtId="0" fontId="40" fillId="0" borderId="6" xfId="18" applyFont="1" applyBorder="1" applyAlignment="1">
      <alignment horizontal="center" vertical="center"/>
    </xf>
    <xf numFmtId="166" fontId="40" fillId="0" borderId="12" xfId="18" applyNumberFormat="1" applyFont="1" applyBorder="1" applyAlignment="1">
      <alignment horizontal="center" vertical="center"/>
    </xf>
    <xf numFmtId="0" fontId="40" fillId="0" borderId="12" xfId="18" applyFont="1" applyBorder="1" applyAlignment="1">
      <alignment horizontal="center" vertical="center"/>
    </xf>
    <xf numFmtId="0" fontId="40" fillId="0" borderId="29" xfId="18" applyFont="1" applyBorder="1" applyAlignment="1">
      <alignment horizontal="center" vertical="center"/>
    </xf>
    <xf numFmtId="0" fontId="40" fillId="0" borderId="13" xfId="18" applyFont="1" applyBorder="1" applyAlignment="1">
      <alignment horizontal="center" vertical="center"/>
    </xf>
    <xf numFmtId="0" fontId="40" fillId="0" borderId="14" xfId="18" applyFont="1" applyBorder="1" applyAlignment="1">
      <alignment horizontal="center" vertical="center" wrapText="1"/>
    </xf>
    <xf numFmtId="0" fontId="40" fillId="0" borderId="0" xfId="18" applyFont="1" applyAlignment="1">
      <alignment horizontal="center"/>
    </xf>
    <xf numFmtId="0" fontId="59" fillId="0" borderId="0" xfId="18" applyFont="1"/>
    <xf numFmtId="0" fontId="40" fillId="0" borderId="47" xfId="18" applyFont="1" applyBorder="1"/>
    <xf numFmtId="0" fontId="40" fillId="0" borderId="46" xfId="18" applyFont="1" applyBorder="1"/>
    <xf numFmtId="0" fontId="40" fillId="0" borderId="40" xfId="18" applyFont="1" applyBorder="1"/>
    <xf numFmtId="0" fontId="128" fillId="0" borderId="0" xfId="18" applyFont="1"/>
    <xf numFmtId="2" fontId="40" fillId="0" borderId="35" xfId="18" applyNumberFormat="1" applyFont="1" applyBorder="1"/>
    <xf numFmtId="0" fontId="128" fillId="0" borderId="0" xfId="18" applyFont="1" applyAlignment="1">
      <alignment horizontal="right"/>
    </xf>
    <xf numFmtId="0" fontId="59" fillId="0" borderId="0" xfId="18" applyFont="1" applyAlignment="1">
      <alignment horizontal="left"/>
    </xf>
    <xf numFmtId="0" fontId="40" fillId="0" borderId="27" xfId="18" applyFont="1" applyBorder="1"/>
    <xf numFmtId="0" fontId="40" fillId="0" borderId="26" xfId="18" applyFont="1" applyBorder="1"/>
    <xf numFmtId="0" fontId="40" fillId="0" borderId="15" xfId="18" applyFont="1" applyBorder="1"/>
    <xf numFmtId="0" fontId="128" fillId="0" borderId="0" xfId="18" applyFont="1" applyProtection="1">
      <protection locked="0"/>
    </xf>
    <xf numFmtId="0" fontId="40" fillId="0" borderId="0" xfId="18" applyFont="1" applyProtection="1">
      <protection locked="0"/>
    </xf>
    <xf numFmtId="0" fontId="128" fillId="0" borderId="0" xfId="18" applyFont="1" applyAlignment="1">
      <alignment horizontal="centerContinuous"/>
    </xf>
    <xf numFmtId="0" fontId="128" fillId="0" borderId="16" xfId="18" applyFont="1" applyBorder="1" applyAlignment="1">
      <alignment horizontal="centerContinuous"/>
    </xf>
    <xf numFmtId="0" fontId="40" fillId="0" borderId="26" xfId="18" applyFont="1" applyBorder="1" applyAlignment="1">
      <alignment horizontal="left"/>
    </xf>
    <xf numFmtId="0" fontId="40" fillId="0" borderId="15" xfId="18" applyFont="1" applyBorder="1" applyAlignment="1">
      <alignment horizontal="left"/>
    </xf>
    <xf numFmtId="0" fontId="40" fillId="0" borderId="31" xfId="18" applyFont="1" applyBorder="1"/>
    <xf numFmtId="14" fontId="128" fillId="0" borderId="0" xfId="18" applyNumberFormat="1" applyFont="1"/>
    <xf numFmtId="0" fontId="132" fillId="0" borderId="0" xfId="18" applyFont="1"/>
    <xf numFmtId="0" fontId="40" fillId="0" borderId="0" xfId="18" applyFont="1" applyAlignment="1">
      <alignment horizontal="left" vertical="center"/>
    </xf>
    <xf numFmtId="0" fontId="40" fillId="0" borderId="47" xfId="18" applyFont="1" applyBorder="1" applyAlignment="1">
      <alignment horizontal="left" vertical="center"/>
    </xf>
    <xf numFmtId="0" fontId="59" fillId="0" borderId="47" xfId="18" applyFont="1" applyBorder="1" applyAlignment="1">
      <alignment horizontal="left" vertical="center"/>
    </xf>
    <xf numFmtId="0" fontId="59" fillId="0" borderId="38" xfId="18" applyFont="1" applyBorder="1" applyAlignment="1">
      <alignment horizontal="left" vertical="center"/>
    </xf>
    <xf numFmtId="0" fontId="40" fillId="0" borderId="38" xfId="18" applyFont="1" applyBorder="1" applyAlignment="1">
      <alignment horizontal="left" vertical="center"/>
    </xf>
    <xf numFmtId="0" fontId="40" fillId="0" borderId="44" xfId="18" applyFont="1" applyBorder="1" applyAlignment="1">
      <alignment horizontal="left" vertical="center"/>
    </xf>
    <xf numFmtId="0" fontId="59" fillId="0" borderId="44" xfId="18" applyFont="1" applyBorder="1" applyAlignment="1">
      <alignment horizontal="left" vertical="center"/>
    </xf>
    <xf numFmtId="0" fontId="131" fillId="0" borderId="0" xfId="18" applyFont="1" applyAlignment="1">
      <alignment horizontal="centerContinuous"/>
    </xf>
    <xf numFmtId="0" fontId="131" fillId="0" borderId="0" xfId="18" applyFont="1" applyAlignment="1">
      <alignment horizontal="center"/>
    </xf>
    <xf numFmtId="0" fontId="131" fillId="0" borderId="21" xfId="18" applyFont="1" applyBorder="1" applyAlignment="1">
      <alignment horizontal="center"/>
    </xf>
    <xf numFmtId="0" fontId="59" fillId="0" borderId="13" xfId="18" applyFont="1" applyBorder="1"/>
    <xf numFmtId="166" fontId="40" fillId="0" borderId="0" xfId="18" applyNumberFormat="1" applyFont="1" applyAlignment="1">
      <alignment horizontal="left"/>
    </xf>
    <xf numFmtId="2" fontId="40" fillId="0" borderId="28" xfId="18" applyNumberFormat="1" applyFont="1" applyBorder="1" applyAlignment="1">
      <alignment horizontal="centerContinuous"/>
    </xf>
    <xf numFmtId="2" fontId="40" fillId="0" borderId="0" xfId="18" applyNumberFormat="1" applyFont="1" applyAlignment="1">
      <alignment horizontal="left"/>
    </xf>
    <xf numFmtId="166" fontId="40" fillId="0" borderId="0" xfId="18" applyNumberFormat="1" applyFont="1" applyAlignment="1">
      <alignment horizontal="right"/>
    </xf>
    <xf numFmtId="167" fontId="40" fillId="0" borderId="0" xfId="18" quotePrefix="1" applyNumberFormat="1" applyFont="1" applyAlignment="1">
      <alignment horizontal="right"/>
    </xf>
    <xf numFmtId="167" fontId="40" fillId="0" borderId="0" xfId="18" applyNumberFormat="1" applyFont="1" applyAlignment="1">
      <alignment horizontal="right"/>
    </xf>
    <xf numFmtId="1" fontId="128" fillId="0" borderId="0" xfId="18" applyNumberFormat="1" applyFont="1" applyAlignment="1">
      <alignment horizontal="right"/>
    </xf>
    <xf numFmtId="0" fontId="128" fillId="0" borderId="0" xfId="18" applyFont="1" applyAlignment="1" applyProtection="1">
      <alignment horizontal="right"/>
      <protection locked="0"/>
    </xf>
    <xf numFmtId="2" fontId="131" fillId="0" borderId="0" xfId="18" applyNumberFormat="1" applyFont="1" applyAlignment="1">
      <alignment horizontal="centerContinuous"/>
    </xf>
    <xf numFmtId="0" fontId="40" fillId="0" borderId="28" xfId="18" applyFont="1" applyBorder="1" applyAlignment="1">
      <alignment horizontal="centerContinuous"/>
    </xf>
    <xf numFmtId="0" fontId="40" fillId="0" borderId="28" xfId="18" applyFont="1" applyBorder="1" applyAlignment="1">
      <alignment horizontal="left"/>
    </xf>
    <xf numFmtId="166" fontId="40" fillId="0" borderId="32" xfId="18" applyNumberFormat="1" applyFont="1" applyBorder="1" applyAlignment="1">
      <alignment horizontal="centerContinuous"/>
    </xf>
    <xf numFmtId="0" fontId="128" fillId="0" borderId="32" xfId="18" applyFont="1" applyBorder="1"/>
    <xf numFmtId="0" fontId="40" fillId="0" borderId="32" xfId="18" applyFont="1" applyBorder="1" applyAlignment="1">
      <alignment horizontal="center"/>
    </xf>
    <xf numFmtId="1" fontId="128" fillId="3" borderId="37" xfId="18" applyNumberFormat="1" applyFont="1" applyFill="1" applyBorder="1" applyAlignment="1" applyProtection="1">
      <alignment horizontal="center"/>
      <protection locked="0"/>
    </xf>
    <xf numFmtId="2" fontId="128" fillId="3" borderId="37" xfId="18" applyNumberFormat="1" applyFont="1" applyFill="1" applyBorder="1" applyAlignment="1" applyProtection="1">
      <alignment horizontal="center"/>
      <protection locked="0"/>
    </xf>
    <xf numFmtId="2" fontId="128" fillId="3" borderId="37" xfId="18" applyNumberFormat="1" applyFont="1" applyFill="1" applyBorder="1" applyAlignment="1">
      <alignment horizontal="center"/>
    </xf>
    <xf numFmtId="21" fontId="40" fillId="0" borderId="38" xfId="18" applyNumberFormat="1" applyFont="1" applyBorder="1"/>
    <xf numFmtId="0" fontId="40" fillId="0" borderId="40" xfId="18" quotePrefix="1" applyFont="1" applyBorder="1"/>
    <xf numFmtId="2" fontId="128" fillId="3" borderId="45" xfId="18" applyNumberFormat="1" applyFont="1" applyFill="1" applyBorder="1" applyAlignment="1" applyProtection="1">
      <alignment horizontal="center"/>
      <protection locked="0"/>
    </xf>
    <xf numFmtId="2" fontId="128" fillId="3" borderId="45" xfId="18" applyNumberFormat="1" applyFont="1" applyFill="1" applyBorder="1" applyAlignment="1">
      <alignment horizontal="center"/>
    </xf>
    <xf numFmtId="21" fontId="128" fillId="0" borderId="44" xfId="18" applyNumberFormat="1" applyFont="1" applyBorder="1"/>
    <xf numFmtId="186" fontId="40" fillId="0" borderId="41" xfId="18" quotePrefix="1" applyNumberFormat="1" applyFont="1" applyBorder="1"/>
    <xf numFmtId="0" fontId="40" fillId="0" borderId="12" xfId="18" applyFont="1" applyBorder="1" applyAlignment="1">
      <alignment horizontal="center"/>
    </xf>
    <xf numFmtId="0" fontId="40" fillId="0" borderId="13" xfId="18" applyFont="1" applyBorder="1" applyAlignment="1">
      <alignment horizontal="center"/>
    </xf>
    <xf numFmtId="0" fontId="40" fillId="0" borderId="21" xfId="18" applyFont="1" applyBorder="1" applyAlignment="1">
      <alignment horizontal="center"/>
    </xf>
    <xf numFmtId="0" fontId="40" fillId="0" borderId="14" xfId="18" applyFont="1" applyBorder="1" applyAlignment="1">
      <alignment horizontal="center"/>
    </xf>
    <xf numFmtId="0" fontId="40" fillId="0" borderId="15" xfId="18" applyFont="1" applyBorder="1" applyAlignment="1">
      <alignment horizontal="center"/>
    </xf>
    <xf numFmtId="0" fontId="40" fillId="0" borderId="9" xfId="18" applyFont="1" applyBorder="1" applyAlignment="1">
      <alignment horizontal="center"/>
    </xf>
    <xf numFmtId="0" fontId="40" fillId="0" borderId="16" xfId="18" applyFont="1" applyBorder="1" applyAlignment="1">
      <alignment horizontal="center"/>
    </xf>
    <xf numFmtId="0" fontId="40" fillId="0" borderId="26" xfId="18" applyFont="1" applyBorder="1" applyAlignment="1">
      <alignment horizontal="center"/>
    </xf>
    <xf numFmtId="0" fontId="40" fillId="3" borderId="0" xfId="18" applyFont="1" applyFill="1"/>
    <xf numFmtId="0" fontId="40" fillId="0" borderId="0" xfId="18" applyFont="1" applyAlignment="1" applyProtection="1">
      <alignment horizontal="left"/>
      <protection locked="0"/>
    </xf>
    <xf numFmtId="0" fontId="40" fillId="0" borderId="27" xfId="18" applyFont="1" applyBorder="1" applyAlignment="1">
      <alignment horizontal="left"/>
    </xf>
    <xf numFmtId="0" fontId="128" fillId="3" borderId="0" xfId="18" applyFont="1" applyFill="1" applyAlignment="1" applyProtection="1">
      <alignment horizontal="right"/>
      <protection locked="0"/>
    </xf>
    <xf numFmtId="2" fontId="40" fillId="0" borderId="40" xfId="18" applyNumberFormat="1" applyFont="1" applyBorder="1" applyAlignment="1">
      <alignment horizontal="center"/>
    </xf>
    <xf numFmtId="2" fontId="40" fillId="0" borderId="43" xfId="18" applyNumberFormat="1" applyFont="1" applyBorder="1"/>
    <xf numFmtId="2" fontId="40" fillId="0" borderId="41" xfId="18" applyNumberFormat="1" applyFont="1" applyBorder="1" applyAlignment="1">
      <alignment horizontal="center"/>
    </xf>
    <xf numFmtId="2" fontId="40" fillId="0" borderId="45" xfId="18" applyNumberFormat="1" applyFont="1" applyBorder="1" applyAlignment="1">
      <alignment horizontal="center"/>
    </xf>
    <xf numFmtId="1" fontId="40" fillId="0" borderId="32" xfId="18" applyNumberFormat="1" applyFont="1" applyBorder="1"/>
    <xf numFmtId="0" fontId="128" fillId="0" borderId="32" xfId="18" applyFont="1" applyBorder="1" applyAlignment="1">
      <alignment horizontal="center"/>
    </xf>
    <xf numFmtId="21" fontId="40" fillId="0" borderId="44" xfId="18" applyNumberFormat="1" applyFont="1" applyBorder="1"/>
    <xf numFmtId="0" fontId="40" fillId="0" borderId="32" xfId="18" applyFont="1" applyBorder="1" applyAlignment="1">
      <alignment horizontal="center" vertical="center"/>
    </xf>
    <xf numFmtId="0" fontId="40" fillId="0" borderId="47" xfId="18" applyFont="1" applyBorder="1" applyAlignment="1">
      <alignment horizontal="center" vertical="center"/>
    </xf>
    <xf numFmtId="0" fontId="128" fillId="0" borderId="32" xfId="18" applyFont="1" applyBorder="1" applyAlignment="1" applyProtection="1">
      <alignment horizontal="center" vertical="center"/>
      <protection locked="0"/>
    </xf>
    <xf numFmtId="0" fontId="128" fillId="0" borderId="46" xfId="18" applyFont="1" applyBorder="1" applyAlignment="1" applyProtection="1">
      <alignment horizontal="center" vertical="center"/>
      <protection locked="0"/>
    </xf>
    <xf numFmtId="0" fontId="40" fillId="0" borderId="37" xfId="18" applyFont="1" applyBorder="1" applyAlignment="1">
      <alignment horizontal="center" vertical="center"/>
    </xf>
    <xf numFmtId="0" fontId="40" fillId="0" borderId="38" xfId="18" applyFont="1" applyBorder="1" applyAlignment="1">
      <alignment horizontal="center" vertical="center"/>
    </xf>
    <xf numFmtId="0" fontId="128" fillId="0" borderId="37" xfId="18" applyFont="1" applyBorder="1" applyAlignment="1" applyProtection="1">
      <alignment horizontal="center" vertical="center"/>
      <protection locked="0"/>
    </xf>
    <xf numFmtId="2" fontId="40" fillId="0" borderId="37" xfId="18" applyNumberFormat="1" applyFont="1" applyBorder="1" applyAlignment="1">
      <alignment horizontal="center" vertical="center"/>
    </xf>
    <xf numFmtId="1" fontId="40" fillId="0" borderId="37" xfId="18" applyNumberFormat="1" applyFont="1" applyBorder="1" applyAlignment="1">
      <alignment horizontal="center" vertical="center"/>
    </xf>
    <xf numFmtId="166" fontId="128" fillId="0" borderId="37" xfId="18" applyNumberFormat="1" applyFont="1" applyBorder="1" applyAlignment="1" applyProtection="1">
      <alignment horizontal="center" vertical="center"/>
      <protection locked="0"/>
    </xf>
    <xf numFmtId="166" fontId="40" fillId="0" borderId="37" xfId="18" applyNumberFormat="1" applyFont="1" applyBorder="1" applyAlignment="1">
      <alignment horizontal="center" vertical="center"/>
    </xf>
    <xf numFmtId="166" fontId="11" fillId="6" borderId="37" xfId="18" applyNumberFormat="1" applyFont="1" applyFill="1" applyBorder="1" applyAlignment="1" applyProtection="1">
      <alignment horizontal="center" vertical="center"/>
      <protection locked="0"/>
    </xf>
    <xf numFmtId="2" fontId="40" fillId="0" borderId="38" xfId="18" applyNumberFormat="1" applyFont="1" applyBorder="1" applyAlignment="1">
      <alignment horizontal="center" vertical="center"/>
    </xf>
    <xf numFmtId="2" fontId="40" fillId="0" borderId="37" xfId="18" quotePrefix="1" applyNumberFormat="1" applyFont="1" applyBorder="1" applyAlignment="1">
      <alignment horizontal="center" vertical="center"/>
    </xf>
    <xf numFmtId="166" fontId="128" fillId="3" borderId="37" xfId="18" applyNumberFormat="1" applyFont="1" applyFill="1" applyBorder="1" applyAlignment="1" applyProtection="1">
      <alignment horizontal="center" vertical="center"/>
      <protection locked="0"/>
    </xf>
    <xf numFmtId="0" fontId="128" fillId="3" borderId="37" xfId="18" applyFont="1" applyFill="1" applyBorder="1" applyAlignment="1" applyProtection="1">
      <alignment horizontal="center" vertical="center"/>
      <protection locked="0"/>
    </xf>
    <xf numFmtId="0" fontId="40" fillId="0" borderId="35" xfId="18" applyFont="1" applyBorder="1" applyAlignment="1">
      <alignment horizontal="center" vertical="center"/>
    </xf>
    <xf numFmtId="0" fontId="40" fillId="0" borderId="45" xfId="18" applyFont="1" applyBorder="1" applyAlignment="1">
      <alignment horizontal="center" vertical="center"/>
    </xf>
    <xf numFmtId="0" fontId="40" fillId="0" borderId="44" xfId="18" applyFont="1" applyBorder="1" applyAlignment="1">
      <alignment horizontal="center" vertical="center"/>
    </xf>
    <xf numFmtId="1" fontId="40" fillId="0" borderId="45" xfId="18" applyNumberFormat="1" applyFont="1" applyBorder="1" applyAlignment="1">
      <alignment horizontal="center" vertical="center"/>
    </xf>
    <xf numFmtId="166" fontId="40" fillId="0" borderId="45" xfId="18" applyNumberFormat="1" applyFont="1" applyBorder="1" applyAlignment="1">
      <alignment horizontal="center" vertical="center"/>
    </xf>
    <xf numFmtId="0" fontId="40" fillId="0" borderId="43" xfId="18" applyFont="1" applyBorder="1" applyAlignment="1">
      <alignment horizontal="center" vertical="center"/>
    </xf>
    <xf numFmtId="2" fontId="40" fillId="0" borderId="44" xfId="18" applyNumberFormat="1" applyFont="1" applyBorder="1" applyAlignment="1">
      <alignment horizontal="center" vertical="center"/>
    </xf>
    <xf numFmtId="2" fontId="40" fillId="0" borderId="45" xfId="18" applyNumberFormat="1" applyFont="1" applyBorder="1" applyAlignment="1">
      <alignment horizontal="center" vertical="center"/>
    </xf>
    <xf numFmtId="0" fontId="128" fillId="3" borderId="45" xfId="18" applyFont="1" applyFill="1" applyBorder="1" applyAlignment="1" applyProtection="1">
      <alignment horizontal="center" vertical="center"/>
      <protection locked="0"/>
    </xf>
    <xf numFmtId="0" fontId="40" fillId="0" borderId="26" xfId="18" applyFont="1" applyBorder="1" applyAlignment="1">
      <alignment horizontal="center" vertical="center" wrapText="1"/>
    </xf>
    <xf numFmtId="0" fontId="40" fillId="0" borderId="9" xfId="18" applyFont="1" applyBorder="1" applyAlignment="1">
      <alignment horizontal="center" vertical="center" wrapText="1"/>
    </xf>
    <xf numFmtId="0" fontId="40" fillId="0" borderId="27" xfId="18" applyFont="1" applyBorder="1" applyAlignment="1">
      <alignment horizontal="center" vertical="center" wrapText="1"/>
    </xf>
    <xf numFmtId="0" fontId="40" fillId="0" borderId="28" xfId="18" applyFont="1" applyBorder="1" applyAlignment="1">
      <alignment vertical="center" wrapText="1"/>
    </xf>
    <xf numFmtId="0" fontId="40" fillId="0" borderId="0" xfId="18" applyFont="1" applyAlignment="1">
      <alignment horizontal="center" vertical="center"/>
    </xf>
    <xf numFmtId="0" fontId="40" fillId="0" borderId="0" xfId="18" applyFont="1" applyAlignment="1">
      <alignment vertical="center" wrapText="1"/>
    </xf>
    <xf numFmtId="0" fontId="40" fillId="0" borderId="27" xfId="18" applyFont="1" applyBorder="1" applyAlignment="1">
      <alignment vertical="center" wrapText="1"/>
    </xf>
    <xf numFmtId="0" fontId="40" fillId="0" borderId="15" xfId="18" applyFont="1" applyBorder="1" applyAlignment="1">
      <alignment vertical="center" wrapText="1"/>
    </xf>
    <xf numFmtId="2" fontId="40" fillId="0" borderId="0" xfId="18" applyNumberFormat="1" applyFont="1" applyAlignment="1">
      <alignment horizontal="center" vertical="center"/>
    </xf>
    <xf numFmtId="2" fontId="40" fillId="0" borderId="38" xfId="18" applyNumberFormat="1" applyFont="1" applyBorder="1" applyAlignment="1">
      <alignment horizontal="left" vertical="center"/>
    </xf>
    <xf numFmtId="0" fontId="132" fillId="0" borderId="46" xfId="18" applyFont="1" applyBorder="1" applyAlignment="1" applyProtection="1">
      <alignment horizontal="center" vertical="center"/>
      <protection locked="0"/>
    </xf>
    <xf numFmtId="166" fontId="128" fillId="3" borderId="35" xfId="18" applyNumberFormat="1" applyFont="1" applyFill="1" applyBorder="1" applyAlignment="1" applyProtection="1">
      <alignment horizontal="center" vertical="center"/>
      <protection locked="0"/>
    </xf>
    <xf numFmtId="166" fontId="40" fillId="0" borderId="43" xfId="18" applyNumberFormat="1" applyFont="1" applyBorder="1" applyAlignment="1">
      <alignment horizontal="center" vertical="center"/>
    </xf>
    <xf numFmtId="2" fontId="40" fillId="0" borderId="45" xfId="18" quotePrefix="1" applyNumberFormat="1" applyFont="1" applyBorder="1" applyAlignment="1">
      <alignment horizontal="center" vertical="center"/>
    </xf>
    <xf numFmtId="1" fontId="40" fillId="0" borderId="0" xfId="18" applyNumberFormat="1" applyFont="1" applyAlignment="1">
      <alignment horizontal="center" vertical="center"/>
    </xf>
    <xf numFmtId="0" fontId="40" fillId="0" borderId="0" xfId="18" applyFont="1" applyAlignment="1">
      <alignment vertical="center"/>
    </xf>
    <xf numFmtId="1" fontId="161" fillId="0" borderId="0" xfId="18" applyNumberFormat="1" applyFont="1" applyAlignment="1">
      <alignment vertical="center"/>
    </xf>
    <xf numFmtId="0" fontId="161" fillId="0" borderId="0" xfId="18" applyFont="1" applyAlignment="1">
      <alignment vertical="center"/>
    </xf>
    <xf numFmtId="1" fontId="40" fillId="0" borderId="0" xfId="18" applyNumberFormat="1" applyFont="1" applyAlignment="1">
      <alignment horizontal="left" vertical="center"/>
    </xf>
    <xf numFmtId="1" fontId="40" fillId="0" borderId="0" xfId="18" applyNumberFormat="1" applyFont="1" applyAlignment="1">
      <alignment vertical="center"/>
    </xf>
    <xf numFmtId="0" fontId="128" fillId="0" borderId="0" xfId="18" applyFont="1" applyAlignment="1" applyProtection="1">
      <alignment vertical="center"/>
      <protection locked="0"/>
    </xf>
    <xf numFmtId="2" fontId="40" fillId="0" borderId="0" xfId="18" applyNumberFormat="1" applyFont="1" applyAlignment="1">
      <alignment vertical="center"/>
    </xf>
    <xf numFmtId="0" fontId="162" fillId="0" borderId="0" xfId="18" applyFont="1" applyAlignment="1">
      <alignment vertical="center"/>
    </xf>
    <xf numFmtId="0" fontId="40" fillId="0" borderId="21" xfId="18" applyFont="1" applyBorder="1" applyAlignment="1">
      <alignment vertical="center"/>
    </xf>
    <xf numFmtId="0" fontId="40" fillId="0" borderId="21" xfId="18" applyFont="1" applyBorder="1" applyAlignment="1">
      <alignment horizontal="left" vertical="center"/>
    </xf>
    <xf numFmtId="2" fontId="40" fillId="0" borderId="0" xfId="18" applyNumberFormat="1" applyFont="1" applyAlignment="1">
      <alignment horizontal="centerContinuous" vertical="center"/>
    </xf>
    <xf numFmtId="0" fontId="40" fillId="0" borderId="0" xfId="18" applyFont="1" applyAlignment="1">
      <alignment horizontal="centerContinuous" vertical="center"/>
    </xf>
    <xf numFmtId="0" fontId="128" fillId="0" borderId="0" xfId="18" applyFont="1" applyAlignment="1">
      <alignment horizontal="center" vertical="center"/>
    </xf>
    <xf numFmtId="166" fontId="40" fillId="0" borderId="0" xfId="18" applyNumberFormat="1" applyFont="1" applyAlignment="1">
      <alignment horizontal="center" vertical="center"/>
    </xf>
    <xf numFmtId="2" fontId="131" fillId="0" borderId="0" xfId="18" applyNumberFormat="1" applyFont="1" applyAlignment="1">
      <alignment horizontal="centerContinuous" vertical="center"/>
    </xf>
    <xf numFmtId="0" fontId="20" fillId="0" borderId="0" xfId="18" applyFont="1" applyAlignment="1">
      <alignment vertical="center"/>
    </xf>
    <xf numFmtId="2" fontId="20" fillId="0" borderId="0" xfId="18" applyNumberFormat="1" applyFont="1" applyAlignment="1">
      <alignment horizontal="centerContinuous" vertical="center"/>
    </xf>
    <xf numFmtId="2" fontId="163" fillId="0" borderId="0" xfId="18" applyNumberFormat="1" applyFont="1" applyAlignment="1">
      <alignment horizontal="centerContinuous" vertical="center"/>
    </xf>
    <xf numFmtId="2" fontId="20" fillId="0" borderId="29" xfId="18" applyNumberFormat="1" applyFont="1" applyBorder="1" applyAlignment="1">
      <alignment horizontal="centerContinuous" vertical="center"/>
    </xf>
    <xf numFmtId="2" fontId="20" fillId="0" borderId="21" xfId="18" applyNumberFormat="1" applyFont="1" applyBorder="1" applyAlignment="1">
      <alignment horizontal="centerContinuous" vertical="center"/>
    </xf>
    <xf numFmtId="2" fontId="20" fillId="0" borderId="21" xfId="18" applyNumberFormat="1" applyFont="1" applyBorder="1" applyAlignment="1">
      <alignment horizontal="center" vertical="center"/>
    </xf>
    <xf numFmtId="0" fontId="20" fillId="0" borderId="21" xfId="18" applyFont="1" applyBorder="1" applyAlignment="1">
      <alignment horizontal="centerContinuous" vertical="center"/>
    </xf>
    <xf numFmtId="1" fontId="20" fillId="0" borderId="21" xfId="18" applyNumberFormat="1" applyFont="1" applyBorder="1" applyAlignment="1">
      <alignment horizontal="center" vertical="center"/>
    </xf>
    <xf numFmtId="1" fontId="20" fillId="0" borderId="21" xfId="18" applyNumberFormat="1" applyFont="1" applyBorder="1" applyAlignment="1">
      <alignment horizontal="left" vertical="center"/>
    </xf>
    <xf numFmtId="0" fontId="20" fillId="0" borderId="21" xfId="18" applyFont="1" applyBorder="1" applyAlignment="1">
      <alignment horizontal="center" vertical="center"/>
    </xf>
    <xf numFmtId="0" fontId="164" fillId="0" borderId="21" xfId="18" applyFont="1" applyBorder="1" applyAlignment="1">
      <alignment horizontal="center" vertical="center"/>
    </xf>
    <xf numFmtId="166" fontId="20" fillId="0" borderId="21" xfId="18" applyNumberFormat="1" applyFont="1" applyBorder="1" applyAlignment="1">
      <alignment horizontal="center" vertical="center"/>
    </xf>
    <xf numFmtId="0" fontId="20" fillId="0" borderId="21" xfId="18" applyFont="1" applyBorder="1" applyAlignment="1">
      <alignment vertical="center"/>
    </xf>
    <xf numFmtId="0" fontId="20" fillId="0" borderId="13" xfId="18" applyFont="1" applyBorder="1" applyAlignment="1">
      <alignment vertical="center"/>
    </xf>
    <xf numFmtId="2" fontId="20" fillId="0" borderId="28" xfId="18" applyNumberFormat="1" applyFont="1" applyBorder="1" applyAlignment="1">
      <alignment horizontal="centerContinuous" vertical="center"/>
    </xf>
    <xf numFmtId="0" fontId="20" fillId="0" borderId="0" xfId="18" applyFont="1" applyAlignment="1">
      <alignment horizontal="centerContinuous" vertical="center"/>
    </xf>
    <xf numFmtId="0" fontId="20" fillId="0" borderId="0" xfId="18" applyFont="1" applyAlignment="1">
      <alignment horizontal="center" vertical="center"/>
    </xf>
    <xf numFmtId="0" fontId="20" fillId="0" borderId="16" xfId="18" applyFont="1" applyBorder="1" applyAlignment="1">
      <alignment vertical="center"/>
    </xf>
    <xf numFmtId="0" fontId="20" fillId="0" borderId="28" xfId="18" applyFont="1" applyBorder="1" applyAlignment="1">
      <alignment horizontal="centerContinuous" vertical="center"/>
    </xf>
    <xf numFmtId="2" fontId="20" fillId="18" borderId="0" xfId="18" applyNumberFormat="1" applyFont="1" applyFill="1" applyAlignment="1">
      <alignment vertical="center"/>
    </xf>
    <xf numFmtId="1" fontId="20" fillId="18" borderId="0" xfId="18" applyNumberFormat="1" applyFont="1" applyFill="1" applyAlignment="1">
      <alignment vertical="center"/>
    </xf>
    <xf numFmtId="2" fontId="20" fillId="0" borderId="0" xfId="18" applyNumberFormat="1" applyFont="1" applyAlignment="1">
      <alignment vertical="center"/>
    </xf>
    <xf numFmtId="0" fontId="20" fillId="0" borderId="28" xfId="18" applyFont="1" applyBorder="1" applyAlignment="1">
      <alignment vertical="center"/>
    </xf>
    <xf numFmtId="0" fontId="20" fillId="0" borderId="0" xfId="18" applyFont="1" applyAlignment="1">
      <alignment vertical="center" wrapText="1"/>
    </xf>
    <xf numFmtId="0" fontId="20" fillId="0" borderId="0" xfId="18" applyFont="1" applyAlignment="1">
      <alignment horizontal="left" vertical="center"/>
    </xf>
    <xf numFmtId="0" fontId="20" fillId="0" borderId="28" xfId="18" applyFont="1" applyBorder="1" applyAlignment="1">
      <alignment horizontal="left" vertical="center"/>
    </xf>
    <xf numFmtId="0" fontId="20" fillId="0" borderId="47" xfId="18" applyFont="1" applyBorder="1" applyAlignment="1">
      <alignment vertical="center"/>
    </xf>
    <xf numFmtId="0" fontId="20" fillId="0" borderId="38" xfId="18" applyFont="1" applyBorder="1" applyAlignment="1">
      <alignment vertical="center"/>
    </xf>
    <xf numFmtId="0" fontId="20" fillId="0" borderId="44" xfId="18" applyFont="1" applyBorder="1" applyAlignment="1">
      <alignment vertical="center"/>
    </xf>
    <xf numFmtId="0" fontId="31" fillId="0" borderId="0" xfId="18" applyFont="1" applyAlignment="1">
      <alignment horizontal="center" vertical="center"/>
    </xf>
    <xf numFmtId="1" fontId="20" fillId="0" borderId="31" xfId="18" applyNumberFormat="1" applyFont="1" applyBorder="1" applyAlignment="1">
      <alignment horizontal="right" vertical="center"/>
    </xf>
    <xf numFmtId="1" fontId="20" fillId="0" borderId="46" xfId="18" applyNumberFormat="1" applyFont="1" applyBorder="1" applyAlignment="1">
      <alignment horizontal="left" vertical="center"/>
    </xf>
    <xf numFmtId="0" fontId="20" fillId="0" borderId="29" xfId="18" applyFont="1" applyBorder="1" applyAlignment="1">
      <alignment vertical="center"/>
    </xf>
    <xf numFmtId="1" fontId="31" fillId="0" borderId="13" xfId="18" applyNumberFormat="1" applyFont="1" applyBorder="1" applyAlignment="1">
      <alignment horizontal="left" vertical="center"/>
    </xf>
    <xf numFmtId="0" fontId="20" fillId="18" borderId="0" xfId="18" applyFont="1" applyFill="1" applyAlignment="1">
      <alignment vertical="center"/>
    </xf>
    <xf numFmtId="0" fontId="20" fillId="0" borderId="35" xfId="18" applyFont="1" applyBorder="1" applyAlignment="1">
      <alignment horizontal="right" vertical="center"/>
    </xf>
    <xf numFmtId="1" fontId="20" fillId="0" borderId="40" xfId="18" applyNumberFormat="1" applyFont="1" applyBorder="1" applyAlignment="1">
      <alignment horizontal="left" vertical="center"/>
    </xf>
    <xf numFmtId="1" fontId="31" fillId="0" borderId="16" xfId="18" applyNumberFormat="1" applyFont="1" applyBorder="1" applyAlignment="1">
      <alignment horizontal="left" vertical="center"/>
    </xf>
    <xf numFmtId="2" fontId="20" fillId="0" borderId="39" xfId="18" applyNumberFormat="1" applyFont="1" applyBorder="1" applyAlignment="1">
      <alignment horizontal="right" vertical="center"/>
    </xf>
    <xf numFmtId="1" fontId="20" fillId="0" borderId="36" xfId="18" applyNumberFormat="1" applyFont="1" applyBorder="1" applyAlignment="1">
      <alignment horizontal="left" vertical="center"/>
    </xf>
    <xf numFmtId="0" fontId="20" fillId="0" borderId="27" xfId="18" applyFont="1" applyBorder="1" applyAlignment="1">
      <alignment vertical="center"/>
    </xf>
    <xf numFmtId="0" fontId="31" fillId="0" borderId="16" xfId="18" applyFont="1" applyBorder="1" applyAlignment="1">
      <alignment horizontal="left" vertical="center"/>
    </xf>
    <xf numFmtId="167" fontId="20" fillId="18" borderId="0" xfId="18" applyNumberFormat="1" applyFont="1" applyFill="1" applyAlignment="1">
      <alignment vertical="center"/>
    </xf>
    <xf numFmtId="1" fontId="20" fillId="18" borderId="0" xfId="18" applyNumberFormat="1" applyFont="1" applyFill="1" applyAlignment="1">
      <alignment horizontal="center" vertical="center"/>
    </xf>
    <xf numFmtId="0" fontId="20" fillId="0" borderId="31" xfId="18" applyFont="1" applyBorder="1" applyAlignment="1">
      <alignment horizontal="right" vertical="center"/>
    </xf>
    <xf numFmtId="1" fontId="25" fillId="18" borderId="0" xfId="18" applyNumberFormat="1" applyFont="1" applyFill="1" applyAlignment="1">
      <alignment horizontal="center" vertical="center"/>
    </xf>
    <xf numFmtId="1" fontId="20" fillId="0" borderId="39" xfId="18" applyNumberFormat="1" applyFont="1" applyBorder="1" applyAlignment="1">
      <alignment horizontal="right" vertical="center"/>
    </xf>
    <xf numFmtId="0" fontId="166" fillId="18" borderId="0" xfId="18" applyFont="1" applyFill="1" applyAlignment="1">
      <alignment vertical="center"/>
    </xf>
    <xf numFmtId="0" fontId="167" fillId="0" borderId="0" xfId="18" applyFont="1" applyAlignment="1">
      <alignment horizontal="left" vertical="center"/>
    </xf>
    <xf numFmtId="0" fontId="167" fillId="0" borderId="28" xfId="18" applyFont="1" applyBorder="1" applyAlignment="1">
      <alignment horizontal="left" vertical="center"/>
    </xf>
    <xf numFmtId="0" fontId="20" fillId="0" borderId="39" xfId="18" applyFont="1" applyBorder="1" applyAlignment="1">
      <alignment horizontal="right" vertical="center"/>
    </xf>
    <xf numFmtId="0" fontId="167" fillId="0" borderId="0" xfId="18" applyFont="1" applyAlignment="1">
      <alignment horizontal="left" vertical="center" wrapText="1"/>
    </xf>
    <xf numFmtId="0" fontId="167" fillId="0" borderId="28" xfId="18" applyFont="1" applyBorder="1" applyAlignment="1">
      <alignment horizontal="left" vertical="center" wrapText="1"/>
    </xf>
    <xf numFmtId="0" fontId="20" fillId="0" borderId="16" xfId="18" applyFont="1" applyBorder="1" applyAlignment="1">
      <alignment vertical="center" wrapText="1"/>
    </xf>
    <xf numFmtId="0" fontId="20" fillId="0" borderId="46" xfId="18" applyFont="1" applyBorder="1" applyAlignment="1">
      <alignment horizontal="left" vertical="center"/>
    </xf>
    <xf numFmtId="0" fontId="20" fillId="0" borderId="40" xfId="18" applyFont="1" applyBorder="1" applyAlignment="1">
      <alignment horizontal="left" vertical="center"/>
    </xf>
    <xf numFmtId="0" fontId="20" fillId="0" borderId="40" xfId="18" applyFont="1" applyBorder="1" applyAlignment="1">
      <alignment horizontal="left" vertical="center" wrapText="1"/>
    </xf>
    <xf numFmtId="0" fontId="31" fillId="0" borderId="16" xfId="18" applyFont="1" applyBorder="1" applyAlignment="1">
      <alignment horizontal="left" vertical="center" wrapText="1"/>
    </xf>
    <xf numFmtId="0" fontId="20" fillId="0" borderId="36" xfId="18" applyFont="1" applyBorder="1" applyAlignment="1">
      <alignment horizontal="left" vertical="center"/>
    </xf>
    <xf numFmtId="0" fontId="20" fillId="0" borderId="28" xfId="18" applyFont="1" applyBorder="1" applyAlignment="1">
      <alignment horizontal="center" vertical="center"/>
    </xf>
    <xf numFmtId="0" fontId="31" fillId="0" borderId="13" xfId="18" applyFont="1" applyBorder="1" applyAlignment="1">
      <alignment horizontal="left" vertical="center"/>
    </xf>
    <xf numFmtId="0" fontId="31" fillId="0" borderId="13" xfId="18" applyFont="1" applyBorder="1" applyAlignment="1">
      <alignment vertical="center"/>
    </xf>
    <xf numFmtId="0" fontId="31" fillId="0" borderId="16" xfId="18" applyFont="1" applyBorder="1" applyAlignment="1">
      <alignment vertical="center"/>
    </xf>
    <xf numFmtId="0" fontId="20" fillId="0" borderId="43" xfId="18" applyFont="1" applyBorder="1" applyAlignment="1">
      <alignment horizontal="right" vertical="center"/>
    </xf>
    <xf numFmtId="0" fontId="20" fillId="0" borderId="41" xfId="18" applyFont="1" applyBorder="1" applyAlignment="1">
      <alignment horizontal="left" vertical="center"/>
    </xf>
    <xf numFmtId="0" fontId="31" fillId="0" borderId="15" xfId="18" applyFont="1" applyBorder="1" applyAlignment="1">
      <alignment vertical="center"/>
    </xf>
    <xf numFmtId="0" fontId="13" fillId="0" borderId="0" xfId="19" applyFont="1" applyAlignment="1">
      <alignment vertical="center"/>
    </xf>
    <xf numFmtId="0" fontId="13" fillId="0" borderId="28" xfId="19" applyFont="1" applyBorder="1" applyAlignment="1">
      <alignment vertical="center"/>
    </xf>
    <xf numFmtId="0" fontId="13" fillId="0" borderId="16" xfId="19" applyFont="1" applyBorder="1" applyAlignment="1">
      <alignment vertical="center"/>
    </xf>
    <xf numFmtId="0" fontId="18" fillId="0" borderId="0" xfId="19" applyFont="1" applyAlignment="1">
      <alignment vertical="center"/>
    </xf>
    <xf numFmtId="0" fontId="40" fillId="18" borderId="0" xfId="18" applyFont="1" applyFill="1" applyAlignment="1">
      <alignment vertical="center"/>
    </xf>
    <xf numFmtId="0" fontId="11" fillId="0" borderId="0" xfId="19" applyFont="1" applyAlignment="1">
      <alignment vertical="center"/>
    </xf>
    <xf numFmtId="0" fontId="11" fillId="0" borderId="28" xfId="19" applyFont="1" applyBorder="1" applyAlignment="1">
      <alignment vertical="center"/>
    </xf>
    <xf numFmtId="0" fontId="11" fillId="0" borderId="16" xfId="19" applyFont="1" applyBorder="1" applyAlignment="1">
      <alignment vertical="center"/>
    </xf>
    <xf numFmtId="0" fontId="10" fillId="0" borderId="0" xfId="19" applyFont="1" applyAlignment="1">
      <alignment vertical="center"/>
    </xf>
    <xf numFmtId="0" fontId="29" fillId="0" borderId="0" xfId="19" applyFont="1" applyAlignment="1">
      <alignment horizontal="center" vertical="center"/>
    </xf>
    <xf numFmtId="0" fontId="29" fillId="0" borderId="28" xfId="19" applyFont="1" applyBorder="1" applyAlignment="1">
      <alignment horizontal="center" vertical="center"/>
    </xf>
    <xf numFmtId="0" fontId="10" fillId="0" borderId="16" xfId="19" applyFont="1" applyBorder="1" applyAlignment="1">
      <alignment vertical="center"/>
    </xf>
    <xf numFmtId="0" fontId="12" fillId="0" borderId="0" xfId="19" applyFont="1" applyAlignment="1">
      <alignment horizontal="center" vertical="center"/>
    </xf>
    <xf numFmtId="0" fontId="12" fillId="0" borderId="28" xfId="19" applyFont="1" applyBorder="1" applyAlignment="1">
      <alignment horizontal="center" vertical="center"/>
    </xf>
    <xf numFmtId="0" fontId="11" fillId="0" borderId="27" xfId="17" applyFont="1" applyBorder="1" applyAlignment="1">
      <alignment vertical="center"/>
    </xf>
    <xf numFmtId="0" fontId="11" fillId="0" borderId="28" xfId="17" applyFont="1" applyBorder="1" applyAlignment="1">
      <alignment vertical="center"/>
    </xf>
    <xf numFmtId="0" fontId="11" fillId="0" borderId="29" xfId="17" applyFont="1" applyBorder="1" applyAlignment="1">
      <alignment vertical="center"/>
    </xf>
    <xf numFmtId="0" fontId="15" fillId="0" borderId="0" xfId="19" applyFont="1" applyAlignment="1">
      <alignment horizontal="left" vertical="center" wrapText="1"/>
    </xf>
    <xf numFmtId="0" fontId="11" fillId="0" borderId="0" xfId="19" applyFont="1" applyAlignment="1">
      <alignment horizontal="left" vertical="center" wrapText="1"/>
    </xf>
    <xf numFmtId="0" fontId="10" fillId="0" borderId="0" xfId="19" applyFont="1" applyAlignment="1">
      <alignment vertical="center" wrapText="1"/>
    </xf>
    <xf numFmtId="0" fontId="13" fillId="0" borderId="0" xfId="19" applyFont="1" applyAlignment="1">
      <alignment horizontal="left" vertical="center"/>
    </xf>
    <xf numFmtId="167" fontId="13" fillId="0" borderId="0" xfId="19" applyNumberFormat="1" applyFont="1" applyAlignment="1">
      <alignment vertical="center"/>
    </xf>
    <xf numFmtId="0" fontId="18" fillId="0" borderId="0" xfId="19" quotePrefix="1" applyFont="1" applyAlignment="1">
      <alignment horizontal="left" vertical="center"/>
    </xf>
    <xf numFmtId="0" fontId="20" fillId="0" borderId="0" xfId="19" applyFont="1" applyAlignment="1">
      <alignment vertical="center"/>
    </xf>
    <xf numFmtId="0" fontId="164" fillId="0" borderId="0" xfId="18" applyFont="1" applyAlignment="1">
      <alignment vertical="center"/>
    </xf>
    <xf numFmtId="0" fontId="31" fillId="0" borderId="0" xfId="18" applyFont="1" applyAlignment="1">
      <alignment vertical="center"/>
    </xf>
    <xf numFmtId="0" fontId="20" fillId="0" borderId="0" xfId="18" applyFont="1" applyAlignment="1">
      <alignment horizontal="center" vertical="center" wrapText="1"/>
    </xf>
    <xf numFmtId="0" fontId="164" fillId="0" borderId="0" xfId="18" applyFont="1" applyAlignment="1">
      <alignment horizontal="center" vertical="center"/>
    </xf>
    <xf numFmtId="2" fontId="20" fillId="0" borderId="0" xfId="18" quotePrefix="1" applyNumberFormat="1" applyFont="1" applyAlignment="1">
      <alignment horizontal="center" vertical="center"/>
    </xf>
    <xf numFmtId="2" fontId="20" fillId="0" borderId="0" xfId="18" applyNumberFormat="1" applyFont="1" applyAlignment="1">
      <alignment horizontal="center" vertical="center"/>
    </xf>
    <xf numFmtId="166" fontId="20" fillId="0" borderId="0" xfId="18" applyNumberFormat="1" applyFont="1" applyAlignment="1">
      <alignment horizontal="center" vertical="center"/>
    </xf>
    <xf numFmtId="1" fontId="31" fillId="0" borderId="0" xfId="18" applyNumberFormat="1" applyFont="1" applyAlignment="1">
      <alignment horizontal="left" vertical="center"/>
    </xf>
    <xf numFmtId="1" fontId="20" fillId="0" borderId="0" xfId="18" applyNumberFormat="1" applyFont="1" applyAlignment="1">
      <alignment horizontal="center" vertical="center"/>
    </xf>
    <xf numFmtId="1" fontId="20" fillId="0" borderId="0" xfId="18" applyNumberFormat="1" applyFont="1" applyAlignment="1">
      <alignment horizontal="left" vertical="center"/>
    </xf>
    <xf numFmtId="0" fontId="10" fillId="0" borderId="27" xfId="13" applyFont="1" applyBorder="1" applyAlignment="1">
      <alignment vertical="center"/>
    </xf>
    <xf numFmtId="0" fontId="10" fillId="0" borderId="28" xfId="13" applyFont="1" applyBorder="1" applyAlignment="1">
      <alignment vertical="center"/>
    </xf>
    <xf numFmtId="0" fontId="11" fillId="0" borderId="14" xfId="17" applyFont="1" applyBorder="1" applyAlignment="1">
      <alignment vertical="center"/>
    </xf>
    <xf numFmtId="0" fontId="11" fillId="0" borderId="9" xfId="17" applyFont="1" applyBorder="1" applyAlignment="1">
      <alignment vertical="center"/>
    </xf>
    <xf numFmtId="0" fontId="11" fillId="0" borderId="12" xfId="17" applyFont="1" applyBorder="1" applyAlignment="1">
      <alignment vertical="center"/>
    </xf>
    <xf numFmtId="175" fontId="40" fillId="0" borderId="0" xfId="3" applyNumberFormat="1" applyFont="1" applyAlignment="1">
      <alignment vertical="center"/>
    </xf>
    <xf numFmtId="2" fontId="10" fillId="0" borderId="28" xfId="13" applyNumberFormat="1" applyFont="1" applyBorder="1" applyAlignment="1">
      <alignment horizontal="center" vertical="center"/>
    </xf>
    <xf numFmtId="0" fontId="40" fillId="0" borderId="0" xfId="7" applyFont="1" applyAlignment="1">
      <alignment vertical="center"/>
    </xf>
    <xf numFmtId="0" fontId="59" fillId="0" borderId="6" xfId="7" applyFont="1" applyBorder="1" applyAlignment="1">
      <alignment horizontal="center" vertical="center"/>
    </xf>
    <xf numFmtId="0" fontId="59" fillId="0" borderId="6" xfId="7" applyFont="1" applyBorder="1" applyAlignment="1">
      <alignment vertical="center"/>
    </xf>
    <xf numFmtId="0" fontId="40" fillId="0" borderId="6" xfId="7" applyFont="1" applyBorder="1" applyAlignment="1">
      <alignment horizontal="center" vertical="center"/>
    </xf>
    <xf numFmtId="0" fontId="40" fillId="0" borderId="6" xfId="7" applyFont="1" applyBorder="1" applyAlignment="1">
      <alignment vertical="center"/>
    </xf>
    <xf numFmtId="0" fontId="40" fillId="0" borderId="6" xfId="7" applyFont="1" applyBorder="1"/>
    <xf numFmtId="0" fontId="40" fillId="0" borderId="0" xfId="0" applyFont="1" applyAlignment="1">
      <alignment horizontal="left" vertical="center"/>
    </xf>
    <xf numFmtId="181" fontId="13" fillId="0" borderId="0" xfId="0" applyNumberFormat="1" applyFont="1" applyAlignment="1">
      <alignment horizontal="left" vertical="center"/>
    </xf>
    <xf numFmtId="165" fontId="13" fillId="0" borderId="0" xfId="0" applyNumberFormat="1" applyFont="1" applyAlignment="1">
      <alignment horizontal="left" vertical="center"/>
    </xf>
    <xf numFmtId="167" fontId="13" fillId="0" borderId="0" xfId="0" applyNumberFormat="1" applyFont="1" applyAlignment="1">
      <alignment horizontal="left"/>
    </xf>
    <xf numFmtId="2" fontId="120" fillId="0" borderId="0" xfId="0" applyNumberFormat="1" applyFont="1"/>
    <xf numFmtId="167" fontId="12" fillId="0" borderId="0" xfId="0" applyNumberFormat="1" applyFont="1"/>
    <xf numFmtId="0" fontId="13" fillId="0" borderId="101" xfId="0" applyFont="1" applyBorder="1"/>
    <xf numFmtId="0" fontId="11" fillId="0" borderId="101" xfId="0" applyFont="1" applyBorder="1"/>
    <xf numFmtId="0" fontId="11" fillId="0" borderId="34" xfId="0" applyFont="1" applyBorder="1"/>
    <xf numFmtId="0" fontId="17" fillId="0" borderId="0" xfId="0" applyFont="1" applyAlignment="1">
      <alignment vertical="top"/>
    </xf>
    <xf numFmtId="0" fontId="13" fillId="0" borderId="101" xfId="3" applyFont="1" applyBorder="1" applyAlignment="1">
      <alignment vertical="center"/>
    </xf>
    <xf numFmtId="0" fontId="13" fillId="0" borderId="101" xfId="13" applyFont="1" applyBorder="1" applyAlignment="1">
      <alignment vertical="center"/>
    </xf>
    <xf numFmtId="0" fontId="35" fillId="0" borderId="101" xfId="13" applyFont="1" applyBorder="1" applyAlignment="1">
      <alignment vertical="center"/>
    </xf>
    <xf numFmtId="0" fontId="11" fillId="0" borderId="101" xfId="13" applyFont="1" applyBorder="1" applyAlignment="1">
      <alignment vertical="center"/>
    </xf>
    <xf numFmtId="0" fontId="40" fillId="0" borderId="101" xfId="13" applyFont="1" applyBorder="1" applyAlignment="1">
      <alignment vertical="center"/>
    </xf>
    <xf numFmtId="0" fontId="40" fillId="0" borderId="101" xfId="13" applyFont="1" applyBorder="1" applyAlignment="1">
      <alignment horizontal="center" vertical="center"/>
    </xf>
    <xf numFmtId="0" fontId="11" fillId="0" borderId="101" xfId="13" applyFont="1" applyBorder="1" applyAlignment="1">
      <alignment horizontal="center" vertical="center"/>
    </xf>
    <xf numFmtId="1" fontId="35" fillId="0" borderId="41" xfId="18" applyNumberFormat="1" applyFont="1" applyBorder="1" applyAlignment="1">
      <alignment horizontal="center" vertical="center"/>
    </xf>
    <xf numFmtId="1" fontId="35" fillId="0" borderId="40" xfId="18" applyNumberFormat="1" applyFont="1" applyBorder="1" applyAlignment="1">
      <alignment horizontal="center" vertical="center"/>
    </xf>
    <xf numFmtId="1" fontId="35" fillId="0" borderId="46" xfId="18" applyNumberFormat="1" applyFont="1" applyBorder="1" applyAlignment="1">
      <alignment horizontal="center" vertical="center"/>
    </xf>
    <xf numFmtId="1" fontId="119" fillId="0" borderId="35" xfId="18" applyNumberFormat="1" applyFont="1" applyBorder="1" applyAlignment="1">
      <alignment horizontal="center" vertical="center"/>
    </xf>
    <xf numFmtId="1" fontId="119" fillId="0" borderId="31" xfId="18" applyNumberFormat="1" applyFont="1" applyBorder="1" applyAlignment="1">
      <alignment horizontal="center" vertical="center"/>
    </xf>
    <xf numFmtId="167" fontId="51" fillId="0" borderId="6" xfId="13" applyNumberFormat="1" applyFont="1" applyBorder="1" applyAlignment="1">
      <alignment horizontal="center" vertical="center"/>
    </xf>
    <xf numFmtId="167" fontId="26" fillId="3" borderId="6" xfId="13" applyNumberFormat="1" applyFont="1" applyFill="1" applyBorder="1" applyAlignment="1" applyProtection="1">
      <alignment horizontal="center" vertical="center"/>
      <protection locked="0"/>
    </xf>
    <xf numFmtId="167" fontId="26" fillId="3" borderId="6" xfId="13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horizontal="left" vertical="center"/>
    </xf>
    <xf numFmtId="0" fontId="40" fillId="0" borderId="0" xfId="7" applyFont="1"/>
    <xf numFmtId="0" fontId="40" fillId="0" borderId="0" xfId="7" applyFont="1" applyAlignment="1">
      <alignment horizontal="left"/>
    </xf>
    <xf numFmtId="0" fontId="51" fillId="0" borderId="0" xfId="7" applyFont="1"/>
    <xf numFmtId="0" fontId="59" fillId="15" borderId="6" xfId="7" applyFont="1" applyFill="1" applyBorder="1"/>
    <xf numFmtId="0" fontId="168" fillId="19" borderId="0" xfId="0" applyFont="1" applyFill="1"/>
    <xf numFmtId="0" fontId="169" fillId="0" borderId="0" xfId="0" applyFont="1" applyAlignment="1">
      <alignment horizontal="center" vertical="center"/>
    </xf>
    <xf numFmtId="0" fontId="51" fillId="0" borderId="6" xfId="7" applyFont="1" applyBorder="1"/>
    <xf numFmtId="0" fontId="168" fillId="20" borderId="0" xfId="0" applyFont="1" applyFill="1"/>
    <xf numFmtId="0" fontId="170" fillId="0" borderId="0" xfId="0" applyFont="1" applyAlignment="1">
      <alignment vertical="center"/>
    </xf>
    <xf numFmtId="0" fontId="40" fillId="0" borderId="0" xfId="7" quotePrefix="1" applyFont="1" applyAlignment="1">
      <alignment horizontal="left"/>
    </xf>
    <xf numFmtId="0" fontId="168" fillId="21" borderId="0" xfId="0" applyFont="1" applyFill="1"/>
    <xf numFmtId="0" fontId="40" fillId="0" borderId="0" xfId="7" applyFont="1" applyAlignment="1">
      <alignment vertical="top"/>
    </xf>
    <xf numFmtId="0" fontId="168" fillId="22" borderId="0" xfId="0" applyFont="1" applyFill="1"/>
    <xf numFmtId="0" fontId="168" fillId="23" borderId="0" xfId="0" applyFont="1" applyFill="1"/>
    <xf numFmtId="0" fontId="168" fillId="24" borderId="0" xfId="0" applyFont="1" applyFill="1"/>
    <xf numFmtId="0" fontId="168" fillId="25" borderId="0" xfId="0" applyFont="1" applyFill="1"/>
    <xf numFmtId="0" fontId="134" fillId="0" borderId="0" xfId="7" applyFont="1" applyAlignment="1">
      <alignment horizontal="right"/>
    </xf>
    <xf numFmtId="0" fontId="168" fillId="26" borderId="0" xfId="0" applyFont="1" applyFill="1"/>
    <xf numFmtId="0" fontId="40" fillId="0" borderId="0" xfId="7" applyFont="1" applyAlignment="1">
      <alignment horizontal="left" wrapText="1"/>
    </xf>
    <xf numFmtId="0" fontId="168" fillId="27" borderId="0" xfId="0" applyFont="1" applyFill="1"/>
    <xf numFmtId="0" fontId="168" fillId="28" borderId="0" xfId="0" applyFont="1" applyFill="1"/>
    <xf numFmtId="0" fontId="168" fillId="29" borderId="0" xfId="0" applyFont="1" applyFill="1"/>
    <xf numFmtId="0" fontId="59" fillId="15" borderId="0" xfId="7" applyFont="1" applyFill="1" applyAlignment="1">
      <alignment horizontal="left"/>
    </xf>
    <xf numFmtId="0" fontId="75" fillId="15" borderId="0" xfId="7" applyFont="1" applyFill="1"/>
    <xf numFmtId="0" fontId="40" fillId="3" borderId="102" xfId="7" applyFont="1" applyFill="1" applyBorder="1" applyAlignment="1">
      <alignment horizontal="center" vertical="center"/>
    </xf>
    <xf numFmtId="0" fontId="168" fillId="30" borderId="0" xfId="0" applyFont="1" applyFill="1"/>
    <xf numFmtId="0" fontId="168" fillId="31" borderId="0" xfId="0" applyFont="1" applyFill="1"/>
    <xf numFmtId="0" fontId="59" fillId="42" borderId="0" xfId="7" applyFont="1" applyFill="1" applyAlignment="1">
      <alignment horizontal="left"/>
    </xf>
    <xf numFmtId="0" fontId="168" fillId="32" borderId="0" xfId="0" applyFont="1" applyFill="1"/>
    <xf numFmtId="0" fontId="75" fillId="0" borderId="0" xfId="3" applyFont="1"/>
    <xf numFmtId="0" fontId="168" fillId="33" borderId="0" xfId="0" applyFont="1" applyFill="1"/>
    <xf numFmtId="0" fontId="146" fillId="0" borderId="0" xfId="3" applyFont="1"/>
    <xf numFmtId="0" fontId="168" fillId="34" borderId="0" xfId="0" applyFont="1" applyFill="1"/>
    <xf numFmtId="175" fontId="40" fillId="0" borderId="0" xfId="7" applyNumberFormat="1" applyFont="1" applyAlignment="1">
      <alignment horizontal="left"/>
    </xf>
    <xf numFmtId="0" fontId="51" fillId="15" borderId="0" xfId="7" applyFont="1" applyFill="1"/>
    <xf numFmtId="0" fontId="168" fillId="35" borderId="0" xfId="0" applyFont="1" applyFill="1"/>
    <xf numFmtId="175" fontId="51" fillId="0" borderId="0" xfId="7" applyNumberFormat="1" applyFont="1" applyAlignment="1">
      <alignment horizontal="left"/>
    </xf>
    <xf numFmtId="0" fontId="168" fillId="36" borderId="0" xfId="0" applyFont="1" applyFill="1"/>
    <xf numFmtId="176" fontId="51" fillId="0" borderId="0" xfId="7" applyNumberFormat="1" applyFont="1" applyAlignment="1">
      <alignment horizontal="left"/>
    </xf>
    <xf numFmtId="0" fontId="168" fillId="37" borderId="0" xfId="0" applyFont="1" applyFill="1"/>
    <xf numFmtId="14" fontId="40" fillId="0" borderId="0" xfId="7" applyNumberFormat="1" applyFont="1" applyAlignment="1">
      <alignment horizontal="left"/>
    </xf>
    <xf numFmtId="0" fontId="168" fillId="38" borderId="0" xfId="0" applyFont="1" applyFill="1"/>
    <xf numFmtId="0" fontId="168" fillId="39" borderId="0" xfId="0" applyFont="1" applyFill="1"/>
    <xf numFmtId="0" fontId="168" fillId="40" borderId="0" xfId="0" applyFont="1" applyFill="1"/>
    <xf numFmtId="175" fontId="75" fillId="0" borderId="0" xfId="7" applyNumberFormat="1" applyFont="1" applyAlignment="1">
      <alignment horizontal="left"/>
    </xf>
    <xf numFmtId="0" fontId="40" fillId="15" borderId="96" xfId="7" applyFont="1" applyFill="1" applyBorder="1"/>
    <xf numFmtId="187" fontId="40" fillId="3" borderId="90" xfId="7" applyNumberFormat="1" applyFont="1" applyFill="1" applyBorder="1" applyAlignment="1">
      <alignment horizontal="left"/>
    </xf>
    <xf numFmtId="0" fontId="40" fillId="15" borderId="100" xfId="7" applyFont="1" applyFill="1" applyBorder="1"/>
    <xf numFmtId="187" fontId="40" fillId="3" borderId="83" xfId="7" applyNumberFormat="1" applyFont="1" applyFill="1" applyBorder="1" applyAlignment="1">
      <alignment horizontal="left"/>
    </xf>
    <xf numFmtId="0" fontId="40" fillId="41" borderId="6" xfId="7" applyFont="1" applyFill="1" applyBorder="1" applyAlignment="1">
      <alignment horizontal="left"/>
    </xf>
    <xf numFmtId="167" fontId="40" fillId="0" borderId="0" xfId="0" applyNumberFormat="1" applyFont="1" applyAlignment="1">
      <alignment horizontal="center" vertical="center"/>
    </xf>
    <xf numFmtId="167" fontId="20" fillId="18" borderId="0" xfId="18" applyNumberFormat="1" applyFont="1" applyFill="1" applyAlignment="1">
      <alignment horizontal="center" vertical="center"/>
    </xf>
    <xf numFmtId="167" fontId="25" fillId="18" borderId="0" xfId="18" applyNumberFormat="1" applyFont="1" applyFill="1" applyAlignment="1">
      <alignment horizontal="center" vertical="center"/>
    </xf>
    <xf numFmtId="167" fontId="40" fillId="0" borderId="41" xfId="18" applyNumberFormat="1" applyFont="1" applyBorder="1" applyAlignment="1">
      <alignment horizontal="centerContinuous" vertical="center"/>
    </xf>
    <xf numFmtId="167" fontId="40" fillId="0" borderId="44" xfId="18" applyNumberFormat="1" applyFont="1" applyBorder="1" applyAlignment="1">
      <alignment horizontal="centerContinuous" vertical="center"/>
    </xf>
    <xf numFmtId="167" fontId="40" fillId="0" borderId="43" xfId="18" applyNumberFormat="1" applyFont="1" applyBorder="1" applyAlignment="1">
      <alignment horizontal="centerContinuous" vertical="center"/>
    </xf>
    <xf numFmtId="167" fontId="40" fillId="0" borderId="40" xfId="18" applyNumberFormat="1" applyFont="1" applyBorder="1" applyAlignment="1">
      <alignment horizontal="centerContinuous" vertical="center"/>
    </xf>
    <xf numFmtId="167" fontId="40" fillId="0" borderId="38" xfId="18" applyNumberFormat="1" applyFont="1" applyBorder="1" applyAlignment="1">
      <alignment horizontal="centerContinuous" vertical="center"/>
    </xf>
    <xf numFmtId="167" fontId="40" fillId="0" borderId="35" xfId="18" applyNumberFormat="1" applyFont="1" applyBorder="1" applyAlignment="1">
      <alignment horizontal="centerContinuous" vertical="center"/>
    </xf>
    <xf numFmtId="167" fontId="40" fillId="0" borderId="46" xfId="18" applyNumberFormat="1" applyFont="1" applyBorder="1" applyAlignment="1">
      <alignment horizontal="centerContinuous" vertical="center"/>
    </xf>
    <xf numFmtId="167" fontId="40" fillId="0" borderId="47" xfId="18" applyNumberFormat="1" applyFont="1" applyBorder="1" applyAlignment="1">
      <alignment horizontal="centerContinuous" vertical="center"/>
    </xf>
    <xf numFmtId="167" fontId="40" fillId="0" borderId="31" xfId="18" applyNumberFormat="1" applyFont="1" applyBorder="1" applyAlignment="1">
      <alignment horizontal="centerContinuous" vertical="center"/>
    </xf>
    <xf numFmtId="0" fontId="40" fillId="0" borderId="6" xfId="18" applyFont="1" applyBorder="1" applyAlignment="1">
      <alignment horizontal="left" vertical="center"/>
    </xf>
    <xf numFmtId="188" fontId="25" fillId="3" borderId="6" xfId="12" applyNumberFormat="1" applyFont="1" applyFill="1" applyBorder="1" applyAlignment="1">
      <alignment horizontal="center" vertical="center"/>
    </xf>
    <xf numFmtId="188" fontId="20" fillId="3" borderId="6" xfId="12" applyNumberFormat="1" applyFont="1" applyFill="1" applyBorder="1" applyAlignment="1">
      <alignment horizontal="center" vertical="center"/>
    </xf>
    <xf numFmtId="0" fontId="40" fillId="0" borderId="0" xfId="11" applyFont="1" applyAlignment="1">
      <alignment horizontal="left" vertical="top" wrapText="1"/>
    </xf>
    <xf numFmtId="0" fontId="40" fillId="0" borderId="0" xfId="11" applyFont="1" applyAlignment="1">
      <alignment vertical="top"/>
    </xf>
    <xf numFmtId="0" fontId="112" fillId="0" borderId="0" xfId="11" applyFont="1" applyAlignment="1">
      <alignment vertical="top"/>
    </xf>
    <xf numFmtId="167" fontId="128" fillId="0" borderId="0" xfId="18" applyNumberFormat="1" applyFont="1" applyAlignment="1" applyProtection="1">
      <alignment horizontal="center" vertical="center"/>
      <protection locked="0"/>
    </xf>
    <xf numFmtId="0" fontId="128" fillId="0" borderId="0" xfId="18" applyFont="1" applyAlignment="1" applyProtection="1">
      <alignment horizontal="left" vertical="center"/>
      <protection locked="0"/>
    </xf>
    <xf numFmtId="0" fontId="40" fillId="0" borderId="15" xfId="18" applyFont="1" applyBorder="1" applyAlignment="1">
      <alignment vertical="center"/>
    </xf>
    <xf numFmtId="0" fontId="40" fillId="0" borderId="26" xfId="18" applyFont="1" applyBorder="1" applyAlignment="1">
      <alignment vertical="center"/>
    </xf>
    <xf numFmtId="0" fontId="40" fillId="0" borderId="42" xfId="18" applyFont="1" applyBorder="1" applyAlignment="1">
      <alignment vertical="center"/>
    </xf>
    <xf numFmtId="0" fontId="132" fillId="0" borderId="0" xfId="18" applyFont="1" applyAlignment="1">
      <alignment vertical="center"/>
    </xf>
    <xf numFmtId="0" fontId="40" fillId="0" borderId="16" xfId="18" applyFont="1" applyBorder="1" applyAlignment="1">
      <alignment vertical="center"/>
    </xf>
    <xf numFmtId="0" fontId="40" fillId="0" borderId="74" xfId="18" applyFont="1" applyBorder="1" applyAlignment="1">
      <alignment vertical="center"/>
    </xf>
    <xf numFmtId="0" fontId="40" fillId="0" borderId="72" xfId="18" applyFont="1" applyBorder="1" applyAlignment="1">
      <alignment vertical="center"/>
    </xf>
    <xf numFmtId="0" fontId="128" fillId="0" borderId="0" xfId="18" applyFont="1" applyAlignment="1">
      <alignment vertical="center"/>
    </xf>
    <xf numFmtId="14" fontId="128" fillId="0" borderId="0" xfId="18" applyNumberFormat="1" applyFont="1" applyAlignment="1">
      <alignment vertical="center"/>
    </xf>
    <xf numFmtId="0" fontId="40" fillId="0" borderId="51" xfId="18" applyFont="1" applyBorder="1" applyAlignment="1">
      <alignment vertical="center"/>
    </xf>
    <xf numFmtId="0" fontId="40" fillId="0" borderId="50" xfId="18" applyFont="1" applyBorder="1" applyAlignment="1">
      <alignment vertical="center"/>
    </xf>
    <xf numFmtId="0" fontId="128" fillId="0" borderId="63" xfId="18" applyFont="1" applyBorder="1" applyAlignment="1" applyProtection="1">
      <alignment vertical="center"/>
      <protection locked="0"/>
    </xf>
    <xf numFmtId="0" fontId="40" fillId="0" borderId="62" xfId="18" applyFont="1" applyBorder="1" applyAlignment="1">
      <alignment vertical="center"/>
    </xf>
    <xf numFmtId="0" fontId="40" fillId="0" borderId="15" xfId="18" applyFont="1" applyBorder="1" applyAlignment="1">
      <alignment horizontal="left" vertical="center"/>
    </xf>
    <xf numFmtId="0" fontId="40" fillId="0" borderId="26" xfId="18" applyFont="1" applyBorder="1" applyAlignment="1">
      <alignment horizontal="left" vertical="center"/>
    </xf>
    <xf numFmtId="0" fontId="40" fillId="0" borderId="0" xfId="18" applyFont="1" applyAlignment="1" applyProtection="1">
      <alignment horizontal="left" vertical="center"/>
      <protection locked="0"/>
    </xf>
    <xf numFmtId="0" fontId="40" fillId="0" borderId="28" xfId="18" applyFont="1" applyBorder="1" applyAlignment="1">
      <alignment vertical="center"/>
    </xf>
    <xf numFmtId="0" fontId="59" fillId="0" borderId="16" xfId="18" applyFont="1" applyBorder="1" applyAlignment="1">
      <alignment horizontal="centerContinuous" vertical="center"/>
    </xf>
    <xf numFmtId="0" fontId="59" fillId="0" borderId="0" xfId="18" applyFont="1" applyAlignment="1">
      <alignment horizontal="centerContinuous" vertical="center"/>
    </xf>
    <xf numFmtId="0" fontId="40" fillId="0" borderId="1" xfId="18" applyFont="1" applyBorder="1" applyAlignment="1">
      <alignment horizontal="centerContinuous" vertical="center"/>
    </xf>
    <xf numFmtId="0" fontId="59" fillId="0" borderId="0" xfId="18" applyFont="1" applyAlignment="1">
      <alignment horizontal="left" vertical="center"/>
    </xf>
    <xf numFmtId="0" fontId="128" fillId="0" borderId="16" xfId="18" applyFont="1" applyBorder="1" applyAlignment="1">
      <alignment horizontal="centerContinuous" vertical="center"/>
    </xf>
    <xf numFmtId="0" fontId="128" fillId="0" borderId="0" xfId="18" applyFont="1" applyAlignment="1">
      <alignment horizontal="centerContinuous" vertical="center"/>
    </xf>
    <xf numFmtId="0" fontId="59" fillId="0" borderId="0" xfId="18" applyFont="1" applyAlignment="1">
      <alignment vertical="center"/>
    </xf>
    <xf numFmtId="0" fontId="40" fillId="0" borderId="11" xfId="18" applyFont="1" applyBorder="1" applyAlignment="1">
      <alignment vertical="center"/>
    </xf>
    <xf numFmtId="0" fontId="40" fillId="0" borderId="30" xfId="18" applyFont="1" applyBorder="1" applyAlignment="1">
      <alignment vertical="center"/>
    </xf>
    <xf numFmtId="0" fontId="40" fillId="0" borderId="7" xfId="18" applyFont="1" applyBorder="1" applyAlignment="1">
      <alignment vertical="center"/>
    </xf>
    <xf numFmtId="0" fontId="40" fillId="0" borderId="27" xfId="18" applyFont="1" applyBorder="1" applyAlignment="1">
      <alignment vertical="center"/>
    </xf>
    <xf numFmtId="0" fontId="40" fillId="0" borderId="7" xfId="18" applyFont="1" applyBorder="1" applyAlignment="1">
      <alignment horizontal="center" vertical="center"/>
    </xf>
    <xf numFmtId="0" fontId="40" fillId="0" borderId="13" xfId="18" applyFont="1" applyBorder="1" applyAlignment="1">
      <alignment vertical="center"/>
    </xf>
    <xf numFmtId="0" fontId="40" fillId="0" borderId="29" xfId="18" applyFont="1" applyBorder="1" applyAlignment="1">
      <alignment vertical="center"/>
    </xf>
    <xf numFmtId="0" fontId="128" fillId="3" borderId="41" xfId="18" applyFont="1" applyFill="1" applyBorder="1" applyAlignment="1" applyProtection="1">
      <alignment horizontal="center" vertical="center"/>
      <protection locked="0"/>
    </xf>
    <xf numFmtId="0" fontId="40" fillId="0" borderId="41" xfId="18" applyFont="1" applyBorder="1" applyAlignment="1">
      <alignment vertical="center"/>
    </xf>
    <xf numFmtId="0" fontId="40" fillId="0" borderId="44" xfId="18" applyFont="1" applyBorder="1" applyAlignment="1">
      <alignment vertical="center"/>
    </xf>
    <xf numFmtId="0" fontId="40" fillId="0" borderId="43" xfId="18" applyFont="1" applyBorder="1" applyAlignment="1">
      <alignment vertical="center"/>
    </xf>
    <xf numFmtId="0" fontId="128" fillId="0" borderId="43" xfId="18" applyFont="1" applyBorder="1" applyAlignment="1" applyProtection="1">
      <alignment horizontal="center" vertical="center"/>
      <protection locked="0"/>
    </xf>
    <xf numFmtId="0" fontId="40" fillId="0" borderId="0" xfId="18" applyFont="1" applyAlignment="1">
      <alignment horizontal="right" vertical="center"/>
    </xf>
    <xf numFmtId="0" fontId="40" fillId="0" borderId="40" xfId="18" applyFont="1" applyBorder="1" applyAlignment="1">
      <alignment vertical="center"/>
    </xf>
    <xf numFmtId="0" fontId="40" fillId="0" borderId="38" xfId="18" applyFont="1" applyBorder="1" applyAlignment="1">
      <alignment vertical="center"/>
    </xf>
    <xf numFmtId="0" fontId="40" fillId="0" borderId="35" xfId="18" applyFont="1" applyBorder="1" applyAlignment="1">
      <alignment horizontal="right" vertical="center"/>
    </xf>
    <xf numFmtId="2" fontId="128" fillId="0" borderId="40" xfId="18" applyNumberFormat="1" applyFont="1" applyBorder="1" applyAlignment="1">
      <alignment horizontal="center" vertical="center"/>
    </xf>
    <xf numFmtId="2" fontId="128" fillId="0" borderId="0" xfId="18" applyNumberFormat="1" applyFont="1" applyAlignment="1">
      <alignment horizontal="center" vertical="center"/>
    </xf>
    <xf numFmtId="0" fontId="128" fillId="0" borderId="0" xfId="18" applyFont="1" applyAlignment="1">
      <alignment horizontal="right" vertical="center"/>
    </xf>
    <xf numFmtId="0" fontId="26" fillId="0" borderId="0" xfId="18" applyFont="1" applyAlignment="1">
      <alignment horizontal="right" vertical="center"/>
    </xf>
    <xf numFmtId="167" fontId="128" fillId="0" borderId="0" xfId="18" applyNumberFormat="1" applyFont="1" applyAlignment="1">
      <alignment horizontal="center" vertical="center"/>
    </xf>
    <xf numFmtId="0" fontId="40" fillId="0" borderId="35" xfId="18" applyFont="1" applyBorder="1" applyAlignment="1">
      <alignment vertical="center"/>
    </xf>
    <xf numFmtId="166" fontId="40" fillId="0" borderId="35" xfId="18" applyNumberFormat="1" applyFont="1" applyBorder="1" applyAlignment="1">
      <alignment horizontal="center" vertical="center"/>
    </xf>
    <xf numFmtId="2" fontId="26" fillId="0" borderId="0" xfId="18" applyNumberFormat="1" applyFont="1" applyAlignment="1">
      <alignment horizontal="center" vertical="center"/>
    </xf>
    <xf numFmtId="0" fontId="26" fillId="0" borderId="0" xfId="18" applyFont="1" applyAlignment="1">
      <alignment horizontal="center" vertical="center"/>
    </xf>
    <xf numFmtId="166" fontId="128" fillId="0" borderId="0" xfId="18" applyNumberFormat="1" applyFont="1" applyAlignment="1">
      <alignment horizontal="center" vertical="center"/>
    </xf>
    <xf numFmtId="1" fontId="128" fillId="0" borderId="0" xfId="18" applyNumberFormat="1" applyFont="1" applyAlignment="1">
      <alignment horizontal="center" vertical="center"/>
    </xf>
    <xf numFmtId="2" fontId="40" fillId="0" borderId="37" xfId="18" applyNumberFormat="1" applyFont="1" applyBorder="1" applyAlignment="1">
      <alignment vertical="center"/>
    </xf>
    <xf numFmtId="0" fontId="40" fillId="0" borderId="46" xfId="18" applyFont="1" applyBorder="1" applyAlignment="1">
      <alignment horizontal="left" vertical="center"/>
    </xf>
    <xf numFmtId="0" fontId="40" fillId="0" borderId="47" xfId="18" applyFont="1" applyBorder="1" applyAlignment="1">
      <alignment vertical="center"/>
    </xf>
    <xf numFmtId="0" fontId="40" fillId="0" borderId="31" xfId="18" applyFont="1" applyBorder="1" applyAlignment="1">
      <alignment horizontal="right" vertical="center"/>
    </xf>
    <xf numFmtId="2" fontId="40" fillId="0" borderId="46" xfId="18" applyNumberFormat="1" applyFont="1" applyBorder="1" applyAlignment="1">
      <alignment horizontal="center" vertical="center"/>
    </xf>
    <xf numFmtId="0" fontId="40" fillId="0" borderId="46" xfId="18" applyFont="1" applyBorder="1" applyAlignment="1">
      <alignment vertical="center"/>
    </xf>
    <xf numFmtId="2" fontId="40" fillId="0" borderId="32" xfId="18" applyNumberFormat="1" applyFont="1" applyBorder="1" applyAlignment="1">
      <alignment vertical="center"/>
    </xf>
    <xf numFmtId="166" fontId="40" fillId="0" borderId="0" xfId="18" applyNumberFormat="1" applyFont="1" applyAlignment="1">
      <alignment horizontal="centerContinuous" vertical="center"/>
    </xf>
    <xf numFmtId="0" fontId="40" fillId="0" borderId="16" xfId="18" applyFont="1" applyBorder="1" applyAlignment="1">
      <alignment vertical="center" wrapText="1"/>
    </xf>
    <xf numFmtId="0" fontId="40" fillId="0" borderId="15" xfId="18" applyFont="1" applyBorder="1" applyAlignment="1">
      <alignment horizontal="center" vertical="center" wrapText="1"/>
    </xf>
    <xf numFmtId="166" fontId="40" fillId="0" borderId="14" xfId="18" applyNumberFormat="1" applyFont="1" applyBorder="1" applyAlignment="1">
      <alignment horizontal="center" vertical="center" wrapText="1"/>
    </xf>
    <xf numFmtId="0" fontId="40" fillId="0" borderId="0" xfId="18" applyFont="1" applyAlignment="1">
      <alignment horizontal="left" vertical="center" wrapText="1"/>
    </xf>
    <xf numFmtId="0" fontId="40" fillId="0" borderId="0" xfId="18" applyFont="1" applyAlignment="1">
      <alignment horizontal="centerContinuous" vertical="center" wrapText="1"/>
    </xf>
    <xf numFmtId="0" fontId="40" fillId="0" borderId="6" xfId="18" quotePrefix="1" applyFont="1" applyBorder="1" applyAlignment="1">
      <alignment horizontal="center" vertical="center" wrapText="1"/>
    </xf>
    <xf numFmtId="0" fontId="40" fillId="0" borderId="45" xfId="18" applyFont="1" applyBorder="1" applyAlignment="1">
      <alignment vertical="center"/>
    </xf>
    <xf numFmtId="166" fontId="40" fillId="0" borderId="45" xfId="18" applyNumberFormat="1" applyFont="1" applyBorder="1" applyAlignment="1">
      <alignment horizontal="centerContinuous" vertical="center"/>
    </xf>
    <xf numFmtId="0" fontId="160" fillId="0" borderId="0" xfId="18" applyFont="1" applyAlignment="1">
      <alignment vertical="center"/>
    </xf>
    <xf numFmtId="166" fontId="40" fillId="0" borderId="37" xfId="18" applyNumberFormat="1" applyFont="1" applyBorder="1" applyAlignment="1">
      <alignment horizontal="centerContinuous" vertical="center"/>
    </xf>
    <xf numFmtId="0" fontId="40" fillId="0" borderId="37" xfId="18" applyFont="1" applyBorder="1" applyAlignment="1">
      <alignment vertical="center"/>
    </xf>
    <xf numFmtId="0" fontId="128" fillId="0" borderId="41" xfId="18" applyFont="1" applyBorder="1" applyAlignment="1" applyProtection="1">
      <alignment horizontal="center" vertical="center"/>
      <protection locked="0"/>
    </xf>
    <xf numFmtId="0" fontId="40" fillId="0" borderId="37" xfId="18" applyFont="1" applyBorder="1" applyAlignment="1" applyProtection="1">
      <alignment horizontal="center" vertical="center"/>
      <protection locked="0"/>
    </xf>
    <xf numFmtId="166" fontId="40" fillId="0" borderId="37" xfId="18" applyNumberFormat="1" applyFont="1" applyBorder="1" applyAlignment="1" applyProtection="1">
      <alignment horizontal="centerContinuous" vertical="center"/>
      <protection locked="0"/>
    </xf>
    <xf numFmtId="0" fontId="40" fillId="0" borderId="41" xfId="18" applyFont="1" applyBorder="1" applyAlignment="1" applyProtection="1">
      <alignment horizontal="center" vertical="center"/>
      <protection locked="0"/>
    </xf>
    <xf numFmtId="0" fontId="40" fillId="0" borderId="37" xfId="18" applyFont="1" applyBorder="1" applyAlignment="1" applyProtection="1">
      <alignment vertical="center"/>
      <protection locked="0"/>
    </xf>
    <xf numFmtId="0" fontId="40" fillId="0" borderId="37" xfId="18" applyFont="1" applyBorder="1" applyAlignment="1" applyProtection="1">
      <alignment horizontal="centerContinuous" vertical="center"/>
      <protection locked="0"/>
    </xf>
    <xf numFmtId="0" fontId="40" fillId="0" borderId="38" xfId="18" applyFont="1" applyBorder="1" applyAlignment="1">
      <alignment horizontal="centerContinuous" vertical="center"/>
    </xf>
    <xf numFmtId="166" fontId="11" fillId="0" borderId="37" xfId="18" applyNumberFormat="1" applyFont="1" applyBorder="1" applyAlignment="1" applyProtection="1">
      <alignment horizontal="center" vertical="center"/>
      <protection locked="0"/>
    </xf>
    <xf numFmtId="0" fontId="128" fillId="0" borderId="0" xfId="18" applyFont="1" applyAlignment="1">
      <alignment horizontal="left" vertical="center"/>
    </xf>
    <xf numFmtId="0" fontId="128" fillId="0" borderId="40" xfId="18" applyFont="1" applyBorder="1" applyAlignment="1" applyProtection="1">
      <alignment horizontal="center" vertical="center"/>
      <protection locked="0"/>
    </xf>
    <xf numFmtId="166" fontId="40" fillId="0" borderId="37" xfId="18" applyNumberFormat="1" applyFont="1" applyBorder="1" applyAlignment="1">
      <alignment vertical="center"/>
    </xf>
    <xf numFmtId="0" fontId="128" fillId="0" borderId="40" xfId="18" applyFont="1" applyBorder="1" applyAlignment="1" applyProtection="1">
      <alignment vertical="center"/>
      <protection locked="0"/>
    </xf>
    <xf numFmtId="0" fontId="128" fillId="0" borderId="40" xfId="18" applyFont="1" applyBorder="1" applyAlignment="1" applyProtection="1">
      <alignment horizontal="centerContinuous" vertical="center"/>
      <protection locked="0"/>
    </xf>
    <xf numFmtId="0" fontId="40" fillId="0" borderId="35" xfId="18" applyFont="1" applyBorder="1" applyAlignment="1">
      <alignment horizontal="centerContinuous" vertical="center"/>
    </xf>
    <xf numFmtId="0" fontId="40" fillId="0" borderId="37" xfId="18" applyFont="1" applyBorder="1" applyAlignment="1">
      <alignment horizontal="centerContinuous" vertical="center"/>
    </xf>
    <xf numFmtId="166" fontId="26" fillId="0" borderId="32" xfId="18" applyNumberFormat="1" applyFont="1" applyBorder="1" applyAlignment="1">
      <alignment horizontal="centerContinuous" vertical="center"/>
    </xf>
    <xf numFmtId="2" fontId="40" fillId="0" borderId="32" xfId="18" applyNumberFormat="1" applyFont="1" applyBorder="1" applyAlignment="1">
      <alignment horizontal="center" vertical="center"/>
    </xf>
    <xf numFmtId="2" fontId="40" fillId="0" borderId="32" xfId="18" applyNumberFormat="1" applyFont="1" applyBorder="1" applyAlignment="1">
      <alignment horizontal="centerContinuous" vertical="center"/>
    </xf>
    <xf numFmtId="2" fontId="40" fillId="0" borderId="47" xfId="18" applyNumberFormat="1" applyFont="1" applyBorder="1" applyAlignment="1">
      <alignment horizontal="centerContinuous" vertical="center"/>
    </xf>
    <xf numFmtId="0" fontId="40" fillId="0" borderId="32" xfId="18" applyFont="1" applyBorder="1" applyAlignment="1">
      <alignment vertical="center"/>
    </xf>
    <xf numFmtId="1" fontId="26" fillId="0" borderId="0" xfId="18" applyNumberFormat="1" applyFont="1" applyAlignment="1">
      <alignment horizontal="centerContinuous" vertical="center"/>
    </xf>
    <xf numFmtId="1" fontId="40" fillId="0" borderId="0" xfId="18" applyNumberFormat="1" applyFont="1" applyAlignment="1">
      <alignment horizontal="centerContinuous" vertical="center"/>
    </xf>
    <xf numFmtId="0" fontId="40" fillId="0" borderId="21" xfId="18" applyFont="1" applyBorder="1" applyAlignment="1">
      <alignment horizontal="right" vertical="center"/>
    </xf>
    <xf numFmtId="1" fontId="40" fillId="0" borderId="21" xfId="18" applyNumberFormat="1" applyFont="1" applyBorder="1" applyAlignment="1">
      <alignment horizontal="centerContinuous" vertical="center"/>
    </xf>
    <xf numFmtId="2" fontId="40" fillId="0" borderId="21" xfId="18" applyNumberFormat="1" applyFont="1" applyBorder="1" applyAlignment="1">
      <alignment horizontal="centerContinuous" vertical="center"/>
    </xf>
    <xf numFmtId="49" fontId="40" fillId="0" borderId="38" xfId="18" applyNumberFormat="1" applyFont="1" applyBorder="1" applyAlignment="1">
      <alignment vertical="center"/>
    </xf>
    <xf numFmtId="0" fontId="40" fillId="0" borderId="31" xfId="18" applyFont="1" applyBorder="1" applyAlignment="1">
      <alignment vertical="center"/>
    </xf>
    <xf numFmtId="49" fontId="40" fillId="0" borderId="46" xfId="18" applyNumberFormat="1" applyFont="1" applyBorder="1" applyAlignment="1">
      <alignment vertical="center"/>
    </xf>
    <xf numFmtId="0" fontId="40" fillId="0" borderId="16" xfId="18" applyFont="1" applyBorder="1" applyAlignment="1">
      <alignment horizontal="left" vertical="center"/>
    </xf>
    <xf numFmtId="0" fontId="40" fillId="0" borderId="0" xfId="18" applyFont="1" applyAlignment="1" applyProtection="1">
      <alignment vertical="center"/>
      <protection locked="0"/>
    </xf>
    <xf numFmtId="0" fontId="128" fillId="0" borderId="43" xfId="18" applyFont="1" applyBorder="1" applyAlignment="1" applyProtection="1">
      <alignment vertical="center"/>
      <protection locked="0"/>
    </xf>
    <xf numFmtId="2" fontId="128" fillId="0" borderId="35" xfId="18" applyNumberFormat="1" applyFont="1" applyBorder="1" applyAlignment="1" applyProtection="1">
      <alignment vertical="center"/>
      <protection locked="0"/>
    </xf>
    <xf numFmtId="2" fontId="40" fillId="0" borderId="35" xfId="18" applyNumberFormat="1" applyFont="1" applyBorder="1" applyAlignment="1">
      <alignment vertical="center"/>
    </xf>
    <xf numFmtId="166" fontId="59" fillId="0" borderId="35" xfId="18" applyNumberFormat="1" applyFont="1" applyBorder="1" applyAlignment="1">
      <alignment horizontal="center" vertical="center"/>
    </xf>
    <xf numFmtId="2" fontId="59" fillId="0" borderId="37" xfId="18" applyNumberFormat="1" applyFont="1" applyBorder="1" applyAlignment="1">
      <alignment horizontal="right" vertical="center"/>
    </xf>
    <xf numFmtId="2" fontId="40" fillId="0" borderId="31" xfId="18" applyNumberFormat="1" applyFont="1" applyBorder="1" applyAlignment="1">
      <alignment vertical="center"/>
    </xf>
    <xf numFmtId="2" fontId="128" fillId="0" borderId="37" xfId="18" applyNumberFormat="1" applyFont="1" applyBorder="1" applyAlignment="1">
      <alignment horizontal="center" vertical="center"/>
    </xf>
    <xf numFmtId="2" fontId="40" fillId="0" borderId="32" xfId="18" applyNumberFormat="1" applyFont="1" applyBorder="1" applyAlignment="1" applyProtection="1">
      <alignment horizontal="center" vertical="center"/>
      <protection locked="0"/>
    </xf>
    <xf numFmtId="2" fontId="40" fillId="0" borderId="32" xfId="18" applyNumberFormat="1" applyFont="1" applyBorder="1" applyAlignment="1" applyProtection="1">
      <alignment horizontal="centerContinuous" vertical="center"/>
      <protection locked="0"/>
    </xf>
    <xf numFmtId="0" fontId="59" fillId="0" borderId="44" xfId="18" applyFont="1" applyBorder="1" applyAlignment="1">
      <alignment vertical="center"/>
    </xf>
    <xf numFmtId="0" fontId="59" fillId="0" borderId="38" xfId="18" applyFont="1" applyBorder="1" applyAlignment="1">
      <alignment vertical="center"/>
    </xf>
    <xf numFmtId="0" fontId="59" fillId="0" borderId="47" xfId="18" applyFont="1" applyBorder="1" applyAlignment="1">
      <alignment vertical="center"/>
    </xf>
    <xf numFmtId="49" fontId="40" fillId="0" borderId="47" xfId="18" applyNumberFormat="1" applyFont="1" applyBorder="1" applyAlignment="1">
      <alignment vertical="center"/>
    </xf>
    <xf numFmtId="14" fontId="40" fillId="0" borderId="38" xfId="18" applyNumberFormat="1" applyFont="1" applyBorder="1" applyAlignment="1">
      <alignment horizontal="left" vertical="center"/>
    </xf>
    <xf numFmtId="167" fontId="40" fillId="0" borderId="37" xfId="18" applyNumberFormat="1" applyFont="1" applyBorder="1" applyAlignment="1">
      <alignment horizontal="center" vertical="center"/>
    </xf>
    <xf numFmtId="167" fontId="40" fillId="0" borderId="32" xfId="18" applyNumberFormat="1" applyFont="1" applyBorder="1" applyAlignment="1">
      <alignment horizontal="center" vertical="center"/>
    </xf>
    <xf numFmtId="167" fontId="40" fillId="3" borderId="35" xfId="18" applyNumberFormat="1" applyFont="1" applyFill="1" applyBorder="1" applyAlignment="1" applyProtection="1">
      <alignment horizontal="center" vertical="center"/>
      <protection locked="0"/>
    </xf>
    <xf numFmtId="167" fontId="59" fillId="0" borderId="35" xfId="18" applyNumberFormat="1" applyFont="1" applyBorder="1" applyAlignment="1">
      <alignment horizontal="center" vertical="center"/>
    </xf>
    <xf numFmtId="167" fontId="59" fillId="0" borderId="31" xfId="18" applyNumberFormat="1" applyFont="1" applyBorder="1" applyAlignment="1">
      <alignment horizontal="center" vertical="center"/>
    </xf>
    <xf numFmtId="167" fontId="20" fillId="0" borderId="6" xfId="18" applyNumberFormat="1" applyFont="1" applyBorder="1" applyAlignment="1">
      <alignment horizontal="center" vertical="center"/>
    </xf>
    <xf numFmtId="167" fontId="20" fillId="0" borderId="6" xfId="18" applyNumberFormat="1" applyFont="1" applyBorder="1" applyAlignment="1">
      <alignment horizontal="centerContinuous" vertical="center"/>
    </xf>
    <xf numFmtId="0" fontId="4" fillId="0" borderId="15" xfId="20" applyBorder="1"/>
    <xf numFmtId="0" fontId="4" fillId="0" borderId="26" xfId="20" applyBorder="1"/>
    <xf numFmtId="0" fontId="4" fillId="0" borderId="27" xfId="20" applyBorder="1"/>
    <xf numFmtId="0" fontId="4" fillId="0" borderId="0" xfId="20"/>
    <xf numFmtId="0" fontId="4" fillId="0" borderId="28" xfId="20" applyBorder="1"/>
    <xf numFmtId="0" fontId="4" fillId="0" borderId="13" xfId="20" applyBorder="1"/>
    <xf numFmtId="0" fontId="4" fillId="0" borderId="21" xfId="20" applyBorder="1"/>
    <xf numFmtId="0" fontId="4" fillId="0" borderId="29" xfId="20" applyBorder="1"/>
    <xf numFmtId="0" fontId="50" fillId="0" borderId="28" xfId="20" applyFont="1" applyBorder="1"/>
    <xf numFmtId="0" fontId="50" fillId="0" borderId="0" xfId="20" applyFont="1"/>
    <xf numFmtId="0" fontId="50" fillId="0" borderId="0" xfId="20" applyFont="1" applyAlignment="1">
      <alignment vertical="center"/>
    </xf>
    <xf numFmtId="0" fontId="50" fillId="0" borderId="28" xfId="20" applyFont="1" applyBorder="1" applyAlignment="1">
      <alignment vertical="center"/>
    </xf>
    <xf numFmtId="0" fontId="40" fillId="0" borderId="0" xfId="21" applyFont="1" applyAlignment="1">
      <alignment vertical="center"/>
    </xf>
    <xf numFmtId="0" fontId="11" fillId="0" borderId="0" xfId="3" applyFont="1" applyAlignment="1">
      <alignment horizontal="left" vertical="center"/>
    </xf>
    <xf numFmtId="0" fontId="11" fillId="0" borderId="0" xfId="21" applyFont="1" applyAlignment="1">
      <alignment vertical="center"/>
    </xf>
    <xf numFmtId="0" fontId="35" fillId="0" borderId="0" xfId="21" applyFont="1" applyAlignment="1">
      <alignment vertical="center"/>
    </xf>
    <xf numFmtId="0" fontId="13" fillId="0" borderId="0" xfId="20" applyFont="1"/>
    <xf numFmtId="0" fontId="13" fillId="0" borderId="28" xfId="20" applyFont="1" applyBorder="1"/>
    <xf numFmtId="0" fontId="13" fillId="0" borderId="0" xfId="20" applyFont="1" applyAlignment="1">
      <alignment vertical="center"/>
    </xf>
    <xf numFmtId="0" fontId="13" fillId="0" borderId="0" xfId="20" applyFont="1" applyAlignment="1">
      <alignment vertical="center" wrapText="1"/>
    </xf>
    <xf numFmtId="4" fontId="31" fillId="0" borderId="15" xfId="20" applyNumberFormat="1" applyFont="1" applyBorder="1" applyAlignment="1">
      <alignment horizontal="centerContinuous" vertical="center"/>
    </xf>
    <xf numFmtId="4" fontId="20" fillId="0" borderId="27" xfId="20" applyNumberFormat="1" applyFont="1" applyBorder="1" applyAlignment="1">
      <alignment horizontal="centerContinuous" vertical="center"/>
    </xf>
    <xf numFmtId="0" fontId="31" fillId="0" borderId="0" xfId="20" applyFont="1" applyAlignment="1">
      <alignment horizontal="centerContinuous" vertical="center"/>
    </xf>
    <xf numFmtId="190" fontId="20" fillId="0" borderId="45" xfId="20" applyNumberFormat="1" applyFont="1" applyBorder="1" applyAlignment="1">
      <alignment horizontal="center" vertical="center"/>
    </xf>
    <xf numFmtId="190" fontId="20" fillId="0" borderId="0" xfId="20" applyNumberFormat="1" applyFont="1" applyAlignment="1">
      <alignment vertical="center"/>
    </xf>
    <xf numFmtId="167" fontId="20" fillId="0" borderId="0" xfId="20" applyNumberFormat="1" applyFont="1" applyAlignment="1">
      <alignment vertical="center"/>
    </xf>
    <xf numFmtId="190" fontId="20" fillId="0" borderId="37" xfId="20" applyNumberFormat="1" applyFont="1" applyBorder="1" applyAlignment="1">
      <alignment horizontal="center" vertical="center"/>
    </xf>
    <xf numFmtId="190" fontId="55" fillId="0" borderId="0" xfId="20" applyNumberFormat="1" applyFont="1" applyAlignment="1">
      <alignment vertical="center"/>
    </xf>
    <xf numFmtId="0" fontId="11" fillId="0" borderId="6" xfId="20" applyFont="1" applyBorder="1" applyAlignment="1">
      <alignment horizontal="center"/>
    </xf>
    <xf numFmtId="0" fontId="11" fillId="0" borderId="6" xfId="20" applyFont="1" applyBorder="1" applyAlignment="1">
      <alignment horizontal="center" vertical="center"/>
    </xf>
    <xf numFmtId="2" fontId="13" fillId="0" borderId="41" xfId="20" applyNumberFormat="1" applyFont="1" applyBorder="1" applyAlignment="1">
      <alignment horizontal="center" vertical="center" wrapText="1"/>
    </xf>
    <xf numFmtId="2" fontId="13" fillId="0" borderId="45" xfId="20" applyNumberFormat="1" applyFont="1" applyBorder="1" applyAlignment="1">
      <alignment horizontal="center" vertical="center" wrapText="1"/>
    </xf>
    <xf numFmtId="190" fontId="20" fillId="0" borderId="32" xfId="20" applyNumberFormat="1" applyFont="1" applyBorder="1" applyAlignment="1">
      <alignment horizontal="center" vertical="center"/>
    </xf>
    <xf numFmtId="0" fontId="20" fillId="0" borderId="0" xfId="20" applyFont="1" applyAlignment="1">
      <alignment vertical="center"/>
    </xf>
    <xf numFmtId="2" fontId="13" fillId="0" borderId="46" xfId="20" applyNumberFormat="1" applyFont="1" applyBorder="1" applyAlignment="1">
      <alignment horizontal="center" vertical="center" wrapText="1"/>
    </xf>
    <xf numFmtId="2" fontId="13" fillId="0" borderId="32" xfId="20" applyNumberFormat="1" applyFont="1" applyBorder="1" applyAlignment="1">
      <alignment horizontal="center" vertical="center" wrapText="1"/>
    </xf>
    <xf numFmtId="4" fontId="20" fillId="0" borderId="0" xfId="20" applyNumberFormat="1" applyFont="1" applyAlignment="1">
      <alignment vertical="center"/>
    </xf>
    <xf numFmtId="190" fontId="20" fillId="0" borderId="105" xfId="20" applyNumberFormat="1" applyFont="1" applyBorder="1" applyAlignment="1">
      <alignment horizontal="center" vertical="center"/>
    </xf>
    <xf numFmtId="190" fontId="20" fillId="0" borderId="106" xfId="20" applyNumberFormat="1" applyFont="1" applyBorder="1" applyAlignment="1">
      <alignment horizontal="center" vertical="center"/>
    </xf>
    <xf numFmtId="167" fontId="11" fillId="0" borderId="6" xfId="20" applyNumberFormat="1" applyFont="1" applyBorder="1" applyAlignment="1">
      <alignment horizontal="center" vertical="center"/>
    </xf>
    <xf numFmtId="167" fontId="50" fillId="0" borderId="0" xfId="20" applyNumberFormat="1" applyFont="1"/>
    <xf numFmtId="0" fontId="50" fillId="0" borderId="21" xfId="20" applyFont="1" applyBorder="1"/>
    <xf numFmtId="190" fontId="20" fillId="0" borderId="107" xfId="20" applyNumberFormat="1" applyFont="1" applyBorder="1" applyAlignment="1">
      <alignment horizontal="center" vertical="center"/>
    </xf>
    <xf numFmtId="167" fontId="107" fillId="0" borderId="6" xfId="20" applyNumberFormat="1" applyFont="1" applyBorder="1" applyAlignment="1">
      <alignment horizontal="center" vertical="center"/>
    </xf>
    <xf numFmtId="167" fontId="20" fillId="0" borderId="37" xfId="20" applyNumberFormat="1" applyFont="1" applyBorder="1" applyAlignment="1">
      <alignment horizontal="center" vertical="center"/>
    </xf>
    <xf numFmtId="2" fontId="50" fillId="0" borderId="0" xfId="20" applyNumberFormat="1" applyFont="1"/>
    <xf numFmtId="0" fontId="13" fillId="0" borderId="28" xfId="20" applyFont="1" applyBorder="1" applyAlignment="1">
      <alignment vertical="center" wrapText="1"/>
    </xf>
    <xf numFmtId="0" fontId="40" fillId="0" borderId="0" xfId="3" applyFont="1" applyAlignment="1">
      <alignment horizontal="left" wrapText="1"/>
    </xf>
    <xf numFmtId="2" fontId="13" fillId="0" borderId="28" xfId="20" applyNumberFormat="1" applyFont="1" applyBorder="1" applyAlignment="1">
      <alignment vertical="center" wrapText="1"/>
    </xf>
    <xf numFmtId="2" fontId="13" fillId="0" borderId="0" xfId="20" applyNumberFormat="1" applyFont="1" applyAlignment="1">
      <alignment vertical="center" wrapText="1"/>
    </xf>
    <xf numFmtId="0" fontId="50" fillId="0" borderId="13" xfId="20" applyFont="1" applyBorder="1"/>
    <xf numFmtId="0" fontId="50" fillId="0" borderId="29" xfId="20" applyFont="1" applyBorder="1"/>
    <xf numFmtId="0" fontId="35" fillId="0" borderId="15" xfId="21" applyFont="1" applyBorder="1" applyAlignment="1">
      <alignment vertical="center"/>
    </xf>
    <xf numFmtId="0" fontId="35" fillId="0" borderId="0" xfId="21" applyFont="1" applyAlignment="1">
      <alignment horizontal="center" vertical="center"/>
    </xf>
    <xf numFmtId="0" fontId="11" fillId="0" borderId="15" xfId="3" applyFont="1" applyBorder="1" applyAlignment="1">
      <alignment vertical="center"/>
    </xf>
    <xf numFmtId="0" fontId="11" fillId="0" borderId="26" xfId="3" applyFont="1" applyBorder="1" applyAlignment="1">
      <alignment vertical="center"/>
    </xf>
    <xf numFmtId="0" fontId="40" fillId="0" borderId="26" xfId="3" applyFont="1" applyBorder="1"/>
    <xf numFmtId="0" fontId="172" fillId="0" borderId="26" xfId="3" applyFont="1" applyBorder="1" applyAlignment="1">
      <alignment vertical="center"/>
    </xf>
    <xf numFmtId="0" fontId="40" fillId="0" borderId="27" xfId="3" applyFont="1" applyBorder="1"/>
    <xf numFmtId="0" fontId="40" fillId="0" borderId="15" xfId="3" applyFont="1" applyBorder="1"/>
    <xf numFmtId="0" fontId="40" fillId="0" borderId="45" xfId="3" applyFont="1" applyBorder="1"/>
    <xf numFmtId="0" fontId="40" fillId="0" borderId="44" xfId="3" applyFont="1" applyBorder="1"/>
    <xf numFmtId="0" fontId="40" fillId="0" borderId="70" xfId="3" applyFont="1" applyBorder="1"/>
    <xf numFmtId="0" fontId="59" fillId="0" borderId="44" xfId="3" applyFont="1" applyBorder="1"/>
    <xf numFmtId="0" fontId="40" fillId="0" borderId="43" xfId="3" applyFont="1" applyBorder="1"/>
    <xf numFmtId="0" fontId="40" fillId="0" borderId="28" xfId="3" applyFont="1" applyBorder="1"/>
    <xf numFmtId="0" fontId="40" fillId="0" borderId="16" xfId="3" applyFont="1" applyBorder="1"/>
    <xf numFmtId="0" fontId="40" fillId="0" borderId="37" xfId="3" applyFont="1" applyBorder="1"/>
    <xf numFmtId="0" fontId="40" fillId="0" borderId="38" xfId="3" applyFont="1" applyBorder="1"/>
    <xf numFmtId="0" fontId="40" fillId="0" borderId="72" xfId="3" applyFont="1" applyBorder="1"/>
    <xf numFmtId="0" fontId="59" fillId="0" borderId="38" xfId="3" applyFont="1" applyBorder="1"/>
    <xf numFmtId="0" fontId="40" fillId="0" borderId="35" xfId="3" applyFont="1" applyBorder="1"/>
    <xf numFmtId="0" fontId="40" fillId="0" borderId="104" xfId="3" applyFont="1" applyBorder="1"/>
    <xf numFmtId="14" fontId="128" fillId="0" borderId="35" xfId="3" quotePrefix="1" applyNumberFormat="1" applyFont="1" applyBorder="1" applyAlignment="1">
      <alignment horizontal="left"/>
    </xf>
    <xf numFmtId="0" fontId="40" fillId="0" borderId="13" xfId="3" applyFont="1" applyBorder="1"/>
    <xf numFmtId="0" fontId="40" fillId="0" borderId="32" xfId="3" applyFont="1" applyBorder="1"/>
    <xf numFmtId="0" fontId="40" fillId="0" borderId="47" xfId="3" applyFont="1" applyBorder="1"/>
    <xf numFmtId="0" fontId="40" fillId="0" borderId="50" xfId="3" applyFont="1" applyBorder="1"/>
    <xf numFmtId="0" fontId="40" fillId="0" borderId="63" xfId="3" applyFont="1" applyBorder="1"/>
    <xf numFmtId="0" fontId="128" fillId="0" borderId="31" xfId="3" applyFont="1" applyBorder="1" applyAlignment="1">
      <alignment horizontal="left"/>
    </xf>
    <xf numFmtId="0" fontId="128" fillId="0" borderId="0" xfId="3" applyFont="1"/>
    <xf numFmtId="0" fontId="128" fillId="0" borderId="28" xfId="3" applyFont="1" applyBorder="1" applyAlignment="1">
      <alignment horizontal="left"/>
    </xf>
    <xf numFmtId="0" fontId="11" fillId="0" borderId="13" xfId="3" applyFont="1" applyBorder="1" applyAlignment="1">
      <alignment vertical="center"/>
    </xf>
    <xf numFmtId="0" fontId="11" fillId="0" borderId="21" xfId="3" applyFont="1" applyBorder="1" applyAlignment="1">
      <alignment vertical="center"/>
    </xf>
    <xf numFmtId="0" fontId="34" fillId="0" borderId="16" xfId="3" applyFont="1" applyBorder="1" applyAlignment="1">
      <alignment horizontal="centerContinuous"/>
    </xf>
    <xf numFmtId="0" fontId="40" fillId="0" borderId="0" xfId="3" applyFont="1" applyAlignment="1">
      <alignment horizontal="centerContinuous"/>
    </xf>
    <xf numFmtId="0" fontId="128" fillId="0" borderId="0" xfId="3" applyFont="1" applyAlignment="1">
      <alignment horizontal="centerContinuous"/>
    </xf>
    <xf numFmtId="0" fontId="128" fillId="0" borderId="28" xfId="3" applyFont="1" applyBorder="1" applyAlignment="1">
      <alignment horizontal="centerContinuous"/>
    </xf>
    <xf numFmtId="0" fontId="15" fillId="0" borderId="16" xfId="3" applyFont="1" applyBorder="1" applyAlignment="1">
      <alignment horizontal="left" vertical="center" wrapText="1"/>
    </xf>
    <xf numFmtId="0" fontId="11" fillId="0" borderId="0" xfId="3" applyFont="1" applyAlignment="1">
      <alignment horizontal="center" vertical="center"/>
    </xf>
    <xf numFmtId="0" fontId="108" fillId="0" borderId="0" xfId="3" applyFont="1" applyAlignment="1">
      <alignment horizontal="center" vertical="center" wrapText="1"/>
    </xf>
    <xf numFmtId="14" fontId="13" fillId="0" borderId="0" xfId="3" applyNumberFormat="1" applyFont="1" applyAlignment="1">
      <alignment vertical="center"/>
    </xf>
    <xf numFmtId="0" fontId="173" fillId="0" borderId="16" xfId="3" applyFont="1" applyBorder="1" applyAlignment="1">
      <alignment horizontal="centerContinuous"/>
    </xf>
    <xf numFmtId="0" fontId="40" fillId="0" borderId="28" xfId="3" applyFont="1" applyBorder="1" applyAlignment="1">
      <alignment horizontal="centerContinuous"/>
    </xf>
    <xf numFmtId="0" fontId="12" fillId="0" borderId="16" xfId="3" applyFont="1" applyBorder="1" applyAlignment="1">
      <alignment vertical="center" wrapText="1"/>
    </xf>
    <xf numFmtId="0" fontId="12" fillId="0" borderId="0" xfId="3" applyFont="1" applyAlignment="1">
      <alignment vertical="center" wrapText="1"/>
    </xf>
    <xf numFmtId="0" fontId="40" fillId="0" borderId="0" xfId="3" applyFont="1" applyAlignment="1">
      <alignment horizontal="left"/>
    </xf>
    <xf numFmtId="0" fontId="40" fillId="0" borderId="0" xfId="3" applyFont="1" applyAlignment="1">
      <alignment horizontal="right"/>
    </xf>
    <xf numFmtId="0" fontId="128" fillId="0" borderId="0" xfId="3" applyFont="1" applyAlignment="1">
      <alignment horizontal="left"/>
    </xf>
    <xf numFmtId="0" fontId="29" fillId="0" borderId="16" xfId="20" applyFont="1" applyBorder="1"/>
    <xf numFmtId="0" fontId="12" fillId="0" borderId="16" xfId="20" applyFont="1" applyBorder="1"/>
    <xf numFmtId="14" fontId="40" fillId="0" borderId="0" xfId="3" applyNumberFormat="1" applyFont="1" applyAlignment="1">
      <alignment horizontal="right"/>
    </xf>
    <xf numFmtId="0" fontId="35" fillId="0" borderId="16" xfId="21" applyFont="1" applyBorder="1" applyAlignment="1">
      <alignment vertical="center"/>
    </xf>
    <xf numFmtId="0" fontId="40" fillId="0" borderId="16" xfId="21" applyFont="1" applyBorder="1" applyAlignment="1">
      <alignment vertical="center"/>
    </xf>
    <xf numFmtId="0" fontId="40" fillId="0" borderId="0" xfId="21" applyFont="1" applyAlignment="1">
      <alignment horizontal="left" vertical="center"/>
    </xf>
    <xf numFmtId="0" fontId="140" fillId="0" borderId="0" xfId="21" applyFont="1" applyAlignment="1">
      <alignment horizontal="left" vertical="center"/>
    </xf>
    <xf numFmtId="0" fontId="11" fillId="0" borderId="0" xfId="21" applyFont="1" applyAlignment="1">
      <alignment horizontal="left" vertical="center"/>
    </xf>
    <xf numFmtId="0" fontId="19" fillId="0" borderId="0" xfId="21" applyFont="1" applyAlignment="1">
      <alignment horizontal="left" vertical="center" wrapText="1"/>
    </xf>
    <xf numFmtId="14" fontId="11" fillId="0" borderId="0" xfId="21" applyNumberFormat="1" applyFont="1" applyAlignment="1">
      <alignment horizontal="left" vertical="center"/>
    </xf>
    <xf numFmtId="0" fontId="44" fillId="0" borderId="0" xfId="21" applyFont="1" applyAlignment="1">
      <alignment vertical="center"/>
    </xf>
    <xf numFmtId="0" fontId="40" fillId="0" borderId="0" xfId="3" applyFont="1" applyAlignment="1">
      <alignment horizontal="left" vertical="justify"/>
    </xf>
    <xf numFmtId="167" fontId="40" fillId="0" borderId="0" xfId="3" applyNumberFormat="1" applyFont="1"/>
    <xf numFmtId="0" fontId="40" fillId="0" borderId="0" xfId="3" applyFont="1" applyAlignment="1">
      <alignment horizontal="right" vertical="justify"/>
    </xf>
    <xf numFmtId="2" fontId="26" fillId="0" borderId="0" xfId="3" applyNumberFormat="1" applyFont="1" applyAlignment="1">
      <alignment horizontal="right"/>
    </xf>
    <xf numFmtId="0" fontId="16" fillId="0" borderId="0" xfId="21" applyFont="1" applyAlignment="1">
      <alignment vertical="center"/>
    </xf>
    <xf numFmtId="1" fontId="26" fillId="0" borderId="0" xfId="3" applyNumberFormat="1" applyFont="1" applyAlignment="1">
      <alignment horizontal="right"/>
    </xf>
    <xf numFmtId="2" fontId="40" fillId="0" borderId="0" xfId="3" applyNumberFormat="1" applyFont="1" applyAlignment="1">
      <alignment horizontal="left"/>
    </xf>
    <xf numFmtId="2" fontId="40" fillId="0" borderId="0" xfId="3" applyNumberFormat="1" applyFont="1" applyAlignment="1">
      <alignment horizontal="center"/>
    </xf>
    <xf numFmtId="0" fontId="26" fillId="0" borderId="0" xfId="3" applyFont="1" applyAlignment="1">
      <alignment horizontal="right"/>
    </xf>
    <xf numFmtId="0" fontId="59" fillId="0" borderId="0" xfId="3" applyFont="1"/>
    <xf numFmtId="0" fontId="40" fillId="0" borderId="0" xfId="3" applyFont="1" applyAlignment="1">
      <alignment horizontal="center" vertical="justify"/>
    </xf>
    <xf numFmtId="0" fontId="26" fillId="0" borderId="0" xfId="3" applyFont="1" applyAlignment="1">
      <alignment horizontal="centerContinuous"/>
    </xf>
    <xf numFmtId="2" fontId="40" fillId="0" borderId="0" xfId="3" applyNumberFormat="1" applyFont="1" applyAlignment="1">
      <alignment horizontal="centerContinuous"/>
    </xf>
    <xf numFmtId="0" fontId="43" fillId="0" borderId="0" xfId="3" applyFont="1" applyAlignment="1">
      <alignment horizontal="center"/>
    </xf>
    <xf numFmtId="0" fontId="128" fillId="0" borderId="0" xfId="3" applyFont="1" applyAlignment="1">
      <alignment horizontal="right"/>
    </xf>
    <xf numFmtId="166" fontId="128" fillId="0" borderId="0" xfId="3" applyNumberFormat="1" applyFont="1" applyAlignment="1">
      <alignment horizontal="right"/>
    </xf>
    <xf numFmtId="167" fontId="40" fillId="0" borderId="0" xfId="3" applyNumberFormat="1" applyFont="1" applyAlignment="1">
      <alignment horizontal="right"/>
    </xf>
    <xf numFmtId="0" fontId="20" fillId="0" borderId="16" xfId="21" applyFont="1" applyBorder="1" applyAlignment="1">
      <alignment vertical="center"/>
    </xf>
    <xf numFmtId="166" fontId="164" fillId="0" borderId="0" xfId="3" applyNumberFormat="1" applyFont="1" applyAlignment="1">
      <alignment horizontal="right" vertical="center"/>
    </xf>
    <xf numFmtId="166" fontId="25" fillId="0" borderId="0" xfId="3" applyNumberFormat="1" applyFont="1" applyAlignment="1">
      <alignment horizontal="right" vertical="center"/>
    </xf>
    <xf numFmtId="167" fontId="20" fillId="0" borderId="0" xfId="3" applyNumberFormat="1" applyFont="1" applyAlignment="1">
      <alignment horizontal="right" vertical="center"/>
    </xf>
    <xf numFmtId="0" fontId="20" fillId="0" borderId="0" xfId="3" applyFont="1" applyAlignment="1">
      <alignment horizontal="left" vertical="center"/>
    </xf>
    <xf numFmtId="166" fontId="26" fillId="0" borderId="0" xfId="3" applyNumberFormat="1" applyFont="1" applyAlignment="1">
      <alignment horizontal="right"/>
    </xf>
    <xf numFmtId="0" fontId="40" fillId="0" borderId="0" xfId="21" applyFont="1" applyAlignment="1">
      <alignment horizontal="center" vertical="center"/>
    </xf>
    <xf numFmtId="167" fontId="40" fillId="0" borderId="0" xfId="21" applyNumberFormat="1" applyFont="1" applyAlignment="1">
      <alignment horizontal="center" vertical="center"/>
    </xf>
    <xf numFmtId="167" fontId="35" fillId="0" borderId="0" xfId="21" applyNumberFormat="1" applyFont="1" applyAlignment="1">
      <alignment horizontal="center" vertical="center"/>
    </xf>
    <xf numFmtId="167" fontId="13" fillId="0" borderId="0" xfId="21" applyNumberFormat="1" applyFont="1" applyAlignment="1">
      <alignment horizontal="center" vertical="center"/>
    </xf>
    <xf numFmtId="0" fontId="13" fillId="0" borderId="0" xfId="21" applyFont="1" applyAlignment="1">
      <alignment vertical="center"/>
    </xf>
    <xf numFmtId="2" fontId="40" fillId="0" borderId="0" xfId="3" applyNumberFormat="1" applyFont="1"/>
    <xf numFmtId="167" fontId="53" fillId="0" borderId="0" xfId="21" applyNumberFormat="1" applyFont="1" applyAlignment="1">
      <alignment horizontal="center" vertical="center"/>
    </xf>
    <xf numFmtId="0" fontId="112" fillId="0" borderId="0" xfId="21" applyFont="1" applyAlignment="1">
      <alignment horizontal="center" vertical="center"/>
    </xf>
    <xf numFmtId="0" fontId="59" fillId="0" borderId="0" xfId="21" applyFont="1" applyAlignment="1">
      <alignment horizontal="center" vertical="center"/>
    </xf>
    <xf numFmtId="0" fontId="119" fillId="0" borderId="0" xfId="21" applyFont="1" applyAlignment="1">
      <alignment horizontal="center" vertical="center"/>
    </xf>
    <xf numFmtId="2" fontId="40" fillId="0" borderId="0" xfId="3" applyNumberFormat="1" applyFont="1" applyAlignment="1">
      <alignment horizontal="centerContinuous" vertical="center"/>
    </xf>
    <xf numFmtId="1" fontId="128" fillId="0" borderId="0" xfId="3" applyNumberFormat="1" applyFont="1" applyAlignment="1">
      <alignment horizontal="right"/>
    </xf>
    <xf numFmtId="166" fontId="128" fillId="0" borderId="0" xfId="3" applyNumberFormat="1" applyFont="1" applyAlignment="1" applyProtection="1">
      <alignment horizontal="center"/>
      <protection locked="0"/>
    </xf>
    <xf numFmtId="1" fontId="128" fillId="0" borderId="0" xfId="3" applyNumberFormat="1" applyFont="1" applyAlignment="1" applyProtection="1">
      <alignment horizontal="center"/>
      <protection locked="0"/>
    </xf>
    <xf numFmtId="1" fontId="40" fillId="0" borderId="0" xfId="3" applyNumberFormat="1" applyFont="1" applyAlignment="1">
      <alignment horizontal="center"/>
    </xf>
    <xf numFmtId="2" fontId="128" fillId="0" borderId="0" xfId="3" applyNumberFormat="1" applyFont="1" applyAlignment="1">
      <alignment horizontal="center"/>
    </xf>
    <xf numFmtId="0" fontId="13" fillId="0" borderId="0" xfId="21" applyFont="1" applyAlignment="1">
      <alignment horizontal="center" vertical="center"/>
    </xf>
    <xf numFmtId="0" fontId="13" fillId="0" borderId="0" xfId="3" applyFont="1" applyAlignment="1">
      <alignment vertical="center" wrapText="1"/>
    </xf>
    <xf numFmtId="0" fontId="174" fillId="0" borderId="0" xfId="3" applyFont="1" applyAlignment="1">
      <alignment horizontal="center"/>
    </xf>
    <xf numFmtId="2" fontId="13" fillId="0" borderId="0" xfId="3" applyNumberFormat="1" applyFont="1" applyAlignment="1">
      <alignment vertical="center" wrapText="1"/>
    </xf>
    <xf numFmtId="167" fontId="40" fillId="0" borderId="0" xfId="3" applyNumberFormat="1" applyFont="1" applyAlignment="1">
      <alignment horizontal="center"/>
    </xf>
    <xf numFmtId="167" fontId="13" fillId="0" borderId="0" xfId="3" applyNumberFormat="1" applyFont="1" applyAlignment="1">
      <alignment vertical="center"/>
    </xf>
    <xf numFmtId="0" fontId="74" fillId="0" borderId="0" xfId="3" applyFont="1"/>
    <xf numFmtId="0" fontId="45" fillId="2" borderId="0" xfId="3" applyFont="1" applyFill="1"/>
    <xf numFmtId="0" fontId="40" fillId="0" borderId="76" xfId="3" applyFont="1" applyBorder="1"/>
    <xf numFmtId="2" fontId="40" fillId="0" borderId="38" xfId="3" applyNumberFormat="1" applyFont="1" applyBorder="1" applyAlignment="1">
      <alignment horizontal="centerContinuous"/>
    </xf>
    <xf numFmtId="166" fontId="128" fillId="0" borderId="38" xfId="3" applyNumberFormat="1" applyFont="1" applyBorder="1" applyAlignment="1">
      <alignment horizontal="right"/>
    </xf>
    <xf numFmtId="167" fontId="40" fillId="0" borderId="72" xfId="3" applyNumberFormat="1" applyFont="1" applyBorder="1" applyAlignment="1">
      <alignment horizontal="right"/>
    </xf>
    <xf numFmtId="166" fontId="40" fillId="0" borderId="0" xfId="3" applyNumberFormat="1" applyFont="1"/>
    <xf numFmtId="1" fontId="40" fillId="0" borderId="72" xfId="3" applyNumberFormat="1" applyFont="1" applyBorder="1" applyAlignment="1">
      <alignment horizontal="right"/>
    </xf>
    <xf numFmtId="0" fontId="174" fillId="2" borderId="0" xfId="3" applyFont="1" applyFill="1"/>
    <xf numFmtId="167" fontId="40" fillId="2" borderId="0" xfId="3" applyNumberFormat="1" applyFont="1" applyFill="1"/>
    <xf numFmtId="0" fontId="40" fillId="0" borderId="65" xfId="3" applyFont="1" applyBorder="1"/>
    <xf numFmtId="0" fontId="40" fillId="0" borderId="76" xfId="3" applyFont="1" applyBorder="1" applyAlignment="1">
      <alignment horizontal="left"/>
    </xf>
    <xf numFmtId="0" fontId="40" fillId="0" borderId="38" xfId="3" applyFont="1" applyBorder="1" applyAlignment="1">
      <alignment horizontal="left"/>
    </xf>
    <xf numFmtId="2" fontId="40" fillId="0" borderId="38" xfId="3" applyNumberFormat="1" applyFont="1" applyBorder="1" applyAlignment="1">
      <alignment horizontal="left"/>
    </xf>
    <xf numFmtId="166" fontId="128" fillId="0" borderId="38" xfId="3" applyNumberFormat="1" applyFont="1" applyBorder="1" applyAlignment="1">
      <alignment horizontal="left"/>
    </xf>
    <xf numFmtId="0" fontId="40" fillId="2" borderId="0" xfId="3" applyFont="1" applyFill="1"/>
    <xf numFmtId="0" fontId="128" fillId="2" borderId="0" xfId="3" applyFont="1" applyFill="1" applyProtection="1">
      <protection locked="0"/>
    </xf>
    <xf numFmtId="0" fontId="40" fillId="0" borderId="108" xfId="3" applyFont="1" applyBorder="1"/>
    <xf numFmtId="1" fontId="40" fillId="2" borderId="0" xfId="3" applyNumberFormat="1" applyFont="1" applyFill="1"/>
    <xf numFmtId="2" fontId="40" fillId="0" borderId="76" xfId="3" applyNumberFormat="1" applyFont="1" applyBorder="1" applyAlignment="1">
      <alignment horizontal="left"/>
    </xf>
    <xf numFmtId="166" fontId="175" fillId="2" borderId="0" xfId="3" applyNumberFormat="1" applyFont="1" applyFill="1"/>
    <xf numFmtId="1" fontId="175" fillId="2" borderId="0" xfId="3" applyNumberFormat="1" applyFont="1" applyFill="1"/>
    <xf numFmtId="0" fontId="40" fillId="0" borderId="109" xfId="3" applyFont="1" applyBorder="1"/>
    <xf numFmtId="1" fontId="26" fillId="0" borderId="21" xfId="3" applyNumberFormat="1" applyFont="1" applyBorder="1" applyAlignment="1">
      <alignment horizontal="centerContinuous" vertical="center"/>
    </xf>
    <xf numFmtId="0" fontId="40" fillId="0" borderId="29" xfId="3" applyFont="1" applyBorder="1"/>
    <xf numFmtId="0" fontId="59" fillId="0" borderId="0" xfId="3" applyFont="1" applyAlignment="1">
      <alignment horizontal="left"/>
    </xf>
    <xf numFmtId="1" fontId="40" fillId="0" borderId="0" xfId="3" applyNumberFormat="1" applyFont="1" applyAlignment="1">
      <alignment horizontal="centerContinuous"/>
    </xf>
    <xf numFmtId="2" fontId="131" fillId="0" borderId="0" xfId="3" applyNumberFormat="1" applyFont="1" applyAlignment="1">
      <alignment horizontal="right"/>
    </xf>
    <xf numFmtId="1" fontId="40" fillId="0" borderId="0" xfId="3" applyNumberFormat="1" applyFont="1" applyAlignment="1">
      <alignment horizontal="center" vertical="center" wrapText="1"/>
    </xf>
    <xf numFmtId="1" fontId="26" fillId="0" borderId="0" xfId="3" applyNumberFormat="1" applyFont="1" applyAlignment="1">
      <alignment horizontal="centerContinuous" vertical="center"/>
    </xf>
    <xf numFmtId="166" fontId="38" fillId="0" borderId="0" xfId="3" applyNumberFormat="1" applyFont="1" applyAlignment="1">
      <alignment horizontal="center" vertical="center"/>
    </xf>
    <xf numFmtId="2" fontId="40" fillId="0" borderId="0" xfId="3" applyNumberFormat="1" applyFont="1" applyAlignment="1">
      <alignment horizontal="right"/>
    </xf>
    <xf numFmtId="166" fontId="38" fillId="0" borderId="0" xfId="3" applyNumberFormat="1" applyFont="1" applyAlignment="1">
      <alignment horizontal="center"/>
    </xf>
    <xf numFmtId="166" fontId="26" fillId="0" borderId="0" xfId="3" applyNumberFormat="1" applyFont="1" applyAlignment="1">
      <alignment horizontal="center"/>
    </xf>
    <xf numFmtId="167" fontId="26" fillId="0" borderId="0" xfId="3" applyNumberFormat="1" applyFont="1" applyAlignment="1">
      <alignment horizontal="center"/>
    </xf>
    <xf numFmtId="0" fontId="12" fillId="0" borderId="28" xfId="20" applyFont="1" applyBorder="1" applyAlignment="1">
      <alignment vertical="center"/>
    </xf>
    <xf numFmtId="0" fontId="12" fillId="0" borderId="28" xfId="20" applyFont="1" applyBorder="1"/>
    <xf numFmtId="0" fontId="40" fillId="0" borderId="28" xfId="3" applyFont="1" applyBorder="1" applyAlignment="1">
      <alignment vertical="center"/>
    </xf>
    <xf numFmtId="2" fontId="40" fillId="0" borderId="0" xfId="3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0" fontId="13" fillId="0" borderId="6" xfId="21" applyFont="1" applyBorder="1" applyAlignment="1">
      <alignment horizontal="center" vertical="center"/>
    </xf>
    <xf numFmtId="0" fontId="51" fillId="0" borderId="0" xfId="11" applyFont="1" applyAlignment="1">
      <alignment horizontal="left" vertical="center"/>
    </xf>
    <xf numFmtId="167" fontId="3" fillId="0" borderId="0" xfId="22" applyNumberFormat="1"/>
    <xf numFmtId="167" fontId="3" fillId="0" borderId="0" xfId="22" applyNumberFormat="1" applyAlignment="1">
      <alignment horizontal="center"/>
    </xf>
    <xf numFmtId="0" fontId="3" fillId="0" borderId="30" xfId="22" applyBorder="1" applyAlignment="1">
      <alignment horizontal="center" vertical="center"/>
    </xf>
    <xf numFmtId="0" fontId="3" fillId="0" borderId="0" xfId="22"/>
    <xf numFmtId="0" fontId="3" fillId="0" borderId="0" xfId="22" applyAlignment="1">
      <alignment horizontal="center"/>
    </xf>
    <xf numFmtId="0" fontId="3" fillId="0" borderId="113" xfId="22" applyBorder="1"/>
    <xf numFmtId="0" fontId="3" fillId="0" borderId="114" xfId="22" applyBorder="1"/>
    <xf numFmtId="0" fontId="3" fillId="0" borderId="115" xfId="22" applyBorder="1"/>
    <xf numFmtId="0" fontId="3" fillId="0" borderId="116" xfId="22" applyBorder="1"/>
    <xf numFmtId="0" fontId="3" fillId="0" borderId="15" xfId="22" applyBorder="1"/>
    <xf numFmtId="0" fontId="3" fillId="0" borderId="26" xfId="22" applyBorder="1"/>
    <xf numFmtId="0" fontId="3" fillId="0" borderId="27" xfId="22" applyBorder="1"/>
    <xf numFmtId="0" fontId="3" fillId="0" borderId="117" xfId="22" applyBorder="1"/>
    <xf numFmtId="0" fontId="3" fillId="0" borderId="16" xfId="22" applyBorder="1"/>
    <xf numFmtId="0" fontId="187" fillId="0" borderId="0" xfId="22" applyFont="1"/>
    <xf numFmtId="0" fontId="3" fillId="0" borderId="28" xfId="22" applyBorder="1"/>
    <xf numFmtId="0" fontId="181" fillId="0" borderId="21" xfId="22" applyFont="1" applyBorder="1"/>
    <xf numFmtId="2" fontId="184" fillId="0" borderId="0" xfId="22" applyNumberFormat="1" applyFont="1" applyAlignment="1">
      <alignment horizontal="center"/>
    </xf>
    <xf numFmtId="0" fontId="181" fillId="0" borderId="0" xfId="22" applyFont="1"/>
    <xf numFmtId="0" fontId="188" fillId="0" borderId="0" xfId="22" applyFont="1" applyAlignment="1">
      <alignment vertical="center"/>
    </xf>
    <xf numFmtId="0" fontId="187" fillId="0" borderId="28" xfId="22" applyFont="1" applyBorder="1"/>
    <xf numFmtId="0" fontId="3" fillId="0" borderId="0" xfId="22" applyAlignment="1">
      <alignment horizontal="right"/>
    </xf>
    <xf numFmtId="166" fontId="3" fillId="0" borderId="0" xfId="22" applyNumberFormat="1" applyAlignment="1">
      <alignment horizontal="center"/>
    </xf>
    <xf numFmtId="2" fontId="3" fillId="0" borderId="0" xfId="22" applyNumberFormat="1" applyAlignment="1">
      <alignment horizontal="center"/>
    </xf>
    <xf numFmtId="167" fontId="3" fillId="0" borderId="0" xfId="22" quotePrefix="1" applyNumberFormat="1" applyAlignment="1">
      <alignment horizontal="center"/>
    </xf>
    <xf numFmtId="1" fontId="3" fillId="0" borderId="0" xfId="22" quotePrefix="1" applyNumberFormat="1" applyAlignment="1">
      <alignment horizontal="center"/>
    </xf>
    <xf numFmtId="166" fontId="186" fillId="0" borderId="0" xfId="22" applyNumberFormat="1" applyFont="1" applyAlignment="1">
      <alignment horizontal="center"/>
    </xf>
    <xf numFmtId="0" fontId="3" fillId="0" borderId="0" xfId="22" quotePrefix="1" applyAlignment="1">
      <alignment horizontal="center"/>
    </xf>
    <xf numFmtId="166" fontId="181" fillId="0" borderId="0" xfId="22" applyNumberFormat="1" applyFont="1" applyAlignment="1">
      <alignment horizontal="center"/>
    </xf>
    <xf numFmtId="0" fontId="181" fillId="0" borderId="0" xfId="22" applyFont="1" applyAlignment="1">
      <alignment horizontal="center"/>
    </xf>
    <xf numFmtId="0" fontId="3" fillId="0" borderId="0" xfId="22" applyAlignment="1">
      <alignment horizontal="left"/>
    </xf>
    <xf numFmtId="0" fontId="180" fillId="0" borderId="0" xfId="22" applyFont="1" applyAlignment="1">
      <alignment horizontal="center"/>
    </xf>
    <xf numFmtId="0" fontId="23" fillId="0" borderId="6" xfId="22" applyFont="1" applyBorder="1" applyAlignment="1">
      <alignment horizontal="right" vertical="center"/>
    </xf>
    <xf numFmtId="0" fontId="180" fillId="0" borderId="7" xfId="22" applyFont="1" applyBorder="1" applyAlignment="1">
      <alignment horizontal="center" vertical="center"/>
    </xf>
    <xf numFmtId="0" fontId="3" fillId="0" borderId="30" xfId="22" applyBorder="1" applyAlignment="1">
      <alignment vertical="center"/>
    </xf>
    <xf numFmtId="0" fontId="180" fillId="0" borderId="28" xfId="22" applyFont="1" applyBorder="1" applyAlignment="1">
      <alignment horizontal="center"/>
    </xf>
    <xf numFmtId="0" fontId="180" fillId="0" borderId="0" xfId="22" applyFont="1" applyAlignment="1">
      <alignment horizontal="center" vertical="center"/>
    </xf>
    <xf numFmtId="0" fontId="193" fillId="0" borderId="6" xfId="22" applyFont="1" applyBorder="1" applyAlignment="1">
      <alignment horizontal="right" vertical="center"/>
    </xf>
    <xf numFmtId="0" fontId="3" fillId="0" borderId="16" xfId="22" applyBorder="1" applyAlignment="1">
      <alignment horizontal="left"/>
    </xf>
    <xf numFmtId="0" fontId="182" fillId="0" borderId="0" xfId="22" applyFont="1" applyAlignment="1">
      <alignment horizontal="center" vertical="center"/>
    </xf>
    <xf numFmtId="0" fontId="182" fillId="0" borderId="0" xfId="22" applyFont="1" applyAlignment="1">
      <alignment vertical="center"/>
    </xf>
    <xf numFmtId="0" fontId="3" fillId="0" borderId="0" xfId="22" applyAlignment="1">
      <alignment vertical="center"/>
    </xf>
    <xf numFmtId="0" fontId="3" fillId="0" borderId="28" xfId="22" applyBorder="1" applyAlignment="1">
      <alignment horizontal="left"/>
    </xf>
    <xf numFmtId="0" fontId="182" fillId="0" borderId="0" xfId="22" applyFont="1"/>
    <xf numFmtId="0" fontId="194" fillId="0" borderId="6" xfId="22" applyFont="1" applyBorder="1" applyAlignment="1">
      <alignment horizontal="right" vertical="center"/>
    </xf>
    <xf numFmtId="167" fontId="3" fillId="0" borderId="7" xfId="22" applyNumberFormat="1" applyBorder="1" applyAlignment="1">
      <alignment horizontal="center" vertical="center"/>
    </xf>
    <xf numFmtId="0" fontId="3" fillId="0" borderId="0" xfId="22" applyAlignment="1">
      <alignment vertical="top"/>
    </xf>
    <xf numFmtId="166" fontId="186" fillId="0" borderId="0" xfId="22" applyNumberFormat="1" applyFont="1" applyAlignment="1">
      <alignment vertical="top"/>
    </xf>
    <xf numFmtId="0" fontId="3" fillId="0" borderId="6" xfId="22" applyBorder="1" applyAlignment="1">
      <alignment vertical="center"/>
    </xf>
    <xf numFmtId="0" fontId="3" fillId="0" borderId="7" xfId="22" applyBorder="1" applyAlignment="1">
      <alignment vertical="center"/>
    </xf>
    <xf numFmtId="0" fontId="3" fillId="0" borderId="16" xfId="22" applyBorder="1" applyAlignment="1">
      <alignment horizontal="center"/>
    </xf>
    <xf numFmtId="0" fontId="3" fillId="0" borderId="28" xfId="22" applyBorder="1" applyAlignment="1">
      <alignment horizontal="center"/>
    </xf>
    <xf numFmtId="166" fontId="187" fillId="0" borderId="7" xfId="22" applyNumberFormat="1" applyFont="1" applyBorder="1" applyAlignment="1">
      <alignment horizontal="center" vertical="center"/>
    </xf>
    <xf numFmtId="0" fontId="3" fillId="0" borderId="30" xfId="22" applyBorder="1" applyAlignment="1">
      <alignment horizontal="left" vertical="center"/>
    </xf>
    <xf numFmtId="166" fontId="187" fillId="0" borderId="0" xfId="22" applyNumberFormat="1" applyFont="1" applyAlignment="1">
      <alignment horizontal="center"/>
    </xf>
    <xf numFmtId="166" fontId="187" fillId="0" borderId="28" xfId="22" applyNumberFormat="1" applyFont="1" applyBorder="1" applyAlignment="1">
      <alignment horizontal="center"/>
    </xf>
    <xf numFmtId="166" fontId="187" fillId="0" borderId="0" xfId="22" applyNumberFormat="1" applyFont="1" applyAlignment="1">
      <alignment horizontal="center" vertical="center"/>
    </xf>
    <xf numFmtId="2" fontId="187" fillId="0" borderId="0" xfId="22" applyNumberFormat="1" applyFont="1" applyAlignment="1">
      <alignment horizontal="center" vertical="center"/>
    </xf>
    <xf numFmtId="2" fontId="200" fillId="55" borderId="7" xfId="22" applyNumberFormat="1" applyFont="1" applyFill="1" applyBorder="1" applyAlignment="1">
      <alignment horizontal="center" vertical="center"/>
    </xf>
    <xf numFmtId="0" fontId="201" fillId="0" borderId="30" xfId="22" applyFont="1" applyBorder="1" applyAlignment="1">
      <alignment horizontal="left" vertical="center"/>
    </xf>
    <xf numFmtId="2" fontId="200" fillId="0" borderId="7" xfId="22" applyNumberFormat="1" applyFont="1" applyBorder="1" applyAlignment="1">
      <alignment horizontal="center" vertical="center"/>
    </xf>
    <xf numFmtId="2" fontId="200" fillId="0" borderId="0" xfId="22" applyNumberFormat="1" applyFont="1" applyAlignment="1">
      <alignment horizontal="center"/>
    </xf>
    <xf numFmtId="2" fontId="200" fillId="0" borderId="28" xfId="22" applyNumberFormat="1" applyFont="1" applyBorder="1" applyAlignment="1">
      <alignment horizontal="center"/>
    </xf>
    <xf numFmtId="2" fontId="3" fillId="0" borderId="16" xfId="22" applyNumberFormat="1" applyBorder="1" applyAlignment="1">
      <alignment horizontal="center"/>
    </xf>
    <xf numFmtId="2" fontId="200" fillId="0" borderId="0" xfId="22" applyNumberFormat="1" applyFont="1" applyAlignment="1">
      <alignment horizontal="center" vertical="center"/>
    </xf>
    <xf numFmtId="0" fontId="3" fillId="0" borderId="118" xfId="22" applyBorder="1"/>
    <xf numFmtId="0" fontId="181" fillId="0" borderId="0" xfId="22" applyFont="1" applyAlignment="1">
      <alignment horizontal="center" vertical="center"/>
    </xf>
    <xf numFmtId="0" fontId="201" fillId="0" borderId="0" xfId="22" applyFont="1" applyAlignment="1">
      <alignment horizontal="left" vertical="center"/>
    </xf>
    <xf numFmtId="0" fontId="3" fillId="0" borderId="9" xfId="22" applyBorder="1"/>
    <xf numFmtId="2" fontId="202" fillId="0" borderId="0" xfId="22" applyNumberFormat="1" applyFont="1" applyAlignment="1">
      <alignment horizontal="right" vertical="center"/>
    </xf>
    <xf numFmtId="2" fontId="203" fillId="0" borderId="0" xfId="22" applyNumberFormat="1" applyFont="1" applyAlignment="1">
      <alignment horizontal="center" vertical="center"/>
    </xf>
    <xf numFmtId="2" fontId="202" fillId="0" borderId="0" xfId="22" applyNumberFormat="1" applyFont="1" applyAlignment="1">
      <alignment horizontal="center" vertical="center"/>
    </xf>
    <xf numFmtId="166" fontId="203" fillId="0" borderId="0" xfId="22" applyNumberFormat="1" applyFont="1" applyAlignment="1">
      <alignment horizontal="center" vertical="center"/>
    </xf>
    <xf numFmtId="0" fontId="202" fillId="0" borderId="0" xfId="22" applyFont="1" applyAlignment="1">
      <alignment horizontal="right" vertical="center"/>
    </xf>
    <xf numFmtId="0" fontId="203" fillId="0" borderId="0" xfId="22" applyFont="1" applyAlignment="1">
      <alignment vertical="center"/>
    </xf>
    <xf numFmtId="0" fontId="202" fillId="0" borderId="0" xfId="22" applyFont="1" applyAlignment="1">
      <alignment vertical="center"/>
    </xf>
    <xf numFmtId="2" fontId="3" fillId="0" borderId="28" xfId="22" applyNumberFormat="1" applyBorder="1" applyAlignment="1">
      <alignment horizontal="center"/>
    </xf>
    <xf numFmtId="0" fontId="181" fillId="0" borderId="26" xfId="22" applyFont="1" applyBorder="1" applyAlignment="1">
      <alignment horizontal="center" vertical="center"/>
    </xf>
    <xf numFmtId="2" fontId="200" fillId="0" borderId="26" xfId="22" applyNumberFormat="1" applyFont="1" applyBorder="1" applyAlignment="1">
      <alignment horizontal="center" vertical="center"/>
    </xf>
    <xf numFmtId="0" fontId="201" fillId="0" borderId="26" xfId="22" applyFont="1" applyBorder="1" applyAlignment="1">
      <alignment horizontal="left" vertical="center"/>
    </xf>
    <xf numFmtId="2" fontId="200" fillId="0" borderId="26" xfId="22" applyNumberFormat="1" applyFont="1" applyBorder="1" applyAlignment="1">
      <alignment horizontal="center"/>
    </xf>
    <xf numFmtId="1" fontId="204" fillId="0" borderId="30" xfId="22" applyNumberFormat="1" applyFont="1" applyBorder="1" applyAlignment="1">
      <alignment horizontal="center" vertical="center"/>
    </xf>
    <xf numFmtId="2" fontId="181" fillId="0" borderId="26" xfId="22" applyNumberFormat="1" applyFont="1" applyBorder="1" applyAlignment="1">
      <alignment horizontal="center"/>
    </xf>
    <xf numFmtId="0" fontId="187" fillId="0" borderId="26" xfId="22" applyFont="1" applyBorder="1" applyAlignment="1">
      <alignment horizontal="right" vertical="center"/>
    </xf>
    <xf numFmtId="2" fontId="183" fillId="6" borderId="26" xfId="22" applyNumberFormat="1" applyFont="1" applyFill="1" applyBorder="1" applyAlignment="1">
      <alignment horizontal="center" vertical="center"/>
    </xf>
    <xf numFmtId="166" fontId="187" fillId="0" borderId="26" xfId="22" applyNumberFormat="1" applyFont="1" applyBorder="1" applyAlignment="1">
      <alignment horizontal="center" vertical="center"/>
    </xf>
    <xf numFmtId="0" fontId="181" fillId="0" borderId="26" xfId="22" applyFont="1" applyBorder="1" applyAlignment="1">
      <alignment vertical="center"/>
    </xf>
    <xf numFmtId="2" fontId="202" fillId="0" borderId="26" xfId="22" applyNumberFormat="1" applyFont="1" applyBorder="1" applyAlignment="1">
      <alignment horizontal="center" vertical="center"/>
    </xf>
    <xf numFmtId="166" fontId="203" fillId="0" borderId="26" xfId="22" applyNumberFormat="1" applyFont="1" applyBorder="1" applyAlignment="1">
      <alignment horizontal="center" vertical="center"/>
    </xf>
    <xf numFmtId="0" fontId="202" fillId="0" borderId="26" xfId="22" applyFont="1" applyBorder="1" applyAlignment="1">
      <alignment horizontal="right" vertical="center"/>
    </xf>
    <xf numFmtId="0" fontId="203" fillId="0" borderId="26" xfId="22" applyFont="1" applyBorder="1" applyAlignment="1">
      <alignment vertical="center"/>
    </xf>
    <xf numFmtId="0" fontId="202" fillId="0" borderId="26" xfId="22" applyFont="1" applyBorder="1" applyAlignment="1">
      <alignment vertical="center"/>
    </xf>
    <xf numFmtId="2" fontId="3" fillId="0" borderId="26" xfId="22" applyNumberFormat="1" applyBorder="1" applyAlignment="1">
      <alignment horizontal="center"/>
    </xf>
    <xf numFmtId="0" fontId="201" fillId="0" borderId="0" xfId="22" applyFont="1" applyAlignment="1">
      <alignment vertical="center"/>
    </xf>
    <xf numFmtId="0" fontId="3" fillId="0" borderId="13" xfId="22" applyBorder="1"/>
    <xf numFmtId="2" fontId="203" fillId="0" borderId="21" xfId="22" applyNumberFormat="1" applyFont="1" applyBorder="1" applyAlignment="1">
      <alignment vertical="center"/>
    </xf>
    <xf numFmtId="2" fontId="203" fillId="0" borderId="21" xfId="22" applyNumberFormat="1" applyFont="1" applyBorder="1" applyAlignment="1">
      <alignment horizontal="right" vertical="center"/>
    </xf>
    <xf numFmtId="0" fontId="203" fillId="0" borderId="0" xfId="22" applyFont="1" applyAlignment="1">
      <alignment horizontal="right" vertical="center"/>
    </xf>
    <xf numFmtId="2" fontId="206" fillId="0" borderId="0" xfId="22" applyNumberFormat="1" applyFont="1" applyAlignment="1">
      <alignment vertical="center"/>
    </xf>
    <xf numFmtId="0" fontId="3" fillId="0" borderId="119" xfId="22" applyBorder="1"/>
    <xf numFmtId="0" fontId="3" fillId="0" borderId="120" xfId="22" applyBorder="1"/>
    <xf numFmtId="1" fontId="3" fillId="0" borderId="120" xfId="22" applyNumberFormat="1" applyBorder="1" applyAlignment="1">
      <alignment horizontal="center"/>
    </xf>
    <xf numFmtId="0" fontId="3" fillId="0" borderId="121" xfId="22" applyBorder="1"/>
    <xf numFmtId="0" fontId="40" fillId="0" borderId="0" xfId="22" applyFont="1" applyAlignment="1" applyProtection="1">
      <alignment horizontal="center" vertical="center" textRotation="90"/>
      <protection locked="0"/>
    </xf>
    <xf numFmtId="0" fontId="40" fillId="0" borderId="16" xfId="22" applyFont="1" applyBorder="1" applyAlignment="1" applyProtection="1">
      <alignment horizontal="center" vertical="center" textRotation="90"/>
      <protection locked="0"/>
    </xf>
    <xf numFmtId="0" fontId="40" fillId="0" borderId="16" xfId="22" applyFont="1" applyBorder="1" applyAlignment="1" applyProtection="1">
      <alignment horizontal="center" vertical="center"/>
      <protection locked="0"/>
    </xf>
    <xf numFmtId="0" fontId="40" fillId="0" borderId="0" xfId="22" applyFont="1" applyAlignment="1" applyProtection="1">
      <alignment horizontal="center" vertical="center"/>
      <protection locked="0"/>
    </xf>
    <xf numFmtId="0" fontId="11" fillId="0" borderId="15" xfId="22" applyFont="1" applyBorder="1" applyProtection="1">
      <protection locked="0"/>
    </xf>
    <xf numFmtId="0" fontId="11" fillId="0" borderId="26" xfId="22" applyFont="1" applyBorder="1" applyProtection="1">
      <protection locked="0"/>
    </xf>
    <xf numFmtId="0" fontId="11" fillId="0" borderId="27" xfId="22" applyFont="1" applyBorder="1" applyProtection="1">
      <protection locked="0"/>
    </xf>
    <xf numFmtId="0" fontId="11" fillId="0" borderId="0" xfId="22" applyFont="1" applyProtection="1">
      <protection locked="0"/>
    </xf>
    <xf numFmtId="0" fontId="11" fillId="0" borderId="16" xfId="22" applyFont="1" applyBorder="1" applyProtection="1">
      <protection locked="0"/>
    </xf>
    <xf numFmtId="0" fontId="11" fillId="0" borderId="28" xfId="22" applyFont="1" applyBorder="1" applyProtection="1">
      <protection locked="0"/>
    </xf>
    <xf numFmtId="0" fontId="11" fillId="0" borderId="13" xfId="22" applyFont="1" applyBorder="1" applyProtection="1">
      <protection locked="0"/>
    </xf>
    <xf numFmtId="0" fontId="11" fillId="0" borderId="21" xfId="22" applyFont="1" applyBorder="1" applyProtection="1">
      <protection locked="0"/>
    </xf>
    <xf numFmtId="0" fontId="11" fillId="0" borderId="29" xfId="22" applyFont="1" applyBorder="1" applyProtection="1">
      <protection locked="0"/>
    </xf>
    <xf numFmtId="0" fontId="11" fillId="0" borderId="15" xfId="22" applyFont="1" applyBorder="1" applyAlignment="1" applyProtection="1">
      <alignment vertical="center"/>
      <protection locked="0"/>
    </xf>
    <xf numFmtId="0" fontId="11" fillId="0" borderId="26" xfId="22" applyFont="1" applyBorder="1" applyAlignment="1" applyProtection="1">
      <alignment vertical="center"/>
      <protection locked="0"/>
    </xf>
    <xf numFmtId="0" fontId="11" fillId="0" borderId="27" xfId="22" applyFont="1" applyBorder="1" applyAlignment="1" applyProtection="1">
      <alignment vertical="center"/>
      <protection locked="0"/>
    </xf>
    <xf numFmtId="0" fontId="11" fillId="0" borderId="14" xfId="22" applyFont="1" applyBorder="1" applyAlignment="1" applyProtection="1">
      <alignment horizontal="center" vertical="center"/>
      <protection locked="0"/>
    </xf>
    <xf numFmtId="0" fontId="11" fillId="0" borderId="16" xfId="22" applyFont="1" applyBorder="1" applyAlignment="1" applyProtection="1">
      <alignment vertical="center"/>
      <protection locked="0"/>
    </xf>
    <xf numFmtId="0" fontId="11" fillId="0" borderId="0" xfId="22" applyFont="1" applyAlignment="1" applyProtection="1">
      <alignment vertical="center"/>
      <protection locked="0"/>
    </xf>
    <xf numFmtId="49" fontId="11" fillId="0" borderId="0" xfId="22" applyNumberFormat="1" applyFont="1" applyAlignment="1" applyProtection="1">
      <alignment vertical="center"/>
      <protection locked="0"/>
    </xf>
    <xf numFmtId="0" fontId="11" fillId="0" borderId="28" xfId="22" applyFont="1" applyBorder="1" applyAlignment="1" applyProtection="1">
      <alignment vertical="center"/>
      <protection locked="0"/>
    </xf>
    <xf numFmtId="0" fontId="11" fillId="0" borderId="12" xfId="22" applyFont="1" applyBorder="1" applyAlignment="1" applyProtection="1">
      <alignment horizontal="center" vertical="center"/>
      <protection locked="0"/>
    </xf>
    <xf numFmtId="0" fontId="11" fillId="0" borderId="45" xfId="22" applyFont="1" applyBorder="1" applyAlignment="1" applyProtection="1">
      <alignment horizontal="center" vertical="center"/>
      <protection locked="0"/>
    </xf>
    <xf numFmtId="2" fontId="11" fillId="0" borderId="45" xfId="22" applyNumberFormat="1" applyFont="1" applyBorder="1" applyAlignment="1" applyProtection="1">
      <alignment horizontal="center" vertical="center"/>
      <protection locked="0"/>
    </xf>
    <xf numFmtId="2" fontId="11" fillId="0" borderId="45" xfId="22" applyNumberFormat="1" applyFont="1" applyBorder="1" applyAlignment="1">
      <alignment horizontal="center" vertical="center"/>
    </xf>
    <xf numFmtId="0" fontId="11" fillId="0" borderId="37" xfId="22" applyFont="1" applyBorder="1" applyAlignment="1" applyProtection="1">
      <alignment horizontal="center" vertical="center"/>
      <protection locked="0"/>
    </xf>
    <xf numFmtId="2" fontId="11" fillId="0" borderId="37" xfId="22" applyNumberFormat="1" applyFont="1" applyBorder="1" applyAlignment="1" applyProtection="1">
      <alignment horizontal="center" vertical="center"/>
      <protection locked="0"/>
    </xf>
    <xf numFmtId="2" fontId="11" fillId="0" borderId="37" xfId="22" applyNumberFormat="1" applyFont="1" applyBorder="1" applyAlignment="1">
      <alignment horizontal="center" vertical="center"/>
    </xf>
    <xf numFmtId="0" fontId="11" fillId="3" borderId="37" xfId="22" applyFont="1" applyFill="1" applyBorder="1" applyAlignment="1" applyProtection="1">
      <alignment horizontal="center" vertical="center"/>
      <protection locked="0"/>
    </xf>
    <xf numFmtId="2" fontId="11" fillId="3" borderId="37" xfId="22" applyNumberFormat="1" applyFont="1" applyFill="1" applyBorder="1" applyAlignment="1" applyProtection="1">
      <alignment horizontal="center" vertical="center"/>
      <protection locked="0"/>
    </xf>
    <xf numFmtId="2" fontId="11" fillId="3" borderId="37" xfId="22" applyNumberFormat="1" applyFont="1" applyFill="1" applyBorder="1" applyAlignment="1">
      <alignment horizontal="center" vertical="center"/>
    </xf>
    <xf numFmtId="0" fontId="11" fillId="0" borderId="0" xfId="22" applyFont="1" applyAlignment="1" applyProtection="1">
      <alignment horizontal="left" vertical="center"/>
      <protection locked="0"/>
    </xf>
    <xf numFmtId="0" fontId="153" fillId="0" borderId="0" xfId="22" applyFont="1" applyAlignment="1" applyProtection="1">
      <alignment vertical="center"/>
      <protection locked="0"/>
    </xf>
    <xf numFmtId="0" fontId="11" fillId="0" borderId="41" xfId="22" applyFont="1" applyBorder="1" applyAlignment="1" applyProtection="1">
      <alignment vertical="center"/>
      <protection locked="0"/>
    </xf>
    <xf numFmtId="0" fontId="11" fillId="0" borderId="44" xfId="22" applyFont="1" applyBorder="1" applyAlignment="1" applyProtection="1">
      <alignment vertical="center"/>
      <protection locked="0"/>
    </xf>
    <xf numFmtId="0" fontId="11" fillId="0" borderId="44" xfId="22" applyFont="1" applyBorder="1" applyAlignment="1" applyProtection="1">
      <alignment horizontal="center" vertical="center"/>
      <protection locked="0"/>
    </xf>
    <xf numFmtId="0" fontId="11" fillId="0" borderId="43" xfId="22" applyFont="1" applyBorder="1" applyAlignment="1" applyProtection="1">
      <alignment horizontal="center" vertical="center"/>
      <protection locked="0"/>
    </xf>
    <xf numFmtId="0" fontId="11" fillId="0" borderId="30" xfId="22" applyFont="1" applyBorder="1" applyAlignment="1" applyProtection="1">
      <alignment horizontal="center" vertical="center"/>
      <protection locked="0"/>
    </xf>
    <xf numFmtId="0" fontId="11" fillId="0" borderId="7" xfId="22" applyFont="1" applyBorder="1" applyAlignment="1" applyProtection="1">
      <alignment horizontal="center" vertical="center"/>
      <protection locked="0"/>
    </xf>
    <xf numFmtId="0" fontId="11" fillId="0" borderId="40" xfId="22" applyFont="1" applyBorder="1" applyAlignment="1" applyProtection="1">
      <alignment vertical="center"/>
      <protection locked="0"/>
    </xf>
    <xf numFmtId="0" fontId="11" fillId="0" borderId="38" xfId="22" applyFont="1" applyBorder="1" applyAlignment="1" applyProtection="1">
      <alignment vertical="center"/>
      <protection locked="0"/>
    </xf>
    <xf numFmtId="0" fontId="11" fillId="0" borderId="38" xfId="22" applyFont="1" applyBorder="1" applyAlignment="1" applyProtection="1">
      <alignment horizontal="center" vertical="center"/>
      <protection locked="0"/>
    </xf>
    <xf numFmtId="0" fontId="11" fillId="0" borderId="35" xfId="22" applyFont="1" applyBorder="1" applyAlignment="1" applyProtection="1">
      <alignment horizontal="center" vertical="center"/>
      <protection locked="0"/>
    </xf>
    <xf numFmtId="0" fontId="11" fillId="0" borderId="46" xfId="22" applyFont="1" applyBorder="1" applyAlignment="1" applyProtection="1">
      <alignment vertical="center"/>
      <protection locked="0"/>
    </xf>
    <xf numFmtId="0" fontId="11" fillId="0" borderId="47" xfId="22" applyFont="1" applyBorder="1" applyAlignment="1" applyProtection="1">
      <alignment vertical="center"/>
      <protection locked="0"/>
    </xf>
    <xf numFmtId="0" fontId="11" fillId="0" borderId="47" xfId="22" applyFont="1" applyBorder="1" applyAlignment="1" applyProtection="1">
      <alignment horizontal="center" vertical="center"/>
      <protection locked="0"/>
    </xf>
    <xf numFmtId="0" fontId="11" fillId="0" borderId="31" xfId="22" applyFont="1" applyBorder="1" applyAlignment="1" applyProtection="1">
      <alignment horizontal="center" vertical="center"/>
      <protection locked="0"/>
    </xf>
    <xf numFmtId="0" fontId="11" fillId="0" borderId="11" xfId="22" applyFont="1" applyBorder="1" applyAlignment="1" applyProtection="1">
      <alignment vertical="center"/>
      <protection locked="0"/>
    </xf>
    <xf numFmtId="0" fontId="11" fillId="0" borderId="30" xfId="22" applyFont="1" applyBorder="1" applyAlignment="1" applyProtection="1">
      <alignment vertical="center"/>
      <protection locked="0"/>
    </xf>
    <xf numFmtId="0" fontId="11" fillId="0" borderId="32" xfId="22" applyFont="1" applyBorder="1" applyAlignment="1" applyProtection="1">
      <alignment horizontal="center" vertical="center"/>
      <protection locked="0"/>
    </xf>
    <xf numFmtId="2" fontId="11" fillId="0" borderId="32" xfId="22" applyNumberFormat="1" applyFont="1" applyBorder="1" applyAlignment="1" applyProtection="1">
      <alignment horizontal="center" vertical="center"/>
      <protection locked="0"/>
    </xf>
    <xf numFmtId="2" fontId="11" fillId="0" borderId="32" xfId="22" applyNumberFormat="1" applyFont="1" applyBorder="1" applyAlignment="1">
      <alignment horizontal="center" vertical="center"/>
    </xf>
    <xf numFmtId="0" fontId="11" fillId="0" borderId="35" xfId="22" applyFont="1" applyBorder="1" applyAlignment="1" applyProtection="1">
      <alignment vertical="center"/>
      <protection locked="0"/>
    </xf>
    <xf numFmtId="0" fontId="11" fillId="0" borderId="6" xfId="22" applyFont="1" applyBorder="1" applyAlignment="1" applyProtection="1">
      <alignment horizontal="center" vertical="center"/>
      <protection locked="0"/>
    </xf>
    <xf numFmtId="2" fontId="11" fillId="0" borderId="6" xfId="22" applyNumberFormat="1" applyFont="1" applyBorder="1" applyAlignment="1">
      <alignment horizontal="center" vertical="center"/>
    </xf>
    <xf numFmtId="2" fontId="11" fillId="0" borderId="0" xfId="22" applyNumberFormat="1" applyFont="1" applyProtection="1">
      <protection locked="0"/>
    </xf>
    <xf numFmtId="0" fontId="11" fillId="0" borderId="0" xfId="22" applyFont="1" applyAlignment="1" applyProtection="1">
      <alignment horizontal="center" vertical="center"/>
      <protection locked="0"/>
    </xf>
    <xf numFmtId="2" fontId="11" fillId="0" borderId="0" xfId="22" applyNumberFormat="1" applyFont="1" applyAlignment="1" applyProtection="1">
      <alignment vertical="center"/>
      <protection locked="0"/>
    </xf>
    <xf numFmtId="0" fontId="16" fillId="0" borderId="0" xfId="22" applyFont="1" applyAlignment="1" applyProtection="1">
      <alignment vertical="center"/>
      <protection locked="0"/>
    </xf>
    <xf numFmtId="0" fontId="11" fillId="0" borderId="0" xfId="22" applyFont="1" applyAlignment="1" applyProtection="1">
      <alignment vertical="center" wrapText="1"/>
      <protection locked="0"/>
    </xf>
    <xf numFmtId="0" fontId="11" fillId="0" borderId="13" xfId="22" applyFont="1" applyBorder="1" applyAlignment="1" applyProtection="1">
      <alignment horizontal="center" vertical="center"/>
      <protection locked="0"/>
    </xf>
    <xf numFmtId="0" fontId="11" fillId="0" borderId="21" xfId="22" applyFont="1" applyBorder="1" applyAlignment="1" applyProtection="1">
      <alignment horizontal="center" vertical="center"/>
      <protection locked="0"/>
    </xf>
    <xf numFmtId="2" fontId="11" fillId="0" borderId="0" xfId="22" applyNumberFormat="1" applyFont="1" applyAlignment="1">
      <alignment horizontal="center" vertical="center"/>
    </xf>
    <xf numFmtId="167" fontId="11" fillId="0" borderId="0" xfId="22" applyNumberFormat="1" applyFont="1"/>
    <xf numFmtId="0" fontId="11" fillId="0" borderId="13" xfId="22" applyFont="1" applyBorder="1" applyAlignment="1" applyProtection="1">
      <alignment vertical="center"/>
      <protection locked="0"/>
    </xf>
    <xf numFmtId="0" fontId="11" fillId="0" borderId="21" xfId="22" applyFont="1" applyBorder="1" applyAlignment="1" applyProtection="1">
      <alignment vertical="center"/>
      <protection locked="0"/>
    </xf>
    <xf numFmtId="0" fontId="11" fillId="0" borderId="29" xfId="22" applyFont="1" applyBorder="1" applyAlignment="1" applyProtection="1">
      <alignment vertical="center"/>
      <protection locked="0"/>
    </xf>
    <xf numFmtId="167" fontId="11" fillId="0" borderId="0" xfId="22" applyNumberFormat="1" applyFont="1" applyAlignment="1">
      <alignment vertical="center"/>
    </xf>
    <xf numFmtId="0" fontId="40" fillId="0" borderId="16" xfId="22" applyFont="1" applyBorder="1" applyAlignment="1" applyProtection="1">
      <alignment textRotation="90"/>
      <protection locked="0"/>
    </xf>
    <xf numFmtId="0" fontId="40" fillId="0" borderId="0" xfId="22" applyFont="1" applyAlignment="1" applyProtection="1">
      <alignment textRotation="90"/>
      <protection locked="0"/>
    </xf>
    <xf numFmtId="0" fontId="128" fillId="0" borderId="15" xfId="22" applyFont="1" applyBorder="1" applyAlignment="1" applyProtection="1">
      <alignment horizontal="center"/>
      <protection locked="0"/>
    </xf>
    <xf numFmtId="0" fontId="128" fillId="0" borderId="9" xfId="22" applyFont="1" applyBorder="1" applyAlignment="1" applyProtection="1">
      <alignment horizontal="center"/>
      <protection locked="0"/>
    </xf>
    <xf numFmtId="0" fontId="40" fillId="0" borderId="110" xfId="22" applyFont="1" applyBorder="1" applyAlignment="1">
      <alignment horizontal="center"/>
    </xf>
    <xf numFmtId="0" fontId="11" fillId="0" borderId="32" xfId="22" applyFont="1" applyBorder="1" applyAlignment="1">
      <alignment horizontal="center"/>
    </xf>
    <xf numFmtId="0" fontId="40" fillId="0" borderId="16" xfId="22" applyFont="1" applyBorder="1" applyAlignment="1" applyProtection="1">
      <alignment vertical="center" textRotation="90"/>
      <protection locked="0"/>
    </xf>
    <xf numFmtId="0" fontId="40" fillId="0" borderId="0" xfId="22" applyFont="1" applyAlignment="1" applyProtection="1">
      <alignment vertical="center" textRotation="90"/>
      <protection locked="0"/>
    </xf>
    <xf numFmtId="0" fontId="128" fillId="0" borderId="15" xfId="22" applyFont="1" applyBorder="1" applyAlignment="1" applyProtection="1">
      <alignment horizontal="center" vertical="center"/>
      <protection locked="0"/>
    </xf>
    <xf numFmtId="0" fontId="128" fillId="0" borderId="9" xfId="22" applyFont="1" applyBorder="1" applyAlignment="1" applyProtection="1">
      <alignment horizontal="center" vertical="center"/>
      <protection locked="0"/>
    </xf>
    <xf numFmtId="0" fontId="40" fillId="0" borderId="110" xfId="22" applyFont="1" applyBorder="1" applyAlignment="1">
      <alignment horizontal="center" vertical="center"/>
    </xf>
    <xf numFmtId="0" fontId="11" fillId="0" borderId="32" xfId="22" applyFont="1" applyBorder="1" applyAlignment="1">
      <alignment horizontal="center" vertical="center"/>
    </xf>
    <xf numFmtId="0" fontId="110" fillId="0" borderId="0" xfId="22" applyFont="1" applyAlignment="1" applyProtection="1">
      <alignment vertical="center"/>
      <protection locked="0"/>
    </xf>
    <xf numFmtId="0" fontId="11" fillId="0" borderId="26" xfId="22" applyFont="1" applyBorder="1" applyAlignment="1" applyProtection="1">
      <alignment horizontal="center" vertical="center"/>
      <protection locked="0"/>
    </xf>
    <xf numFmtId="0" fontId="40" fillId="0" borderId="0" xfId="22" applyFont="1" applyAlignment="1" applyProtection="1">
      <alignment vertical="center"/>
      <protection locked="0"/>
    </xf>
    <xf numFmtId="0" fontId="40" fillId="0" borderId="28" xfId="22" applyFont="1" applyBorder="1" applyAlignment="1" applyProtection="1">
      <alignment vertical="center"/>
      <protection locked="0"/>
    </xf>
    <xf numFmtId="0" fontId="11" fillId="0" borderId="45" xfId="22" applyFont="1" applyBorder="1" applyAlignment="1">
      <alignment horizontal="center" vertical="center"/>
    </xf>
    <xf numFmtId="2" fontId="153" fillId="0" borderId="0" xfId="22" applyNumberFormat="1" applyFont="1" applyAlignment="1" applyProtection="1">
      <alignment vertical="center"/>
      <protection locked="0"/>
    </xf>
    <xf numFmtId="2" fontId="153" fillId="0" borderId="28" xfId="22" applyNumberFormat="1" applyFont="1" applyBorder="1" applyAlignment="1" applyProtection="1">
      <alignment vertical="center"/>
      <protection locked="0"/>
    </xf>
    <xf numFmtId="0" fontId="11" fillId="0" borderId="37" xfId="22" applyFont="1" applyBorder="1" applyAlignment="1">
      <alignment horizontal="center" vertical="center"/>
    </xf>
    <xf numFmtId="167" fontId="11" fillId="0" borderId="0" xfId="22" applyNumberFormat="1" applyFont="1" applyAlignment="1" applyProtection="1">
      <alignment horizontal="center" vertical="center"/>
      <protection locked="0"/>
    </xf>
    <xf numFmtId="0" fontId="153" fillId="0" borderId="28" xfId="22" applyFont="1" applyBorder="1" applyAlignment="1" applyProtection="1">
      <alignment vertical="center"/>
      <protection locked="0"/>
    </xf>
    <xf numFmtId="0" fontId="11" fillId="0" borderId="16" xfId="22" applyFont="1" applyBorder="1" applyAlignment="1" applyProtection="1">
      <alignment vertical="center" wrapText="1"/>
      <protection locked="0"/>
    </xf>
    <xf numFmtId="0" fontId="11" fillId="0" borderId="28" xfId="22" applyFont="1" applyBorder="1" applyAlignment="1" applyProtection="1">
      <alignment vertical="center" wrapText="1"/>
      <protection locked="0"/>
    </xf>
    <xf numFmtId="0" fontId="11" fillId="0" borderId="6" xfId="22" applyFont="1" applyBorder="1" applyAlignment="1" applyProtection="1">
      <alignment vertical="center"/>
      <protection locked="0"/>
    </xf>
    <xf numFmtId="0" fontId="75" fillId="0" borderId="6" xfId="22" applyFont="1" applyBorder="1" applyAlignment="1" applyProtection="1">
      <alignment horizontal="center" vertical="center"/>
      <protection locked="0"/>
    </xf>
    <xf numFmtId="0" fontId="208" fillId="3" borderId="11" xfId="22" applyFont="1" applyFill="1" applyBorder="1" applyAlignment="1" applyProtection="1">
      <alignment horizontal="center" vertical="center"/>
      <protection locked="0"/>
    </xf>
    <xf numFmtId="0" fontId="209" fillId="0" borderId="6" xfId="22" applyFont="1" applyBorder="1" applyAlignment="1" applyProtection="1">
      <alignment horizontal="center" vertical="center"/>
      <protection locked="0"/>
    </xf>
    <xf numFmtId="167" fontId="11" fillId="0" borderId="0" xfId="22" applyNumberFormat="1" applyFont="1" applyAlignment="1">
      <alignment horizontal="center" vertical="center"/>
    </xf>
    <xf numFmtId="0" fontId="11" fillId="0" borderId="32" xfId="22" applyFont="1" applyBorder="1" applyAlignment="1" applyProtection="1">
      <alignment vertical="center"/>
      <protection locked="0"/>
    </xf>
    <xf numFmtId="2" fontId="40" fillId="0" borderId="6" xfId="22" applyNumberFormat="1" applyFont="1" applyBorder="1" applyAlignment="1">
      <alignment vertical="center"/>
    </xf>
    <xf numFmtId="0" fontId="210" fillId="0" borderId="6" xfId="22" applyFont="1" applyBorder="1" applyAlignment="1" applyProtection="1">
      <alignment horizontal="center" vertical="center"/>
      <protection locked="0"/>
    </xf>
    <xf numFmtId="0" fontId="128" fillId="0" borderId="11" xfId="22" applyFont="1" applyBorder="1" applyAlignment="1" applyProtection="1">
      <alignment horizontal="center" vertical="center"/>
      <protection locked="0"/>
    </xf>
    <xf numFmtId="0" fontId="211" fillId="0" borderId="6" xfId="22" applyFont="1" applyBorder="1" applyAlignment="1" applyProtection="1">
      <alignment horizontal="center" vertical="center"/>
      <protection locked="0"/>
    </xf>
    <xf numFmtId="1" fontId="51" fillId="0" borderId="6" xfId="22" applyNumberFormat="1" applyFont="1" applyBorder="1" applyAlignment="1" applyProtection="1">
      <alignment horizontal="center" vertical="center"/>
      <protection locked="0"/>
    </xf>
    <xf numFmtId="0" fontId="16" fillId="0" borderId="6" xfId="22" applyFont="1" applyBorder="1" applyAlignment="1" applyProtection="1">
      <alignment horizontal="center" vertical="center"/>
      <protection locked="0"/>
    </xf>
    <xf numFmtId="0" fontId="51" fillId="0" borderId="12" xfId="22" applyFont="1" applyBorder="1" applyAlignment="1" applyProtection="1">
      <alignment horizontal="center" vertical="center"/>
      <protection locked="0"/>
    </xf>
    <xf numFmtId="2" fontId="11" fillId="0" borderId="30" xfId="22" applyNumberFormat="1" applyFont="1" applyBorder="1" applyAlignment="1" applyProtection="1">
      <alignment vertical="center"/>
      <protection locked="0"/>
    </xf>
    <xf numFmtId="2" fontId="11" fillId="0" borderId="7" xfId="22" applyNumberFormat="1" applyFont="1" applyBorder="1" applyAlignment="1" applyProtection="1">
      <alignment vertical="center"/>
      <protection locked="0"/>
    </xf>
    <xf numFmtId="2" fontId="11" fillId="0" borderId="28" xfId="22" applyNumberFormat="1" applyFont="1" applyBorder="1" applyAlignment="1" applyProtection="1">
      <alignment vertical="center"/>
      <protection locked="0"/>
    </xf>
    <xf numFmtId="0" fontId="51" fillId="0" borderId="0" xfId="22" applyFont="1" applyAlignment="1" applyProtection="1">
      <alignment horizontal="center" vertical="center"/>
      <protection locked="0"/>
    </xf>
    <xf numFmtId="2" fontId="11" fillId="0" borderId="21" xfId="22" applyNumberFormat="1" applyFont="1" applyBorder="1" applyAlignment="1" applyProtection="1">
      <alignment vertical="center"/>
      <protection locked="0"/>
    </xf>
    <xf numFmtId="2" fontId="11" fillId="0" borderId="29" xfId="22" applyNumberFormat="1" applyFont="1" applyBorder="1" applyAlignment="1" applyProtection="1">
      <alignment vertical="center"/>
      <protection locked="0"/>
    </xf>
    <xf numFmtId="0" fontId="11" fillId="0" borderId="0" xfId="22" applyFont="1" applyAlignment="1">
      <alignment vertical="center"/>
    </xf>
    <xf numFmtId="0" fontId="11" fillId="0" borderId="7" xfId="22" applyFont="1" applyBorder="1" applyAlignment="1" applyProtection="1">
      <alignment vertical="center"/>
      <protection locked="0"/>
    </xf>
    <xf numFmtId="0" fontId="59" fillId="0" borderId="11" xfId="22" applyFont="1" applyBorder="1" applyAlignment="1" applyProtection="1">
      <alignment horizontal="center" vertical="center"/>
      <protection locked="0"/>
    </xf>
    <xf numFmtId="0" fontId="209" fillId="0" borderId="30" xfId="22" applyFont="1" applyBorder="1" applyAlignment="1" applyProtection="1">
      <alignment horizontal="center" vertical="center"/>
      <protection locked="0"/>
    </xf>
    <xf numFmtId="0" fontId="209" fillId="0" borderId="7" xfId="22" applyFont="1" applyBorder="1" applyAlignment="1" applyProtection="1">
      <alignment horizontal="center" vertical="center"/>
      <protection locked="0"/>
    </xf>
    <xf numFmtId="0" fontId="11" fillId="0" borderId="39" xfId="22" applyFont="1" applyBorder="1" applyAlignment="1">
      <alignment horizontal="center" vertical="center"/>
    </xf>
    <xf numFmtId="0" fontId="40" fillId="0" borderId="111" xfId="22" applyFont="1" applyBorder="1" applyAlignment="1">
      <alignment vertical="center"/>
    </xf>
    <xf numFmtId="0" fontId="11" fillId="0" borderId="111" xfId="22" applyFont="1" applyBorder="1" applyAlignment="1">
      <alignment vertical="center"/>
    </xf>
    <xf numFmtId="0" fontId="11" fillId="0" borderId="31" xfId="22" applyFont="1" applyBorder="1" applyAlignment="1">
      <alignment horizontal="center" vertical="center"/>
    </xf>
    <xf numFmtId="0" fontId="11" fillId="0" borderId="112" xfId="22" applyFont="1" applyBorder="1" applyAlignment="1">
      <alignment vertical="center"/>
    </xf>
    <xf numFmtId="0" fontId="212" fillId="0" borderId="0" xfId="22" applyFont="1" applyAlignment="1">
      <alignment horizontal="center" vertical="center"/>
    </xf>
    <xf numFmtId="167" fontId="11" fillId="0" borderId="6" xfId="22" applyNumberFormat="1" applyFont="1" applyBorder="1" applyAlignment="1">
      <alignment horizontal="center" vertical="center"/>
    </xf>
    <xf numFmtId="0" fontId="75" fillId="0" borderId="13" xfId="22" applyFont="1" applyBorder="1" applyAlignment="1" applyProtection="1">
      <alignment horizontal="center" vertical="center"/>
      <protection locked="0"/>
    </xf>
    <xf numFmtId="0" fontId="11" fillId="0" borderId="110" xfId="22" applyFont="1" applyBorder="1" applyAlignment="1">
      <alignment horizontal="center" vertical="center"/>
    </xf>
    <xf numFmtId="0" fontId="40" fillId="0" borderId="45" xfId="22" applyFont="1" applyBorder="1" applyAlignment="1">
      <alignment horizontal="center" vertical="center"/>
    </xf>
    <xf numFmtId="1" fontId="11" fillId="0" borderId="45" xfId="22" applyNumberFormat="1" applyFont="1" applyBorder="1" applyAlignment="1">
      <alignment vertical="center"/>
    </xf>
    <xf numFmtId="167" fontId="11" fillId="0" borderId="45" xfId="22" applyNumberFormat="1" applyFont="1" applyBorder="1" applyAlignment="1">
      <alignment vertical="center"/>
    </xf>
    <xf numFmtId="1" fontId="11" fillId="0" borderId="110" xfId="22" applyNumberFormat="1" applyFont="1" applyBorder="1" applyAlignment="1">
      <alignment vertical="center"/>
    </xf>
    <xf numFmtId="167" fontId="11" fillId="0" borderId="110" xfId="22" applyNumberFormat="1" applyFont="1" applyBorder="1" applyAlignment="1">
      <alignment horizontal="center" vertical="center"/>
    </xf>
    <xf numFmtId="167" fontId="11" fillId="0" borderId="45" xfId="22" applyNumberFormat="1" applyFont="1" applyBorder="1" applyAlignment="1">
      <alignment horizontal="center" vertical="center"/>
    </xf>
    <xf numFmtId="1" fontId="11" fillId="0" borderId="37" xfId="22" applyNumberFormat="1" applyFont="1" applyBorder="1" applyAlignment="1">
      <alignment vertical="center"/>
    </xf>
    <xf numFmtId="167" fontId="11" fillId="0" borderId="37" xfId="22" applyNumberFormat="1" applyFont="1" applyBorder="1" applyAlignment="1">
      <alignment vertical="center"/>
    </xf>
    <xf numFmtId="0" fontId="11" fillId="0" borderId="9" xfId="22" applyFont="1" applyBorder="1" applyAlignment="1" applyProtection="1">
      <alignment horizontal="center" vertical="center"/>
      <protection locked="0"/>
    </xf>
    <xf numFmtId="0" fontId="11" fillId="0" borderId="32" xfId="22" applyFont="1" applyBorder="1" applyAlignment="1">
      <alignment vertical="center"/>
    </xf>
    <xf numFmtId="167" fontId="11" fillId="0" borderId="32" xfId="22" applyNumberFormat="1" applyFont="1" applyBorder="1" applyAlignment="1">
      <alignment vertical="center"/>
    </xf>
    <xf numFmtId="167" fontId="11" fillId="0" borderId="37" xfId="22" applyNumberFormat="1" applyFont="1" applyBorder="1" applyAlignment="1">
      <alignment horizontal="center" vertical="center"/>
    </xf>
    <xf numFmtId="167" fontId="11" fillId="0" borderId="32" xfId="22" applyNumberFormat="1" applyFont="1" applyBorder="1" applyAlignment="1">
      <alignment horizontal="center" vertical="center"/>
    </xf>
    <xf numFmtId="0" fontId="11" fillId="0" borderId="0" xfId="22" applyFont="1" applyAlignment="1">
      <alignment horizontal="center" vertical="center"/>
    </xf>
    <xf numFmtId="1" fontId="11" fillId="0" borderId="32" xfId="22" applyNumberFormat="1" applyFont="1" applyBorder="1" applyAlignment="1">
      <alignment vertical="center"/>
    </xf>
    <xf numFmtId="167" fontId="11" fillId="0" borderId="32" xfId="22" applyNumberFormat="1" applyFont="1" applyBorder="1" applyAlignment="1" applyProtection="1">
      <alignment vertical="center"/>
      <protection locked="0"/>
    </xf>
    <xf numFmtId="167" fontId="11" fillId="0" borderId="32" xfId="22" applyNumberFormat="1" applyFont="1" applyBorder="1" applyAlignment="1" applyProtection="1">
      <alignment horizontal="center" vertical="center"/>
      <protection locked="0"/>
    </xf>
    <xf numFmtId="189" fontId="11" fillId="0" borderId="0" xfId="22" applyNumberFormat="1" applyFont="1" applyAlignment="1" applyProtection="1">
      <alignment vertical="center" textRotation="90"/>
      <protection locked="0"/>
    </xf>
    <xf numFmtId="1" fontId="11" fillId="0" borderId="0" xfId="22" applyNumberFormat="1" applyFont="1" applyAlignment="1" applyProtection="1">
      <alignment horizontal="center" vertical="center"/>
      <protection locked="0"/>
    </xf>
    <xf numFmtId="0" fontId="51" fillId="0" borderId="0" xfId="22" applyFont="1" applyAlignment="1" applyProtection="1">
      <alignment vertical="center"/>
      <protection locked="0"/>
    </xf>
    <xf numFmtId="1" fontId="11" fillId="0" borderId="0" xfId="22" applyNumberFormat="1" applyFont="1" applyAlignment="1" applyProtection="1">
      <alignment vertical="center"/>
      <protection locked="0"/>
    </xf>
    <xf numFmtId="2" fontId="11" fillId="0" borderId="0" xfId="22" applyNumberFormat="1" applyFont="1" applyAlignment="1" applyProtection="1">
      <alignment horizontal="center" vertical="center"/>
      <protection locked="0"/>
    </xf>
    <xf numFmtId="2" fontId="40" fillId="0" borderId="0" xfId="22" applyNumberFormat="1" applyFont="1" applyAlignment="1" applyProtection="1">
      <alignment horizontal="center" vertical="center"/>
      <protection locked="0"/>
    </xf>
    <xf numFmtId="2" fontId="51" fillId="0" borderId="0" xfId="22" applyNumberFormat="1" applyFont="1" applyAlignment="1" applyProtection="1">
      <alignment horizontal="center" vertical="center"/>
      <protection locked="0"/>
    </xf>
    <xf numFmtId="0" fontId="210" fillId="0" borderId="0" xfId="22" applyFont="1" applyAlignment="1" applyProtection="1">
      <alignment vertical="center"/>
      <protection locked="0"/>
    </xf>
    <xf numFmtId="2" fontId="210" fillId="0" borderId="0" xfId="22" applyNumberFormat="1" applyFont="1" applyAlignment="1" applyProtection="1">
      <alignment horizontal="center" vertical="center"/>
      <protection locked="0"/>
    </xf>
    <xf numFmtId="0" fontId="110" fillId="0" borderId="0" xfId="22" applyFont="1" applyProtection="1">
      <protection locked="0"/>
    </xf>
    <xf numFmtId="0" fontId="11" fillId="0" borderId="12" xfId="22" applyFont="1" applyBorder="1" applyAlignment="1" applyProtection="1">
      <alignment horizontal="center"/>
      <protection locked="0"/>
    </xf>
    <xf numFmtId="2" fontId="11" fillId="0" borderId="14" xfId="22" applyNumberFormat="1" applyFont="1" applyBorder="1" applyAlignment="1">
      <alignment horizontal="center"/>
    </xf>
    <xf numFmtId="2" fontId="11" fillId="0" borderId="37" xfId="22" applyNumberFormat="1" applyFont="1" applyBorder="1" applyAlignment="1">
      <alignment horizontal="center"/>
    </xf>
    <xf numFmtId="167" fontId="11" fillId="0" borderId="0" xfId="22" applyNumberFormat="1" applyFont="1" applyAlignment="1" applyProtection="1">
      <alignment horizontal="center"/>
      <protection locked="0"/>
    </xf>
    <xf numFmtId="0" fontId="11" fillId="0" borderId="0" xfId="22" applyFont="1" applyAlignment="1" applyProtection="1">
      <alignment horizontal="center"/>
      <protection locked="0"/>
    </xf>
    <xf numFmtId="0" fontId="11" fillId="0" borderId="0" xfId="22" applyFont="1" applyAlignment="1" applyProtection="1">
      <alignment horizontal="left"/>
      <protection locked="0"/>
    </xf>
    <xf numFmtId="2" fontId="11" fillId="0" borderId="110" xfId="22" applyNumberFormat="1" applyFont="1" applyBorder="1" applyAlignment="1">
      <alignment horizontal="center"/>
    </xf>
    <xf numFmtId="2" fontId="11" fillId="0" borderId="37" xfId="22" applyNumberFormat="1" applyFont="1" applyBorder="1" applyAlignment="1" applyProtection="1">
      <alignment horizontal="center"/>
      <protection locked="0"/>
    </xf>
    <xf numFmtId="0" fontId="11" fillId="0" borderId="6" xfId="22" applyFont="1" applyBorder="1" applyProtection="1">
      <protection locked="0"/>
    </xf>
    <xf numFmtId="0" fontId="75" fillId="0" borderId="6" xfId="22" applyFont="1" applyBorder="1" applyAlignment="1" applyProtection="1">
      <alignment horizontal="center"/>
      <protection locked="0"/>
    </xf>
    <xf numFmtId="0" fontId="208" fillId="3" borderId="11" xfId="22" applyFont="1" applyFill="1" applyBorder="1" applyAlignment="1" applyProtection="1">
      <alignment horizontal="center"/>
      <protection locked="0"/>
    </xf>
    <xf numFmtId="0" fontId="209" fillId="0" borderId="6" xfId="22" applyFont="1" applyBorder="1" applyAlignment="1" applyProtection="1">
      <alignment horizontal="center"/>
      <protection locked="0"/>
    </xf>
    <xf numFmtId="167" fontId="11" fillId="0" borderId="0" xfId="22" applyNumberFormat="1" applyFont="1" applyAlignment="1">
      <alignment horizontal="center"/>
    </xf>
    <xf numFmtId="0" fontId="11" fillId="0" borderId="32" xfId="22" applyFont="1" applyBorder="1" applyProtection="1">
      <protection locked="0"/>
    </xf>
    <xf numFmtId="2" fontId="210" fillId="0" borderId="6" xfId="22" applyNumberFormat="1" applyFont="1" applyBorder="1"/>
    <xf numFmtId="0" fontId="210" fillId="0" borderId="6" xfId="22" applyFont="1" applyBorder="1" applyAlignment="1" applyProtection="1">
      <alignment horizontal="center"/>
      <protection locked="0"/>
    </xf>
    <xf numFmtId="0" fontId="128" fillId="0" borderId="11" xfId="22" applyFont="1" applyBorder="1" applyAlignment="1" applyProtection="1">
      <alignment horizontal="center"/>
      <protection locked="0"/>
    </xf>
    <xf numFmtId="0" fontId="211" fillId="0" borderId="6" xfId="22" applyFont="1" applyBorder="1" applyAlignment="1" applyProtection="1">
      <alignment horizontal="center"/>
      <protection locked="0"/>
    </xf>
    <xf numFmtId="1" fontId="51" fillId="0" borderId="6" xfId="22" applyNumberFormat="1" applyFont="1" applyBorder="1" applyAlignment="1" applyProtection="1">
      <alignment horizontal="center"/>
      <protection locked="0"/>
    </xf>
    <xf numFmtId="0" fontId="16" fillId="0" borderId="6" xfId="22" applyFont="1" applyBorder="1" applyAlignment="1" applyProtection="1">
      <alignment horizontal="center"/>
      <protection locked="0"/>
    </xf>
    <xf numFmtId="0" fontId="11" fillId="0" borderId="13" xfId="22" applyFont="1" applyBorder="1" applyAlignment="1" applyProtection="1">
      <alignment horizontal="center"/>
      <protection locked="0"/>
    </xf>
    <xf numFmtId="0" fontId="51" fillId="0" borderId="12" xfId="22" applyFont="1" applyBorder="1" applyAlignment="1" applyProtection="1">
      <alignment horizontal="center"/>
      <protection locked="0"/>
    </xf>
    <xf numFmtId="0" fontId="51" fillId="0" borderId="0" xfId="22" applyFont="1" applyAlignment="1" applyProtection="1">
      <alignment horizontal="center"/>
      <protection locked="0"/>
    </xf>
    <xf numFmtId="0" fontId="11" fillId="0" borderId="0" xfId="22" applyFont="1"/>
    <xf numFmtId="0" fontId="11" fillId="0" borderId="30" xfId="22" applyFont="1" applyBorder="1" applyProtection="1">
      <protection locked="0"/>
    </xf>
    <xf numFmtId="0" fontId="11" fillId="0" borderId="7" xfId="22" applyFont="1" applyBorder="1" applyProtection="1">
      <protection locked="0"/>
    </xf>
    <xf numFmtId="0" fontId="59" fillId="0" borderId="11" xfId="22" applyFont="1" applyBorder="1" applyAlignment="1" applyProtection="1">
      <alignment horizontal="center"/>
      <protection locked="0"/>
    </xf>
    <xf numFmtId="0" fontId="209" fillId="0" borderId="30" xfId="22" applyFont="1" applyBorder="1" applyAlignment="1" applyProtection="1">
      <alignment horizontal="center"/>
      <protection locked="0"/>
    </xf>
    <xf numFmtId="0" fontId="209" fillId="0" borderId="7" xfId="22" applyFont="1" applyBorder="1" applyAlignment="1" applyProtection="1">
      <alignment horizontal="center"/>
      <protection locked="0"/>
    </xf>
    <xf numFmtId="0" fontId="11" fillId="0" borderId="39" xfId="22" applyFont="1" applyBorder="1" applyAlignment="1">
      <alignment horizontal="center"/>
    </xf>
    <xf numFmtId="0" fontId="40" fillId="0" borderId="111" xfId="22" applyFont="1" applyBorder="1"/>
    <xf numFmtId="0" fontId="11" fillId="0" borderId="111" xfId="22" applyFont="1" applyBorder="1"/>
    <xf numFmtId="0" fontId="11" fillId="0" borderId="31" xfId="22" applyFont="1" applyBorder="1" applyAlignment="1">
      <alignment horizontal="center"/>
    </xf>
    <xf numFmtId="0" fontId="11" fillId="0" borderId="112" xfId="22" applyFont="1" applyBorder="1"/>
    <xf numFmtId="0" fontId="212" fillId="0" borderId="0" xfId="22" applyFont="1" applyAlignment="1">
      <alignment horizontal="center"/>
    </xf>
    <xf numFmtId="167" fontId="11" fillId="0" borderId="6" xfId="22" applyNumberFormat="1" applyFont="1" applyBorder="1" applyAlignment="1">
      <alignment horizontal="center"/>
    </xf>
    <xf numFmtId="0" fontId="75" fillId="0" borderId="13" xfId="22" applyFont="1" applyBorder="1" applyAlignment="1" applyProtection="1">
      <alignment horizontal="center"/>
      <protection locked="0"/>
    </xf>
    <xf numFmtId="1" fontId="11" fillId="0" borderId="45" xfId="22" applyNumberFormat="1" applyFont="1" applyBorder="1"/>
    <xf numFmtId="167" fontId="11" fillId="0" borderId="45" xfId="22" applyNumberFormat="1" applyFont="1" applyBorder="1"/>
    <xf numFmtId="0" fontId="11" fillId="0" borderId="14" xfId="22" applyFont="1" applyBorder="1" applyAlignment="1" applyProtection="1">
      <alignment horizontal="center"/>
      <protection locked="0"/>
    </xf>
    <xf numFmtId="1" fontId="11" fillId="0" borderId="110" xfId="22" applyNumberFormat="1" applyFont="1" applyBorder="1"/>
    <xf numFmtId="167" fontId="11" fillId="0" borderId="110" xfId="22" applyNumberFormat="1" applyFont="1" applyBorder="1" applyAlignment="1">
      <alignment horizontal="center"/>
    </xf>
    <xf numFmtId="167" fontId="11" fillId="0" borderId="45" xfId="22" applyNumberFormat="1" applyFont="1" applyBorder="1" applyAlignment="1">
      <alignment horizontal="center"/>
    </xf>
    <xf numFmtId="1" fontId="11" fillId="0" borderId="37" xfId="22" applyNumberFormat="1" applyFont="1" applyBorder="1"/>
    <xf numFmtId="167" fontId="11" fillId="0" borderId="37" xfId="22" applyNumberFormat="1" applyFont="1" applyBorder="1"/>
    <xf numFmtId="0" fontId="11" fillId="0" borderId="9" xfId="22" applyFont="1" applyBorder="1" applyAlignment="1" applyProtection="1">
      <alignment horizontal="center"/>
      <protection locked="0"/>
    </xf>
    <xf numFmtId="0" fontId="11" fillId="0" borderId="32" xfId="22" applyFont="1" applyBorder="1"/>
    <xf numFmtId="167" fontId="11" fillId="0" borderId="32" xfId="22" applyNumberFormat="1" applyFont="1" applyBorder="1"/>
    <xf numFmtId="167" fontId="11" fillId="0" borderId="37" xfId="22" applyNumberFormat="1" applyFont="1" applyBorder="1" applyAlignment="1">
      <alignment horizontal="center"/>
    </xf>
    <xf numFmtId="167" fontId="11" fillId="0" borderId="32" xfId="22" applyNumberFormat="1" applyFont="1" applyBorder="1" applyAlignment="1">
      <alignment horizontal="center"/>
    </xf>
    <xf numFmtId="0" fontId="11" fillId="0" borderId="0" xfId="22" applyFont="1" applyAlignment="1">
      <alignment horizontal="center"/>
    </xf>
    <xf numFmtId="1" fontId="11" fillId="0" borderId="32" xfId="22" applyNumberFormat="1" applyFont="1" applyBorder="1"/>
    <xf numFmtId="167" fontId="11" fillId="0" borderId="32" xfId="22" applyNumberFormat="1" applyFont="1" applyBorder="1" applyProtection="1">
      <protection locked="0"/>
    </xf>
    <xf numFmtId="167" fontId="11" fillId="0" borderId="32" xfId="22" applyNumberFormat="1" applyFont="1" applyBorder="1" applyAlignment="1" applyProtection="1">
      <alignment horizontal="center"/>
      <protection locked="0"/>
    </xf>
    <xf numFmtId="189" fontId="11" fillId="0" borderId="0" xfId="22" applyNumberFormat="1" applyFont="1" applyAlignment="1" applyProtection="1">
      <alignment textRotation="90"/>
      <protection locked="0"/>
    </xf>
    <xf numFmtId="0" fontId="51" fillId="0" borderId="0" xfId="22" applyFont="1" applyProtection="1">
      <protection locked="0"/>
    </xf>
    <xf numFmtId="1" fontId="11" fillId="0" borderId="0" xfId="22" applyNumberFormat="1" applyFont="1" applyAlignment="1" applyProtection="1">
      <alignment horizontal="center"/>
      <protection locked="0"/>
    </xf>
    <xf numFmtId="1" fontId="11" fillId="0" borderId="0" xfId="22" applyNumberFormat="1" applyFont="1" applyProtection="1">
      <protection locked="0"/>
    </xf>
    <xf numFmtId="0" fontId="210" fillId="0" borderId="0" xfId="22" applyFont="1" applyProtection="1">
      <protection locked="0"/>
    </xf>
    <xf numFmtId="2" fontId="11" fillId="0" borderId="0" xfId="22" applyNumberFormat="1" applyFont="1" applyAlignment="1" applyProtection="1">
      <alignment horizontal="center"/>
      <protection locked="0"/>
    </xf>
    <xf numFmtId="2" fontId="210" fillId="0" borderId="0" xfId="22" applyNumberFormat="1" applyFont="1" applyAlignment="1" applyProtection="1">
      <alignment horizontal="center"/>
      <protection locked="0"/>
    </xf>
    <xf numFmtId="2" fontId="11" fillId="0" borderId="14" xfId="22" applyNumberFormat="1" applyFont="1" applyBorder="1" applyAlignment="1">
      <alignment horizontal="center" vertical="center"/>
    </xf>
    <xf numFmtId="2" fontId="11" fillId="0" borderId="110" xfId="22" applyNumberFormat="1" applyFont="1" applyBorder="1" applyAlignment="1">
      <alignment horizontal="center" vertical="center"/>
    </xf>
    <xf numFmtId="2" fontId="210" fillId="0" borderId="6" xfId="22" applyNumberFormat="1" applyFont="1" applyBorder="1" applyAlignment="1">
      <alignment vertical="center"/>
    </xf>
    <xf numFmtId="0" fontId="11" fillId="0" borderId="48" xfId="22" applyFont="1" applyBorder="1" applyAlignment="1" applyProtection="1">
      <alignment vertical="center"/>
      <protection locked="0"/>
    </xf>
    <xf numFmtId="0" fontId="11" fillId="0" borderId="34" xfId="22" applyFont="1" applyBorder="1" applyAlignment="1" applyProtection="1">
      <alignment vertical="center"/>
      <protection locked="0"/>
    </xf>
    <xf numFmtId="1" fontId="11" fillId="0" borderId="6" xfId="22" applyNumberFormat="1" applyFont="1" applyBorder="1" applyAlignment="1" applyProtection="1">
      <alignment horizontal="center" vertical="center"/>
      <protection locked="0"/>
    </xf>
    <xf numFmtId="2" fontId="51" fillId="0" borderId="45" xfId="22" applyNumberFormat="1" applyFont="1" applyBorder="1" applyAlignment="1">
      <alignment horizontal="center" vertical="center"/>
    </xf>
    <xf numFmtId="2" fontId="51" fillId="0" borderId="37" xfId="22" applyNumberFormat="1" applyFont="1" applyBorder="1" applyAlignment="1">
      <alignment horizontal="center" vertical="center"/>
    </xf>
    <xf numFmtId="2" fontId="51" fillId="0" borderId="37" xfId="22" applyNumberFormat="1" applyFont="1" applyBorder="1" applyAlignment="1" applyProtection="1">
      <alignment horizontal="center" vertical="center"/>
      <protection locked="0"/>
    </xf>
    <xf numFmtId="2" fontId="51" fillId="0" borderId="32" xfId="22" applyNumberFormat="1" applyFont="1" applyBorder="1" applyAlignment="1" applyProtection="1">
      <alignment horizontal="center" vertical="center"/>
      <protection locked="0"/>
    </xf>
    <xf numFmtId="0" fontId="40" fillId="0" borderId="21" xfId="23" applyFont="1" applyBorder="1" applyAlignment="1">
      <alignment horizontal="centerContinuous" vertical="center"/>
    </xf>
    <xf numFmtId="0" fontId="40" fillId="0" borderId="4" xfId="23" applyFont="1" applyBorder="1" applyAlignment="1">
      <alignment horizontal="centerContinuous" vertical="center"/>
    </xf>
    <xf numFmtId="0" fontId="40" fillId="0" borderId="8" xfId="23" applyFont="1" applyBorder="1" applyAlignment="1">
      <alignment horizontal="centerContinuous" vertical="center"/>
    </xf>
    <xf numFmtId="0" fontId="40" fillId="0" borderId="3" xfId="23" applyFont="1" applyBorder="1" applyAlignment="1">
      <alignment horizontal="centerContinuous" vertical="center"/>
    </xf>
    <xf numFmtId="0" fontId="40" fillId="0" borderId="8" xfId="23" applyFont="1" applyBorder="1" applyAlignment="1">
      <alignment horizontal="center" vertical="center"/>
    </xf>
    <xf numFmtId="0" fontId="40" fillId="0" borderId="2" xfId="23" applyFont="1" applyBorder="1" applyAlignment="1">
      <alignment horizontal="center" vertical="center"/>
    </xf>
    <xf numFmtId="0" fontId="40" fillId="0" borderId="0" xfId="23" applyFont="1" applyAlignment="1">
      <alignment vertical="center"/>
    </xf>
    <xf numFmtId="0" fontId="40" fillId="0" borderId="15" xfId="23" applyFont="1" applyBorder="1" applyAlignment="1">
      <alignment vertical="center"/>
    </xf>
    <xf numFmtId="0" fontId="40" fillId="0" borderId="26" xfId="23" applyFont="1" applyBorder="1" applyAlignment="1">
      <alignment vertical="center"/>
    </xf>
    <xf numFmtId="0" fontId="40" fillId="0" borderId="42" xfId="23" applyFont="1" applyBorder="1" applyAlignment="1">
      <alignment vertical="center"/>
    </xf>
    <xf numFmtId="0" fontId="40" fillId="0" borderId="44" xfId="23" applyFont="1" applyBorder="1" applyAlignment="1">
      <alignment vertical="center"/>
    </xf>
    <xf numFmtId="0" fontId="40" fillId="0" borderId="43" xfId="23" applyFont="1" applyBorder="1" applyAlignment="1">
      <alignment vertical="center"/>
    </xf>
    <xf numFmtId="0" fontId="59" fillId="0" borderId="44" xfId="23" applyFont="1" applyBorder="1" applyAlignment="1" applyProtection="1">
      <alignment vertical="center"/>
      <protection locked="0"/>
    </xf>
    <xf numFmtId="0" fontId="40" fillId="0" borderId="16" xfId="23" applyFont="1" applyBorder="1" applyAlignment="1">
      <alignment vertical="center"/>
    </xf>
    <xf numFmtId="0" fontId="40" fillId="0" borderId="74" xfId="23" applyFont="1" applyBorder="1" applyAlignment="1">
      <alignment vertical="center"/>
    </xf>
    <xf numFmtId="0" fontId="40" fillId="0" borderId="38" xfId="23" applyFont="1" applyBorder="1" applyAlignment="1">
      <alignment vertical="center"/>
    </xf>
    <xf numFmtId="0" fontId="40" fillId="0" borderId="35" xfId="23" applyFont="1" applyBorder="1" applyAlignment="1">
      <alignment vertical="center"/>
    </xf>
    <xf numFmtId="0" fontId="59" fillId="0" borderId="38" xfId="23" applyFont="1" applyBorder="1" applyAlignment="1" applyProtection="1">
      <alignment vertical="center"/>
      <protection locked="0"/>
    </xf>
    <xf numFmtId="0" fontId="40" fillId="0" borderId="0" xfId="23" applyFont="1" applyAlignment="1">
      <alignment horizontal="centerContinuous" vertical="center"/>
    </xf>
    <xf numFmtId="0" fontId="40" fillId="0" borderId="104" xfId="23" applyFont="1" applyBorder="1" applyAlignment="1">
      <alignment vertical="center"/>
    </xf>
    <xf numFmtId="0" fontId="40" fillId="0" borderId="38" xfId="23" quotePrefix="1" applyFont="1" applyBorder="1" applyAlignment="1" applyProtection="1">
      <alignment vertical="center"/>
      <protection locked="0"/>
    </xf>
    <xf numFmtId="14" fontId="128" fillId="0" borderId="35" xfId="23" quotePrefix="1" applyNumberFormat="1" applyFont="1" applyBorder="1" applyAlignment="1">
      <alignment horizontal="left" vertical="center"/>
    </xf>
    <xf numFmtId="0" fontId="40" fillId="0" borderId="38" xfId="23" applyFont="1" applyBorder="1" applyAlignment="1" applyProtection="1">
      <alignment vertical="center"/>
      <protection locked="0"/>
    </xf>
    <xf numFmtId="0" fontId="132" fillId="0" borderId="0" xfId="23" applyFont="1" applyAlignment="1">
      <alignment horizontal="centerContinuous" vertical="center"/>
    </xf>
    <xf numFmtId="0" fontId="40" fillId="0" borderId="13" xfId="23" applyFont="1" applyBorder="1" applyAlignment="1">
      <alignment vertical="center"/>
    </xf>
    <xf numFmtId="0" fontId="40" fillId="0" borderId="21" xfId="23" applyFont="1" applyBorder="1" applyAlignment="1">
      <alignment vertical="center"/>
    </xf>
    <xf numFmtId="0" fontId="40" fillId="0" borderId="51" xfId="23" applyFont="1" applyBorder="1" applyAlignment="1">
      <alignment vertical="center"/>
    </xf>
    <xf numFmtId="0" fontId="40" fillId="0" borderId="47" xfId="23" applyFont="1" applyBorder="1" applyAlignment="1">
      <alignment vertical="center"/>
    </xf>
    <xf numFmtId="0" fontId="40" fillId="0" borderId="63" xfId="23" applyFont="1" applyBorder="1" applyAlignment="1">
      <alignment vertical="center"/>
    </xf>
    <xf numFmtId="0" fontId="40" fillId="0" borderId="47" xfId="23" applyFont="1" applyBorder="1" applyAlignment="1" applyProtection="1">
      <alignment vertical="center"/>
      <protection locked="0"/>
    </xf>
    <xf numFmtId="0" fontId="128" fillId="0" borderId="31" xfId="23" applyFont="1" applyBorder="1" applyAlignment="1">
      <alignment horizontal="left" vertical="center"/>
    </xf>
    <xf numFmtId="0" fontId="26" fillId="0" borderId="0" xfId="23" applyFont="1" applyAlignment="1">
      <alignment horizontal="left" vertical="center"/>
    </xf>
    <xf numFmtId="0" fontId="128" fillId="0" borderId="0" xfId="23" applyFont="1" applyAlignment="1">
      <alignment vertical="center"/>
    </xf>
    <xf numFmtId="0" fontId="128" fillId="0" borderId="28" xfId="23" applyFont="1" applyBorder="1" applyAlignment="1">
      <alignment horizontal="left" vertical="center"/>
    </xf>
    <xf numFmtId="0" fontId="59" fillId="0" borderId="16" xfId="23" applyFont="1" applyBorder="1" applyAlignment="1">
      <alignment horizontal="centerContinuous" vertical="center"/>
    </xf>
    <xf numFmtId="0" fontId="128" fillId="0" borderId="0" xfId="23" applyFont="1" applyAlignment="1">
      <alignment horizontal="centerContinuous" vertical="center"/>
    </xf>
    <xf numFmtId="0" fontId="128" fillId="0" borderId="28" xfId="23" applyFont="1" applyBorder="1" applyAlignment="1">
      <alignment horizontal="centerContinuous" vertical="center"/>
    </xf>
    <xf numFmtId="0" fontId="40" fillId="0" borderId="25" xfId="23" applyFont="1" applyBorder="1" applyAlignment="1">
      <alignment horizontal="centerContinuous" vertical="center"/>
    </xf>
    <xf numFmtId="0" fontId="40" fillId="0" borderId="10" xfId="23" applyFont="1" applyBorder="1" applyAlignment="1">
      <alignment horizontal="centerContinuous" vertical="center"/>
    </xf>
    <xf numFmtId="0" fontId="40" fillId="0" borderId="24" xfId="23" applyFont="1" applyBorder="1" applyAlignment="1">
      <alignment horizontal="centerContinuous" vertical="center"/>
    </xf>
    <xf numFmtId="0" fontId="40" fillId="0" borderId="10" xfId="23" applyFont="1" applyBorder="1" applyAlignment="1">
      <alignment horizontal="center" vertical="center"/>
    </xf>
    <xf numFmtId="0" fontId="40" fillId="0" borderId="97" xfId="23" applyFont="1" applyBorder="1" applyAlignment="1">
      <alignment horizontal="center" vertical="center"/>
    </xf>
    <xf numFmtId="0" fontId="40" fillId="0" borderId="23" xfId="23" applyFont="1" applyBorder="1" applyAlignment="1">
      <alignment horizontal="center" vertical="center"/>
    </xf>
    <xf numFmtId="0" fontId="214" fillId="0" borderId="16" xfId="23" applyFont="1" applyBorder="1" applyAlignment="1">
      <alignment horizontal="centerContinuous" vertical="center"/>
    </xf>
    <xf numFmtId="0" fontId="40" fillId="0" borderId="28" xfId="23" applyFont="1" applyBorder="1" applyAlignment="1">
      <alignment horizontal="centerContinuous" vertical="center"/>
    </xf>
    <xf numFmtId="0" fontId="40" fillId="0" borderId="0" xfId="23" applyFont="1" applyAlignment="1">
      <alignment horizontal="left" vertical="center"/>
    </xf>
    <xf numFmtId="0" fontId="40" fillId="0" borderId="0" xfId="23" applyFont="1" applyAlignment="1">
      <alignment horizontal="right" vertical="center"/>
    </xf>
    <xf numFmtId="0" fontId="40" fillId="0" borderId="0" xfId="23" applyFont="1" applyAlignment="1" applyProtection="1">
      <alignment vertical="center"/>
      <protection locked="0"/>
    </xf>
    <xf numFmtId="0" fontId="40" fillId="0" borderId="28" xfId="23" applyFont="1" applyBorder="1" applyAlignment="1">
      <alignment vertical="center"/>
    </xf>
    <xf numFmtId="0" fontId="40" fillId="0" borderId="0" xfId="23" applyFont="1" applyAlignment="1" applyProtection="1">
      <alignment horizontal="left" vertical="center"/>
      <protection locked="0"/>
    </xf>
    <xf numFmtId="0" fontId="128" fillId="0" borderId="82" xfId="23" applyFont="1" applyBorder="1" applyAlignment="1">
      <alignment horizontal="centerContinuous" vertical="center"/>
    </xf>
    <xf numFmtId="2" fontId="128" fillId="0" borderId="12" xfId="23" applyNumberFormat="1" applyFont="1" applyBorder="1" applyAlignment="1">
      <alignment horizontal="centerContinuous" vertical="center"/>
    </xf>
    <xf numFmtId="2" fontId="128" fillId="0" borderId="21" xfId="23" applyNumberFormat="1" applyFont="1" applyBorder="1" applyAlignment="1">
      <alignment horizontal="centerContinuous" vertical="center"/>
    </xf>
    <xf numFmtId="2" fontId="128" fillId="0" borderId="6" xfId="23" applyNumberFormat="1" applyFont="1" applyBorder="1" applyAlignment="1">
      <alignment horizontal="center" vertical="center"/>
    </xf>
    <xf numFmtId="2" fontId="40" fillId="0" borderId="6" xfId="23" applyNumberFormat="1" applyFont="1" applyBorder="1" applyAlignment="1">
      <alignment horizontal="center" vertical="center"/>
    </xf>
    <xf numFmtId="2" fontId="40" fillId="0" borderId="83" xfId="23" applyNumberFormat="1" applyFont="1" applyBorder="1" applyAlignment="1">
      <alignment horizontal="center" vertical="center"/>
    </xf>
    <xf numFmtId="2" fontId="128" fillId="0" borderId="6" xfId="23" applyNumberFormat="1" applyFont="1" applyBorder="1" applyAlignment="1">
      <alignment horizontal="centerContinuous" vertical="center"/>
    </xf>
    <xf numFmtId="0" fontId="128" fillId="0" borderId="0" xfId="23" applyFont="1" applyAlignment="1">
      <alignment horizontal="left" vertical="center"/>
    </xf>
    <xf numFmtId="0" fontId="59" fillId="0" borderId="0" xfId="23" applyFont="1" applyAlignment="1">
      <alignment vertical="center"/>
    </xf>
    <xf numFmtId="0" fontId="40" fillId="0" borderId="0" xfId="23" applyFont="1" applyAlignment="1">
      <alignment horizontal="center" vertical="center"/>
    </xf>
    <xf numFmtId="0" fontId="40" fillId="0" borderId="76" xfId="23" applyFont="1" applyBorder="1" applyAlignment="1">
      <alignment vertical="center"/>
    </xf>
    <xf numFmtId="0" fontId="40" fillId="0" borderId="38" xfId="23" applyFont="1" applyBorder="1" applyAlignment="1">
      <alignment horizontal="right" vertical="center"/>
    </xf>
    <xf numFmtId="0" fontId="40" fillId="0" borderId="104" xfId="23" applyFont="1" applyBorder="1" applyAlignment="1" applyProtection="1">
      <alignment horizontal="center" vertical="center"/>
      <protection locked="0"/>
    </xf>
    <xf numFmtId="0" fontId="40" fillId="0" borderId="76" xfId="23" applyFont="1" applyBorder="1" applyAlignment="1">
      <alignment horizontal="right" vertical="center"/>
    </xf>
    <xf numFmtId="0" fontId="40" fillId="0" borderId="72" xfId="23" applyFont="1" applyBorder="1" applyAlignment="1" applyProtection="1">
      <alignment horizontal="right" vertical="center"/>
      <protection locked="0"/>
    </xf>
    <xf numFmtId="0" fontId="40" fillId="0" borderId="72" xfId="23" applyFont="1" applyBorder="1" applyAlignment="1" applyProtection="1">
      <alignment vertical="center"/>
      <protection locked="0"/>
    </xf>
    <xf numFmtId="0" fontId="40" fillId="0" borderId="76" xfId="23" applyFont="1" applyBorder="1" applyAlignment="1">
      <alignment horizontal="left" vertical="center"/>
    </xf>
    <xf numFmtId="0" fontId="40" fillId="0" borderId="38" xfId="23" applyFont="1" applyBorder="1" applyAlignment="1">
      <alignment horizontal="left" vertical="center"/>
    </xf>
    <xf numFmtId="2" fontId="40" fillId="0" borderId="104" xfId="23" applyNumberFormat="1" applyFont="1" applyBorder="1" applyAlignment="1">
      <alignment vertical="center"/>
    </xf>
    <xf numFmtId="2" fontId="40" fillId="0" borderId="72" xfId="23" applyNumberFormat="1" applyFont="1" applyBorder="1" applyAlignment="1">
      <alignment horizontal="right" vertical="center"/>
    </xf>
    <xf numFmtId="2" fontId="40" fillId="0" borderId="38" xfId="23" applyNumberFormat="1" applyFont="1" applyBorder="1" applyAlignment="1">
      <alignment horizontal="right" vertical="center"/>
    </xf>
    <xf numFmtId="167" fontId="40" fillId="0" borderId="104" xfId="23" applyNumberFormat="1" applyFont="1" applyBorder="1" applyAlignment="1">
      <alignment vertical="center"/>
    </xf>
    <xf numFmtId="0" fontId="40" fillId="0" borderId="72" xfId="23" applyFont="1" applyBorder="1" applyAlignment="1">
      <alignment vertical="center"/>
    </xf>
    <xf numFmtId="167" fontId="40" fillId="0" borderId="38" xfId="23" applyNumberFormat="1" applyFont="1" applyBorder="1" applyAlignment="1">
      <alignment horizontal="right" vertical="center"/>
    </xf>
    <xf numFmtId="0" fontId="40" fillId="0" borderId="104" xfId="23" applyFont="1" applyBorder="1" applyAlignment="1">
      <alignment horizontal="right" vertical="center"/>
    </xf>
    <xf numFmtId="166" fontId="11" fillId="0" borderId="104" xfId="23" applyNumberFormat="1" applyFont="1" applyBorder="1" applyAlignment="1" applyProtection="1">
      <alignment horizontal="right" vertical="center"/>
      <protection locked="0"/>
    </xf>
    <xf numFmtId="2" fontId="40" fillId="0" borderId="76" xfId="23" applyNumberFormat="1" applyFont="1" applyBorder="1" applyAlignment="1">
      <alignment horizontal="left" vertical="center"/>
    </xf>
    <xf numFmtId="167" fontId="40" fillId="0" borderId="72" xfId="23" applyNumberFormat="1" applyFont="1" applyBorder="1" applyAlignment="1">
      <alignment horizontal="right" vertical="center"/>
    </xf>
    <xf numFmtId="166" fontId="40" fillId="0" borderId="104" xfId="23" applyNumberFormat="1" applyFont="1" applyBorder="1" applyAlignment="1" applyProtection="1">
      <alignment horizontal="right" vertical="center"/>
      <protection locked="0"/>
    </xf>
    <xf numFmtId="166" fontId="26" fillId="0" borderId="38" xfId="23" applyNumberFormat="1" applyFont="1" applyBorder="1" applyAlignment="1">
      <alignment horizontal="right" vertical="center"/>
    </xf>
    <xf numFmtId="166" fontId="26" fillId="0" borderId="104" xfId="23" applyNumberFormat="1" applyFont="1" applyBorder="1" applyAlignment="1">
      <alignment horizontal="right" vertical="center"/>
    </xf>
    <xf numFmtId="166" fontId="40" fillId="0" borderId="104" xfId="23" applyNumberFormat="1" applyFont="1" applyBorder="1" applyAlignment="1">
      <alignment horizontal="right" vertical="center"/>
    </xf>
    <xf numFmtId="2" fontId="26" fillId="0" borderId="104" xfId="23" applyNumberFormat="1" applyFont="1" applyBorder="1" applyAlignment="1">
      <alignment horizontal="right" vertical="center"/>
    </xf>
    <xf numFmtId="2" fontId="40" fillId="0" borderId="72" xfId="23" applyNumberFormat="1" applyFont="1" applyBorder="1" applyAlignment="1" applyProtection="1">
      <alignment horizontal="right" vertical="center"/>
      <protection locked="0"/>
    </xf>
    <xf numFmtId="2" fontId="40" fillId="0" borderId="72" xfId="23" applyNumberFormat="1" applyFont="1" applyBorder="1" applyAlignment="1" applyProtection="1">
      <alignment vertical="center"/>
      <protection locked="0"/>
    </xf>
    <xf numFmtId="2" fontId="40" fillId="0" borderId="104" xfId="23" applyNumberFormat="1" applyFont="1" applyBorder="1" applyAlignment="1">
      <alignment horizontal="right" vertical="center"/>
    </xf>
    <xf numFmtId="2" fontId="40" fillId="0" borderId="72" xfId="23" applyNumberFormat="1" applyFont="1" applyBorder="1" applyAlignment="1">
      <alignment vertical="center"/>
    </xf>
    <xf numFmtId="166" fontId="40" fillId="0" borderId="0" xfId="23" applyNumberFormat="1" applyFont="1" applyAlignment="1">
      <alignment vertical="center"/>
    </xf>
    <xf numFmtId="2" fontId="26" fillId="0" borderId="0" xfId="23" applyNumberFormat="1" applyFont="1" applyAlignment="1">
      <alignment horizontal="right" vertical="center"/>
    </xf>
    <xf numFmtId="0" fontId="40" fillId="0" borderId="122" xfId="23" applyFont="1" applyBorder="1" applyAlignment="1">
      <alignment horizontal="centerContinuous" vertical="center"/>
    </xf>
    <xf numFmtId="0" fontId="40" fillId="0" borderId="65" xfId="23" applyFont="1" applyBorder="1" applyAlignment="1">
      <alignment horizontal="centerContinuous" vertical="center"/>
    </xf>
    <xf numFmtId="0" fontId="40" fillId="0" borderId="65" xfId="23" applyFont="1" applyBorder="1" applyAlignment="1">
      <alignment horizontal="center" vertical="center"/>
    </xf>
    <xf numFmtId="0" fontId="26" fillId="0" borderId="65" xfId="23" applyFont="1" applyBorder="1" applyAlignment="1">
      <alignment horizontal="centerContinuous" vertical="center"/>
    </xf>
    <xf numFmtId="0" fontId="40" fillId="0" borderId="104" xfId="23" applyFont="1" applyBorder="1" applyAlignment="1">
      <alignment horizontal="centerContinuous" vertical="center"/>
    </xf>
    <xf numFmtId="2" fontId="40" fillId="0" borderId="104" xfId="23" applyNumberFormat="1" applyFont="1" applyBorder="1" applyAlignment="1">
      <alignment horizontal="centerContinuous" vertical="center"/>
    </xf>
    <xf numFmtId="2" fontId="40" fillId="0" borderId="34" xfId="23" applyNumberFormat="1" applyFont="1" applyBorder="1" applyAlignment="1">
      <alignment horizontal="centerContinuous" vertical="center"/>
    </xf>
    <xf numFmtId="2" fontId="40" fillId="0" borderId="52" xfId="23" applyNumberFormat="1" applyFont="1" applyBorder="1" applyAlignment="1">
      <alignment horizontal="centerContinuous" vertical="center"/>
    </xf>
    <xf numFmtId="0" fontId="128" fillId="0" borderId="82" xfId="23" applyFont="1" applyBorder="1" applyAlignment="1">
      <alignment horizontal="center" vertical="center"/>
    </xf>
    <xf numFmtId="0" fontId="40" fillId="0" borderId="123" xfId="23" applyFont="1" applyBorder="1" applyAlignment="1">
      <alignment horizontal="centerContinuous" vertical="center"/>
    </xf>
    <xf numFmtId="0" fontId="40" fillId="0" borderId="109" xfId="23" applyFont="1" applyBorder="1" applyAlignment="1">
      <alignment horizontal="center" vertical="center"/>
    </xf>
    <xf numFmtId="0" fontId="26" fillId="0" borderId="109" xfId="23" applyFont="1" applyBorder="1" applyAlignment="1">
      <alignment horizontal="center" vertical="center"/>
    </xf>
    <xf numFmtId="0" fontId="40" fillId="0" borderId="60" xfId="23" applyFont="1" applyBorder="1" applyAlignment="1">
      <alignment horizontal="center" vertical="center"/>
    </xf>
    <xf numFmtId="0" fontId="128" fillId="0" borderId="100" xfId="23" applyFont="1" applyBorder="1" applyAlignment="1">
      <alignment horizontal="center" vertical="center"/>
    </xf>
    <xf numFmtId="2" fontId="128" fillId="0" borderId="14" xfId="23" applyNumberFormat="1" applyFont="1" applyBorder="1" applyAlignment="1">
      <alignment horizontal="centerContinuous" vertical="center"/>
    </xf>
    <xf numFmtId="2" fontId="128" fillId="0" borderId="14" xfId="23" applyNumberFormat="1" applyFont="1" applyBorder="1" applyAlignment="1">
      <alignment horizontal="center" vertical="center"/>
    </xf>
    <xf numFmtId="0" fontId="40" fillId="0" borderId="109" xfId="23" applyFont="1" applyBorder="1" applyAlignment="1">
      <alignment horizontal="centerContinuous" vertical="center"/>
    </xf>
    <xf numFmtId="0" fontId="40" fillId="0" borderId="60" xfId="23" applyFont="1" applyBorder="1" applyAlignment="1">
      <alignment horizontal="left" vertical="center"/>
    </xf>
    <xf numFmtId="0" fontId="132" fillId="0" borderId="1" xfId="23" applyFont="1" applyBorder="1" applyAlignment="1">
      <alignment horizontal="center" vertical="center"/>
    </xf>
    <xf numFmtId="2" fontId="132" fillId="0" borderId="14" xfId="23" applyNumberFormat="1" applyFont="1" applyBorder="1" applyAlignment="1">
      <alignment horizontal="centerContinuous" vertical="center"/>
    </xf>
    <xf numFmtId="2" fontId="132" fillId="0" borderId="14" xfId="23" applyNumberFormat="1" applyFont="1" applyBorder="1" applyAlignment="1">
      <alignment horizontal="center" vertical="center"/>
    </xf>
    <xf numFmtId="2" fontId="59" fillId="0" borderId="6" xfId="23" applyNumberFormat="1" applyFont="1" applyBorder="1" applyAlignment="1">
      <alignment horizontal="center" vertical="center"/>
    </xf>
    <xf numFmtId="2" fontId="59" fillId="0" borderId="83" xfId="23" applyNumberFormat="1" applyFont="1" applyBorder="1" applyAlignment="1">
      <alignment horizontal="center" vertical="center"/>
    </xf>
    <xf numFmtId="0" fontId="40" fillId="0" borderId="124" xfId="23" applyFont="1" applyBorder="1" applyAlignment="1">
      <alignment horizontal="centerContinuous" vertical="center"/>
    </xf>
    <xf numFmtId="0" fontId="40" fillId="0" borderId="108" xfId="23" applyFont="1" applyBorder="1" applyAlignment="1">
      <alignment horizontal="centerContinuous" vertical="center"/>
    </xf>
    <xf numFmtId="0" fontId="40" fillId="0" borderId="108" xfId="23" applyFont="1" applyBorder="1" applyAlignment="1">
      <alignment horizontal="center" vertical="center"/>
    </xf>
    <xf numFmtId="0" fontId="40" fillId="0" borderId="101" xfId="23" applyFont="1" applyBorder="1" applyAlignment="1">
      <alignment horizontal="center" vertical="center"/>
    </xf>
    <xf numFmtId="0" fontId="40" fillId="0" borderId="125" xfId="23" applyFont="1" applyBorder="1" applyAlignment="1">
      <alignment horizontal="left" vertical="center"/>
    </xf>
    <xf numFmtId="0" fontId="37" fillId="0" borderId="98" xfId="23" applyFont="1" applyBorder="1" applyAlignment="1">
      <alignment horizontal="centerContinuous" vertical="center"/>
    </xf>
    <xf numFmtId="2" fontId="37" fillId="0" borderId="94" xfId="23" applyNumberFormat="1" applyFont="1" applyBorder="1" applyAlignment="1">
      <alignment horizontal="center" vertical="center"/>
    </xf>
    <xf numFmtId="2" fontId="37" fillId="0" borderId="94" xfId="23" applyNumberFormat="1" applyFont="1" applyBorder="1" applyAlignment="1">
      <alignment horizontal="centerContinuous" vertical="center"/>
    </xf>
    <xf numFmtId="2" fontId="37" fillId="0" borderId="95" xfId="23" applyNumberFormat="1" applyFont="1" applyBorder="1" applyAlignment="1">
      <alignment horizontal="center" vertical="center"/>
    </xf>
    <xf numFmtId="0" fontId="40" fillId="0" borderId="72" xfId="23" applyFont="1" applyBorder="1" applyAlignment="1">
      <alignment horizontal="center" vertical="center"/>
    </xf>
    <xf numFmtId="2" fontId="40" fillId="0" borderId="72" xfId="23" applyNumberFormat="1" applyFont="1" applyBorder="1" applyAlignment="1">
      <alignment horizontal="center" vertical="center"/>
    </xf>
    <xf numFmtId="2" fontId="40" fillId="0" borderId="38" xfId="23" applyNumberFormat="1" applyFont="1" applyBorder="1" applyAlignment="1">
      <alignment horizontal="center" vertical="center"/>
    </xf>
    <xf numFmtId="0" fontId="40" fillId="0" borderId="38" xfId="23" applyFont="1" applyBorder="1" applyAlignment="1">
      <alignment horizontal="center" vertical="center"/>
    </xf>
    <xf numFmtId="2" fontId="128" fillId="0" borderId="104" xfId="23" applyNumberFormat="1" applyFont="1" applyBorder="1" applyAlignment="1" applyProtection="1">
      <alignment horizontal="center" vertical="center"/>
      <protection locked="0"/>
    </xf>
    <xf numFmtId="2" fontId="40" fillId="0" borderId="0" xfId="23" applyNumberFormat="1" applyFont="1" applyAlignment="1">
      <alignment vertical="center"/>
    </xf>
    <xf numFmtId="0" fontId="40" fillId="0" borderId="21" xfId="23" applyFont="1" applyBorder="1" applyAlignment="1">
      <alignment horizontal="center" vertical="center"/>
    </xf>
    <xf numFmtId="2" fontId="40" fillId="0" borderId="21" xfId="23" applyNumberFormat="1" applyFont="1" applyBorder="1" applyAlignment="1">
      <alignment vertical="center"/>
    </xf>
    <xf numFmtId="0" fontId="40" fillId="0" borderId="29" xfId="23" applyFont="1" applyBorder="1" applyAlignment="1">
      <alignment vertical="center"/>
    </xf>
    <xf numFmtId="0" fontId="40" fillId="0" borderId="15" xfId="23" applyFont="1" applyBorder="1" applyAlignment="1">
      <alignment horizontal="center" vertical="center"/>
    </xf>
    <xf numFmtId="0" fontId="40" fillId="0" borderId="26" xfId="23" applyFont="1" applyBorder="1" applyAlignment="1">
      <alignment horizontal="center" vertical="center"/>
    </xf>
    <xf numFmtId="0" fontId="40" fillId="0" borderId="44" xfId="23" applyFont="1" applyBorder="1" applyAlignment="1">
      <alignment horizontal="center" vertical="center"/>
    </xf>
    <xf numFmtId="0" fontId="40" fillId="0" borderId="43" xfId="23" applyFont="1" applyBorder="1" applyAlignment="1">
      <alignment horizontal="center" vertical="center"/>
    </xf>
    <xf numFmtId="0" fontId="40" fillId="0" borderId="16" xfId="23" applyFont="1" applyBorder="1" applyAlignment="1">
      <alignment horizontal="center" vertical="center"/>
    </xf>
    <xf numFmtId="0" fontId="40" fillId="0" borderId="35" xfId="23" applyFont="1" applyBorder="1" applyAlignment="1">
      <alignment horizontal="center" vertical="center"/>
    </xf>
    <xf numFmtId="0" fontId="40" fillId="0" borderId="104" xfId="23" applyFont="1" applyBorder="1" applyAlignment="1">
      <alignment horizontal="center" vertical="center"/>
    </xf>
    <xf numFmtId="0" fontId="40" fillId="0" borderId="38" xfId="23" quotePrefix="1" applyFont="1" applyBorder="1" applyAlignment="1" applyProtection="1">
      <alignment horizontal="center" vertical="center"/>
      <protection locked="0"/>
    </xf>
    <xf numFmtId="14" fontId="128" fillId="0" borderId="35" xfId="23" quotePrefix="1" applyNumberFormat="1" applyFont="1" applyBorder="1" applyAlignment="1">
      <alignment horizontal="center" vertical="center"/>
    </xf>
    <xf numFmtId="0" fontId="40" fillId="0" borderId="13" xfId="23" applyFont="1" applyBorder="1" applyAlignment="1">
      <alignment horizontal="center" vertical="center"/>
    </xf>
    <xf numFmtId="0" fontId="40" fillId="0" borderId="47" xfId="23" applyFont="1" applyBorder="1" applyAlignment="1">
      <alignment horizontal="center" vertical="center"/>
    </xf>
    <xf numFmtId="0" fontId="40" fillId="0" borderId="63" xfId="23" applyFont="1" applyBorder="1" applyAlignment="1">
      <alignment horizontal="center" vertical="center"/>
    </xf>
    <xf numFmtId="0" fontId="40" fillId="0" borderId="47" xfId="23" applyFont="1" applyBorder="1" applyAlignment="1" applyProtection="1">
      <alignment horizontal="center" vertical="center"/>
      <protection locked="0"/>
    </xf>
    <xf numFmtId="0" fontId="128" fillId="0" borderId="31" xfId="23" applyFont="1" applyBorder="1" applyAlignment="1">
      <alignment horizontal="center" vertical="center"/>
    </xf>
    <xf numFmtId="0" fontId="128" fillId="0" borderId="0" xfId="23" applyFont="1" applyAlignment="1">
      <alignment horizontal="center" vertical="center"/>
    </xf>
    <xf numFmtId="0" fontId="128" fillId="0" borderId="28" xfId="23" applyFont="1" applyBorder="1" applyAlignment="1">
      <alignment horizontal="center" vertical="center"/>
    </xf>
    <xf numFmtId="0" fontId="40" fillId="0" borderId="25" xfId="23" applyFont="1" applyBorder="1" applyAlignment="1">
      <alignment horizontal="center" vertical="center"/>
    </xf>
    <xf numFmtId="0" fontId="40" fillId="0" borderId="24" xfId="23" applyFont="1" applyBorder="1" applyAlignment="1">
      <alignment horizontal="center" vertical="center"/>
    </xf>
    <xf numFmtId="0" fontId="214" fillId="0" borderId="16" xfId="23" applyFont="1" applyBorder="1" applyAlignment="1">
      <alignment horizontal="center" vertical="center"/>
    </xf>
    <xf numFmtId="0" fontId="40" fillId="0" borderId="28" xfId="23" applyFont="1" applyBorder="1" applyAlignment="1">
      <alignment horizontal="center" vertical="center"/>
    </xf>
    <xf numFmtId="0" fontId="40" fillId="0" borderId="4" xfId="23" applyFont="1" applyBorder="1" applyAlignment="1">
      <alignment horizontal="center" vertical="center"/>
    </xf>
    <xf numFmtId="0" fontId="40" fillId="0" borderId="3" xfId="23" applyFont="1" applyBorder="1" applyAlignment="1">
      <alignment horizontal="center" vertical="center"/>
    </xf>
    <xf numFmtId="2" fontId="128" fillId="0" borderId="12" xfId="23" applyNumberFormat="1" applyFont="1" applyBorder="1" applyAlignment="1">
      <alignment horizontal="center" vertical="center"/>
    </xf>
    <xf numFmtId="2" fontId="128" fillId="0" borderId="21" xfId="23" applyNumberFormat="1" applyFont="1" applyBorder="1" applyAlignment="1">
      <alignment horizontal="center" vertical="center"/>
    </xf>
    <xf numFmtId="0" fontId="59" fillId="0" borderId="0" xfId="23" applyFont="1" applyAlignment="1">
      <alignment horizontal="center" vertical="center"/>
    </xf>
    <xf numFmtId="0" fontId="40" fillId="0" borderId="76" xfId="23" applyFont="1" applyBorder="1" applyAlignment="1">
      <alignment horizontal="center" vertical="center"/>
    </xf>
    <xf numFmtId="0" fontId="40" fillId="0" borderId="72" xfId="23" applyFont="1" applyBorder="1" applyAlignment="1" applyProtection="1">
      <alignment horizontal="center" vertical="center"/>
      <protection locked="0"/>
    </xf>
    <xf numFmtId="2" fontId="40" fillId="0" borderId="104" xfId="23" applyNumberFormat="1" applyFont="1" applyBorder="1" applyAlignment="1">
      <alignment horizontal="center" vertical="center"/>
    </xf>
    <xf numFmtId="167" fontId="40" fillId="0" borderId="104" xfId="23" applyNumberFormat="1" applyFont="1" applyBorder="1" applyAlignment="1">
      <alignment horizontal="center" vertical="center"/>
    </xf>
    <xf numFmtId="167" fontId="40" fillId="0" borderId="38" xfId="23" applyNumberFormat="1" applyFont="1" applyBorder="1" applyAlignment="1">
      <alignment horizontal="center" vertical="center"/>
    </xf>
    <xf numFmtId="2" fontId="40" fillId="0" borderId="76" xfId="23" applyNumberFormat="1" applyFont="1" applyBorder="1" applyAlignment="1">
      <alignment horizontal="center" vertical="center"/>
    </xf>
    <xf numFmtId="167" fontId="40" fillId="0" borderId="72" xfId="23" applyNumberFormat="1" applyFont="1" applyBorder="1" applyAlignment="1">
      <alignment horizontal="center" vertical="center"/>
    </xf>
    <xf numFmtId="166" fontId="40" fillId="0" borderId="104" xfId="23" applyNumberFormat="1" applyFont="1" applyBorder="1" applyAlignment="1" applyProtection="1">
      <alignment horizontal="center" vertical="center"/>
      <protection locked="0"/>
    </xf>
    <xf numFmtId="166" fontId="26" fillId="0" borderId="38" xfId="23" applyNumberFormat="1" applyFont="1" applyBorder="1" applyAlignment="1">
      <alignment horizontal="center" vertical="center"/>
    </xf>
    <xf numFmtId="166" fontId="26" fillId="0" borderId="104" xfId="23" applyNumberFormat="1" applyFont="1" applyBorder="1" applyAlignment="1">
      <alignment horizontal="center" vertical="center"/>
    </xf>
    <xf numFmtId="166" fontId="40" fillId="0" borderId="104" xfId="23" applyNumberFormat="1" applyFont="1" applyBorder="1" applyAlignment="1">
      <alignment horizontal="center" vertical="center"/>
    </xf>
    <xf numFmtId="2" fontId="26" fillId="0" borderId="104" xfId="23" applyNumberFormat="1" applyFont="1" applyBorder="1" applyAlignment="1">
      <alignment horizontal="center" vertical="center"/>
    </xf>
    <xf numFmtId="2" fontId="40" fillId="0" borderId="72" xfId="23" applyNumberFormat="1" applyFont="1" applyBorder="1" applyAlignment="1" applyProtection="1">
      <alignment horizontal="center" vertical="center"/>
      <protection locked="0"/>
    </xf>
    <xf numFmtId="166" fontId="40" fillId="0" borderId="0" xfId="23" applyNumberFormat="1" applyFont="1" applyAlignment="1">
      <alignment horizontal="center" vertical="center"/>
    </xf>
    <xf numFmtId="2" fontId="26" fillId="0" borderId="0" xfId="23" applyNumberFormat="1" applyFont="1" applyAlignment="1">
      <alignment horizontal="center" vertical="center"/>
    </xf>
    <xf numFmtId="0" fontId="40" fillId="0" borderId="122" xfId="23" applyFont="1" applyBorder="1" applyAlignment="1">
      <alignment horizontal="center" vertical="center"/>
    </xf>
    <xf numFmtId="0" fontId="26" fillId="0" borderId="65" xfId="23" applyFont="1" applyBorder="1" applyAlignment="1">
      <alignment horizontal="center" vertical="center"/>
    </xf>
    <xf numFmtId="2" fontId="40" fillId="0" borderId="34" xfId="23" applyNumberFormat="1" applyFont="1" applyBorder="1" applyAlignment="1">
      <alignment horizontal="center" vertical="center"/>
    </xf>
    <xf numFmtId="2" fontId="40" fillId="0" borderId="52" xfId="23" applyNumberFormat="1" applyFont="1" applyBorder="1" applyAlignment="1">
      <alignment horizontal="center" vertical="center"/>
    </xf>
    <xf numFmtId="0" fontId="40" fillId="0" borderId="123" xfId="23" applyFont="1" applyBorder="1" applyAlignment="1">
      <alignment horizontal="center" vertical="center"/>
    </xf>
    <xf numFmtId="0" fontId="40" fillId="0" borderId="124" xfId="23" applyFont="1" applyBorder="1" applyAlignment="1">
      <alignment horizontal="center" vertical="center"/>
    </xf>
    <xf numFmtId="0" fontId="40" fillId="0" borderId="125" xfId="23" applyFont="1" applyBorder="1" applyAlignment="1">
      <alignment horizontal="center" vertical="center"/>
    </xf>
    <xf numFmtId="0" fontId="37" fillId="0" borderId="98" xfId="23" applyFont="1" applyBorder="1" applyAlignment="1">
      <alignment horizontal="center" vertical="center"/>
    </xf>
    <xf numFmtId="1" fontId="40" fillId="0" borderId="104" xfId="23" applyNumberFormat="1" applyFont="1" applyBorder="1" applyAlignment="1">
      <alignment horizontal="center" vertical="center"/>
    </xf>
    <xf numFmtId="166" fontId="128" fillId="0" borderId="104" xfId="23" applyNumberFormat="1" applyFont="1" applyBorder="1" applyAlignment="1" applyProtection="1">
      <alignment horizontal="center" vertical="center"/>
      <protection locked="0"/>
    </xf>
    <xf numFmtId="2" fontId="131" fillId="0" borderId="28" xfId="23" applyNumberFormat="1" applyFont="1" applyBorder="1" applyAlignment="1">
      <alignment horizontal="center" vertical="center"/>
    </xf>
    <xf numFmtId="2" fontId="128" fillId="0" borderId="104" xfId="23" applyNumberFormat="1" applyFont="1" applyBorder="1" applyAlignment="1">
      <alignment horizontal="center" vertical="center"/>
    </xf>
    <xf numFmtId="0" fontId="59" fillId="0" borderId="38" xfId="23" applyFont="1" applyBorder="1" applyAlignment="1">
      <alignment horizontal="center" vertical="center"/>
    </xf>
    <xf numFmtId="0" fontId="59" fillId="0" borderId="72" xfId="23" applyFont="1" applyBorder="1" applyAlignment="1">
      <alignment horizontal="center" vertical="center"/>
    </xf>
    <xf numFmtId="2" fontId="40" fillId="0" borderId="0" xfId="23" applyNumberFormat="1" applyFont="1" applyAlignment="1">
      <alignment horizontal="center" vertical="center"/>
    </xf>
    <xf numFmtId="2" fontId="40" fillId="0" borderId="21" xfId="23" applyNumberFormat="1" applyFont="1" applyBorder="1" applyAlignment="1">
      <alignment horizontal="center" vertical="center"/>
    </xf>
    <xf numFmtId="0" fontId="40" fillId="0" borderId="29" xfId="23" applyFont="1" applyBorder="1" applyAlignment="1">
      <alignment horizontal="center" vertical="center"/>
    </xf>
    <xf numFmtId="0" fontId="128" fillId="0" borderId="104" xfId="23" applyFont="1" applyBorder="1" applyAlignment="1" applyProtection="1">
      <alignment horizontal="center" vertical="center"/>
      <protection locked="0"/>
    </xf>
    <xf numFmtId="0" fontId="40" fillId="3" borderId="104" xfId="23" applyFont="1" applyFill="1" applyBorder="1" applyAlignment="1" applyProtection="1">
      <alignment horizontal="center" vertical="center"/>
      <protection locked="0"/>
    </xf>
    <xf numFmtId="166" fontId="40" fillId="3" borderId="104" xfId="23" applyNumberFormat="1" applyFont="1" applyFill="1" applyBorder="1" applyAlignment="1" applyProtection="1">
      <alignment horizontal="center" vertical="center"/>
      <protection locked="0"/>
    </xf>
    <xf numFmtId="166" fontId="128" fillId="3" borderId="104" xfId="23" applyNumberFormat="1" applyFont="1" applyFill="1" applyBorder="1" applyAlignment="1" applyProtection="1">
      <alignment horizontal="center" vertical="center"/>
      <protection locked="0"/>
    </xf>
    <xf numFmtId="2" fontId="128" fillId="3" borderId="104" xfId="23" applyNumberFormat="1" applyFont="1" applyFill="1" applyBorder="1" applyAlignment="1" applyProtection="1">
      <alignment horizontal="center" vertical="center"/>
      <protection locked="0"/>
    </xf>
    <xf numFmtId="1" fontId="40" fillId="3" borderId="104" xfId="23" applyNumberFormat="1" applyFont="1" applyFill="1" applyBorder="1" applyAlignment="1" applyProtection="1">
      <alignment horizontal="center" vertical="center"/>
      <protection locked="0"/>
    </xf>
    <xf numFmtId="0" fontId="40" fillId="3" borderId="72" xfId="23" applyFont="1" applyFill="1" applyBorder="1" applyAlignment="1">
      <alignment horizontal="center" vertical="center"/>
    </xf>
    <xf numFmtId="2" fontId="40" fillId="3" borderId="72" xfId="23" applyNumberFormat="1" applyFont="1" applyFill="1" applyBorder="1" applyAlignment="1">
      <alignment horizontal="center" vertical="center"/>
    </xf>
    <xf numFmtId="0" fontId="59" fillId="3" borderId="72" xfId="23" applyFont="1" applyFill="1" applyBorder="1" applyAlignment="1">
      <alignment horizontal="center" vertical="center"/>
    </xf>
    <xf numFmtId="0" fontId="40" fillId="3" borderId="72" xfId="23" applyFont="1" applyFill="1" applyBorder="1" applyAlignment="1" applyProtection="1">
      <alignment horizontal="center" vertical="center"/>
      <protection locked="0"/>
    </xf>
    <xf numFmtId="2" fontId="26" fillId="3" borderId="104" xfId="23" applyNumberFormat="1" applyFont="1" applyFill="1" applyBorder="1" applyAlignment="1">
      <alignment horizontal="center" vertical="center"/>
    </xf>
    <xf numFmtId="166" fontId="11" fillId="3" borderId="104" xfId="23" applyNumberFormat="1" applyFont="1" applyFill="1" applyBorder="1" applyAlignment="1" applyProtection="1">
      <alignment horizontal="center" vertical="center"/>
      <protection locked="0"/>
    </xf>
    <xf numFmtId="0" fontId="40" fillId="3" borderId="104" xfId="23" applyFont="1" applyFill="1" applyBorder="1" applyAlignment="1">
      <alignment horizontal="center" vertical="center"/>
    </xf>
    <xf numFmtId="2" fontId="40" fillId="3" borderId="72" xfId="23" applyNumberFormat="1" applyFont="1" applyFill="1" applyBorder="1" applyAlignment="1" applyProtection="1">
      <alignment horizontal="center" vertical="center"/>
      <protection locked="0"/>
    </xf>
    <xf numFmtId="0" fontId="59" fillId="0" borderId="16" xfId="23" applyFont="1" applyBorder="1" applyAlignment="1">
      <alignment horizontal="left" vertical="center"/>
    </xf>
    <xf numFmtId="0" fontId="40" fillId="0" borderId="42" xfId="23" applyFont="1" applyBorder="1" applyAlignment="1">
      <alignment horizontal="left" vertical="center"/>
    </xf>
    <xf numFmtId="0" fontId="40" fillId="0" borderId="74" xfId="23" applyFont="1" applyBorder="1" applyAlignment="1">
      <alignment horizontal="left" vertical="center"/>
    </xf>
    <xf numFmtId="0" fontId="40" fillId="0" borderId="51" xfId="23" applyFont="1" applyBorder="1" applyAlignment="1">
      <alignment horizontal="left" vertical="center"/>
    </xf>
    <xf numFmtId="0" fontId="132" fillId="0" borderId="0" xfId="23" applyFont="1" applyAlignment="1">
      <alignment horizontal="left" vertical="center"/>
    </xf>
    <xf numFmtId="165" fontId="128" fillId="0" borderId="0" xfId="18" applyNumberFormat="1" applyFont="1" applyAlignment="1" applyProtection="1">
      <alignment horizontal="center" vertical="center"/>
      <protection locked="0"/>
    </xf>
    <xf numFmtId="0" fontId="59" fillId="7" borderId="0" xfId="2" applyFont="1" applyFill="1" applyAlignment="1">
      <alignment horizontal="center"/>
    </xf>
    <xf numFmtId="167" fontId="59" fillId="7" borderId="0" xfId="2" applyNumberFormat="1" applyFont="1" applyFill="1" applyAlignment="1">
      <alignment horizontal="center"/>
    </xf>
    <xf numFmtId="0" fontId="40" fillId="0" borderId="12" xfId="18" applyFont="1" applyBorder="1" applyAlignment="1">
      <alignment vertical="center"/>
    </xf>
    <xf numFmtId="0" fontId="13" fillId="0" borderId="126" xfId="0" applyFont="1" applyBorder="1" applyAlignment="1">
      <alignment horizontal="left" vertical="center"/>
    </xf>
    <xf numFmtId="0" fontId="51" fillId="0" borderId="0" xfId="7" applyFont="1" applyAlignment="1">
      <alignment horizontal="center" vertical="center"/>
    </xf>
    <xf numFmtId="0" fontId="40" fillId="9" borderId="0" xfId="7" applyFont="1" applyFill="1" applyAlignment="1">
      <alignment horizontal="left"/>
    </xf>
    <xf numFmtId="0" fontId="11" fillId="0" borderId="126" xfId="0" applyFont="1" applyBorder="1" applyAlignment="1">
      <alignment horizontal="left" vertical="center"/>
    </xf>
    <xf numFmtId="0" fontId="13" fillId="0" borderId="126" xfId="0" applyFont="1" applyBorder="1"/>
    <xf numFmtId="0" fontId="13" fillId="0" borderId="126" xfId="0" applyFont="1" applyBorder="1" applyAlignment="1">
      <alignment vertical="center"/>
    </xf>
    <xf numFmtId="0" fontId="13" fillId="0" borderId="126" xfId="3" applyFont="1" applyBorder="1" applyAlignment="1">
      <alignment vertical="center"/>
    </xf>
    <xf numFmtId="0" fontId="35" fillId="0" borderId="126" xfId="13" applyFont="1" applyBorder="1" applyAlignment="1">
      <alignment vertical="center"/>
    </xf>
    <xf numFmtId="0" fontId="59" fillId="0" borderId="28" xfId="3" applyFont="1" applyBorder="1" applyAlignment="1">
      <alignment vertical="center"/>
    </xf>
    <xf numFmtId="0" fontId="13" fillId="0" borderId="126" xfId="19" applyFont="1" applyBorder="1" applyAlignment="1">
      <alignment vertical="center"/>
    </xf>
    <xf numFmtId="167" fontId="128" fillId="0" borderId="0" xfId="18" applyNumberFormat="1" applyFont="1" applyAlignment="1" applyProtection="1">
      <alignment horizontal="right"/>
      <protection locked="0"/>
    </xf>
    <xf numFmtId="167" fontId="40" fillId="0" borderId="41" xfId="18" applyNumberFormat="1" applyFont="1" applyBorder="1" applyAlignment="1">
      <alignment horizontal="center"/>
    </xf>
    <xf numFmtId="167" fontId="40" fillId="0" borderId="43" xfId="18" applyNumberFormat="1" applyFont="1" applyBorder="1"/>
    <xf numFmtId="167" fontId="40" fillId="0" borderId="45" xfId="18" applyNumberFormat="1" applyFont="1" applyBorder="1" applyAlignment="1">
      <alignment horizontal="centerContinuous"/>
    </xf>
    <xf numFmtId="167" fontId="40" fillId="0" borderId="40" xfId="18" applyNumberFormat="1" applyFont="1" applyBorder="1" applyAlignment="1">
      <alignment horizontal="center"/>
    </xf>
    <xf numFmtId="167" fontId="40" fillId="0" borderId="35" xfId="18" applyNumberFormat="1" applyFont="1" applyBorder="1"/>
    <xf numFmtId="167" fontId="40" fillId="0" borderId="37" xfId="18" applyNumberFormat="1" applyFont="1" applyBorder="1" applyAlignment="1">
      <alignment horizontal="centerContinuous"/>
    </xf>
    <xf numFmtId="167" fontId="40" fillId="0" borderId="45" xfId="18" applyNumberFormat="1" applyFont="1" applyBorder="1" applyAlignment="1">
      <alignment horizontal="center" vertical="center"/>
    </xf>
    <xf numFmtId="167" fontId="40" fillId="0" borderId="44" xfId="18" applyNumberFormat="1" applyFont="1" applyBorder="1" applyAlignment="1">
      <alignment horizontal="center" vertical="center"/>
    </xf>
    <xf numFmtId="167" fontId="40" fillId="0" borderId="38" xfId="18" applyNumberFormat="1" applyFont="1" applyBorder="1" applyAlignment="1">
      <alignment horizontal="center" vertical="center"/>
    </xf>
    <xf numFmtId="0" fontId="40" fillId="0" borderId="27" xfId="18" applyFont="1" applyBorder="1" applyAlignment="1">
      <alignment horizontal="left" vertical="center"/>
    </xf>
    <xf numFmtId="0" fontId="40" fillId="0" borderId="28" xfId="18" applyFont="1" applyBorder="1" applyAlignment="1">
      <alignment horizontal="centerContinuous" vertical="center"/>
    </xf>
    <xf numFmtId="0" fontId="40" fillId="2" borderId="0" xfId="18" applyFont="1" applyFill="1" applyAlignment="1">
      <alignment horizontal="left" vertical="center"/>
    </xf>
    <xf numFmtId="166" fontId="40" fillId="2" borderId="0" xfId="18" applyNumberFormat="1" applyFont="1" applyFill="1" applyAlignment="1">
      <alignment horizontal="left" vertical="center"/>
    </xf>
    <xf numFmtId="0" fontId="40" fillId="0" borderId="28" xfId="18" applyFont="1" applyBorder="1" applyAlignment="1">
      <alignment horizontal="left" vertical="center"/>
    </xf>
    <xf numFmtId="0" fontId="40" fillId="0" borderId="28" xfId="18" applyFont="1" applyBorder="1" applyAlignment="1">
      <alignment horizontal="left" vertical="center" wrapText="1"/>
    </xf>
    <xf numFmtId="0" fontId="40" fillId="0" borderId="0" xfId="18" applyFont="1" applyAlignment="1">
      <alignment horizontal="center" vertical="center" wrapText="1"/>
    </xf>
    <xf numFmtId="167" fontId="40" fillId="0" borderId="0" xfId="18" applyNumberFormat="1" applyFont="1" applyAlignment="1">
      <alignment horizontal="centerContinuous" vertical="center" wrapText="1"/>
    </xf>
    <xf numFmtId="167" fontId="40" fillId="0" borderId="0" xfId="18" applyNumberFormat="1" applyFont="1" applyAlignment="1">
      <alignment horizontal="center" vertical="center" wrapText="1"/>
    </xf>
    <xf numFmtId="167" fontId="40" fillId="0" borderId="0" xfId="18" applyNumberFormat="1" applyFont="1" applyAlignment="1">
      <alignment horizontal="left" vertical="center" wrapText="1"/>
    </xf>
    <xf numFmtId="0" fontId="40" fillId="0" borderId="12" xfId="18" applyFont="1" applyBorder="1" applyAlignment="1">
      <alignment horizontal="left" vertical="center"/>
    </xf>
    <xf numFmtId="0" fontId="128" fillId="3" borderId="45" xfId="18" applyFont="1" applyFill="1" applyBorder="1" applyAlignment="1" applyProtection="1">
      <alignment horizontal="right" vertical="center"/>
      <protection locked="0"/>
    </xf>
    <xf numFmtId="2" fontId="40" fillId="0" borderId="45" xfId="18" quotePrefix="1" applyNumberFormat="1" applyFont="1" applyBorder="1" applyAlignment="1">
      <alignment horizontal="right" vertical="center"/>
    </xf>
    <xf numFmtId="0" fontId="40" fillId="0" borderId="44" xfId="18" applyFont="1" applyBorder="1" applyAlignment="1">
      <alignment horizontal="right" vertical="center"/>
    </xf>
    <xf numFmtId="2" fontId="40" fillId="0" borderId="44" xfId="18" applyNumberFormat="1" applyFont="1" applyBorder="1" applyAlignment="1">
      <alignment horizontal="right" vertical="center"/>
    </xf>
    <xf numFmtId="0" fontId="40" fillId="0" borderId="43" xfId="18" applyFont="1" applyBorder="1" applyAlignment="1">
      <alignment horizontal="right" vertical="center"/>
    </xf>
    <xf numFmtId="166" fontId="40" fillId="0" borderId="43" xfId="18" applyNumberFormat="1" applyFont="1" applyBorder="1" applyAlignment="1">
      <alignment horizontal="right" vertical="center"/>
    </xf>
    <xf numFmtId="166" fontId="40" fillId="0" borderId="45" xfId="18" applyNumberFormat="1" applyFont="1" applyBorder="1" applyAlignment="1">
      <alignment horizontal="right" vertical="center"/>
    </xf>
    <xf numFmtId="167" fontId="40" fillId="0" borderId="0" xfId="18" applyNumberFormat="1" applyFont="1" applyAlignment="1">
      <alignment horizontal="centerContinuous" vertical="center"/>
    </xf>
    <xf numFmtId="0" fontId="128" fillId="3" borderId="37" xfId="18" applyFont="1" applyFill="1" applyBorder="1" applyAlignment="1" applyProtection="1">
      <alignment horizontal="right" vertical="center"/>
      <protection locked="0"/>
    </xf>
    <xf numFmtId="2" fontId="40" fillId="0" borderId="37" xfId="18" applyNumberFormat="1" applyFont="1" applyBorder="1" applyAlignment="1">
      <alignment horizontal="right" vertical="center"/>
    </xf>
    <xf numFmtId="0" fontId="40" fillId="0" borderId="38" xfId="18" applyFont="1" applyBorder="1" applyAlignment="1">
      <alignment horizontal="right" vertical="center"/>
    </xf>
    <xf numFmtId="166" fontId="128" fillId="3" borderId="35" xfId="18" applyNumberFormat="1" applyFont="1" applyFill="1" applyBorder="1" applyAlignment="1" applyProtection="1">
      <alignment horizontal="right" vertical="center"/>
      <protection locked="0"/>
    </xf>
    <xf numFmtId="166" fontId="40" fillId="0" borderId="37" xfId="18" applyNumberFormat="1" applyFont="1" applyBorder="1" applyAlignment="1">
      <alignment horizontal="right" vertical="center"/>
    </xf>
    <xf numFmtId="166" fontId="128" fillId="3" borderId="37" xfId="18" applyNumberFormat="1" applyFont="1" applyFill="1" applyBorder="1" applyAlignment="1" applyProtection="1">
      <alignment horizontal="right" vertical="center"/>
      <protection locked="0"/>
    </xf>
    <xf numFmtId="2" fontId="40" fillId="0" borderId="0" xfId="18" applyNumberFormat="1" applyFont="1" applyAlignment="1">
      <alignment horizontal="left" vertical="center"/>
    </xf>
    <xf numFmtId="166" fontId="40" fillId="0" borderId="0" xfId="18" applyNumberFormat="1" applyFont="1" applyAlignment="1">
      <alignment vertical="center"/>
    </xf>
    <xf numFmtId="2" fontId="40" fillId="0" borderId="28" xfId="18" applyNumberFormat="1" applyFont="1" applyBorder="1" applyAlignment="1">
      <alignment horizontal="centerContinuous" vertical="center"/>
    </xf>
    <xf numFmtId="166" fontId="128" fillId="3" borderId="9" xfId="18" applyNumberFormat="1" applyFont="1" applyFill="1" applyBorder="1" applyAlignment="1" applyProtection="1">
      <alignment horizontal="right" vertical="center"/>
      <protection locked="0"/>
    </xf>
    <xf numFmtId="0" fontId="40" fillId="0" borderId="37" xfId="18" applyFont="1" applyBorder="1" applyAlignment="1">
      <alignment horizontal="right" vertical="center"/>
    </xf>
    <xf numFmtId="1" fontId="40" fillId="0" borderId="45" xfId="18" applyNumberFormat="1" applyFont="1" applyBorder="1" applyAlignment="1">
      <alignment horizontal="right" vertical="center"/>
    </xf>
    <xf numFmtId="1" fontId="40" fillId="0" borderId="38" xfId="18" applyNumberFormat="1" applyFont="1" applyBorder="1" applyAlignment="1">
      <alignment horizontal="right" vertical="center"/>
    </xf>
    <xf numFmtId="2" fontId="40" fillId="0" borderId="45" xfId="18" applyNumberFormat="1" applyFont="1" applyBorder="1" applyAlignment="1">
      <alignment horizontal="right" vertical="center"/>
    </xf>
    <xf numFmtId="0" fontId="128" fillId="0" borderId="37" xfId="18" applyFont="1" applyBorder="1" applyAlignment="1" applyProtection="1">
      <alignment horizontal="right" vertical="center"/>
      <protection locked="0"/>
    </xf>
    <xf numFmtId="2" fontId="40" fillId="0" borderId="38" xfId="18" applyNumberFormat="1" applyFont="1" applyBorder="1" applyAlignment="1">
      <alignment horizontal="right" vertical="center"/>
    </xf>
    <xf numFmtId="166" fontId="128" fillId="0" borderId="37" xfId="18" applyNumberFormat="1" applyFont="1" applyBorder="1" applyAlignment="1" applyProtection="1">
      <alignment horizontal="right" vertical="center"/>
      <protection locked="0"/>
    </xf>
    <xf numFmtId="1" fontId="40" fillId="0" borderId="37" xfId="18" applyNumberFormat="1" applyFont="1" applyBorder="1" applyAlignment="1">
      <alignment horizontal="right" vertical="center"/>
    </xf>
    <xf numFmtId="0" fontId="128" fillId="0" borderId="40" xfId="18" applyFont="1" applyBorder="1" applyAlignment="1" applyProtection="1">
      <alignment horizontal="right" vertical="center"/>
      <protection locked="0"/>
    </xf>
    <xf numFmtId="166" fontId="40" fillId="0" borderId="0" xfId="18" applyNumberFormat="1" applyFont="1" applyAlignment="1">
      <alignment horizontal="left" vertical="center"/>
    </xf>
    <xf numFmtId="0" fontId="128" fillId="0" borderId="46" xfId="18" applyFont="1" applyBorder="1" applyAlignment="1" applyProtection="1">
      <alignment horizontal="right" vertical="center"/>
      <protection locked="0"/>
    </xf>
    <xf numFmtId="0" fontId="40" fillId="0" borderId="32" xfId="18" applyFont="1" applyBorder="1" applyAlignment="1">
      <alignment horizontal="right" vertical="center"/>
    </xf>
    <xf numFmtId="0" fontId="40" fillId="0" borderId="47" xfId="18" applyFont="1" applyBorder="1" applyAlignment="1">
      <alignment horizontal="right" vertical="center"/>
    </xf>
    <xf numFmtId="0" fontId="128" fillId="0" borderId="32" xfId="18" applyFont="1" applyBorder="1" applyAlignment="1" applyProtection="1">
      <alignment horizontal="right" vertical="center"/>
      <protection locked="0"/>
    </xf>
    <xf numFmtId="1" fontId="40" fillId="0" borderId="32" xfId="18" applyNumberFormat="1" applyFont="1" applyBorder="1" applyAlignment="1">
      <alignment horizontal="right" vertical="center"/>
    </xf>
    <xf numFmtId="0" fontId="131" fillId="0" borderId="0" xfId="18" applyFont="1" applyAlignment="1">
      <alignment horizontal="center" vertical="center"/>
    </xf>
    <xf numFmtId="0" fontId="131" fillId="0" borderId="0" xfId="18" applyFont="1" applyAlignment="1">
      <alignment horizontal="centerContinuous" vertical="center"/>
    </xf>
    <xf numFmtId="1" fontId="40" fillId="0" borderId="0" xfId="18" applyNumberFormat="1" applyFont="1" applyAlignment="1">
      <alignment horizontal="right" vertical="center"/>
    </xf>
    <xf numFmtId="0" fontId="132" fillId="0" borderId="0" xfId="18" applyFont="1" applyAlignment="1">
      <alignment horizontal="center" vertical="center"/>
    </xf>
    <xf numFmtId="167" fontId="40" fillId="0" borderId="0" xfId="18" applyNumberFormat="1" applyFont="1" applyAlignment="1">
      <alignment horizontal="center" vertical="center"/>
    </xf>
    <xf numFmtId="0" fontId="50" fillId="0" borderId="126" xfId="20" applyFont="1" applyBorder="1" applyAlignment="1">
      <alignment vertical="center"/>
    </xf>
    <xf numFmtId="0" fontId="35" fillId="0" borderId="126" xfId="21" applyFont="1" applyBorder="1" applyAlignment="1">
      <alignment vertical="center"/>
    </xf>
    <xf numFmtId="0" fontId="18" fillId="0" borderId="11" xfId="0" applyFont="1" applyBorder="1" applyAlignment="1">
      <alignment horizontal="center" vertical="center"/>
    </xf>
    <xf numFmtId="0" fontId="131" fillId="0" borderId="0" xfId="18" applyFont="1" applyAlignment="1">
      <alignment horizontal="left"/>
    </xf>
    <xf numFmtId="0" fontId="51" fillId="0" borderId="0" xfId="18" applyFont="1"/>
    <xf numFmtId="0" fontId="51" fillId="6" borderId="0" xfId="18" applyFont="1" applyFill="1"/>
    <xf numFmtId="0" fontId="40" fillId="6" borderId="0" xfId="18" applyFont="1" applyFill="1" applyAlignment="1">
      <alignment horizontal="left"/>
    </xf>
    <xf numFmtId="172" fontId="40" fillId="0" borderId="0" xfId="18" applyNumberFormat="1" applyFont="1" applyAlignment="1">
      <alignment horizontal="centerContinuous"/>
    </xf>
    <xf numFmtId="168" fontId="40" fillId="0" borderId="0" xfId="18" applyNumberFormat="1" applyFont="1" applyAlignment="1">
      <alignment horizontal="centerContinuous"/>
    </xf>
    <xf numFmtId="167" fontId="40" fillId="0" borderId="0" xfId="18" applyNumberFormat="1" applyFont="1" applyAlignment="1">
      <alignment horizontal="centerContinuous"/>
    </xf>
    <xf numFmtId="167" fontId="40" fillId="0" borderId="0" xfId="18" applyNumberFormat="1" applyFont="1" applyAlignment="1">
      <alignment horizontal="right" vertical="center"/>
    </xf>
    <xf numFmtId="0" fontId="40" fillId="6" borderId="0" xfId="18" applyFont="1" applyFill="1"/>
    <xf numFmtId="0" fontId="40" fillId="6" borderId="0" xfId="18" applyFont="1" applyFill="1" applyAlignment="1">
      <alignment horizontal="right"/>
    </xf>
    <xf numFmtId="2" fontId="40" fillId="6" borderId="0" xfId="18" applyNumberFormat="1" applyFont="1" applyFill="1" applyAlignment="1">
      <alignment horizontal="left"/>
    </xf>
    <xf numFmtId="166" fontId="40" fillId="6" borderId="0" xfId="18" applyNumberFormat="1" applyFont="1" applyFill="1" applyAlignment="1" applyProtection="1">
      <alignment horizontal="left"/>
      <protection locked="0"/>
    </xf>
    <xf numFmtId="2" fontId="40" fillId="0" borderId="0" xfId="18" applyNumberFormat="1" applyFont="1" applyAlignment="1">
      <alignment horizontal="right"/>
    </xf>
    <xf numFmtId="0" fontId="40" fillId="6" borderId="6" xfId="18" applyFont="1" applyFill="1" applyBorder="1" applyAlignment="1">
      <alignment horizontal="center" vertical="center"/>
    </xf>
    <xf numFmtId="181" fontId="40" fillId="0" borderId="0" xfId="18" applyNumberFormat="1" applyFont="1" applyAlignment="1">
      <alignment horizontal="centerContinuous"/>
    </xf>
    <xf numFmtId="167" fontId="40" fillId="6" borderId="6" xfId="18" applyNumberFormat="1" applyFont="1" applyFill="1" applyBorder="1" applyAlignment="1">
      <alignment horizontal="center" vertical="center"/>
    </xf>
    <xf numFmtId="0" fontId="40" fillId="0" borderId="6" xfId="18" applyFont="1" applyBorder="1" applyAlignment="1">
      <alignment horizontal="center"/>
    </xf>
    <xf numFmtId="166" fontId="40" fillId="0" borderId="6" xfId="18" applyNumberFormat="1" applyFont="1" applyBorder="1" applyAlignment="1">
      <alignment horizontal="center"/>
    </xf>
    <xf numFmtId="0" fontId="40" fillId="3" borderId="6" xfId="18" applyFont="1" applyFill="1" applyBorder="1" applyAlignment="1">
      <alignment horizontal="center" vertical="center"/>
    </xf>
    <xf numFmtId="2" fontId="40" fillId="3" borderId="6" xfId="18" applyNumberFormat="1" applyFont="1" applyFill="1" applyBorder="1" applyAlignment="1">
      <alignment horizontal="center" vertical="center"/>
    </xf>
    <xf numFmtId="0" fontId="59" fillId="3" borderId="6" xfId="18" applyFont="1" applyFill="1" applyBorder="1" applyAlignment="1">
      <alignment horizontal="center" vertical="center"/>
    </xf>
    <xf numFmtId="1" fontId="40" fillId="6" borderId="45" xfId="18" applyNumberFormat="1" applyFont="1" applyFill="1" applyBorder="1" applyAlignment="1">
      <alignment horizontal="center"/>
    </xf>
    <xf numFmtId="2" fontId="128" fillId="6" borderId="37" xfId="18" applyNumberFormat="1" applyFont="1" applyFill="1" applyBorder="1" applyAlignment="1" applyProtection="1">
      <alignment horizontal="center"/>
      <protection locked="0"/>
    </xf>
    <xf numFmtId="0" fontId="40" fillId="15" borderId="0" xfId="18" applyFont="1" applyFill="1"/>
    <xf numFmtId="2" fontId="40" fillId="15" borderId="6" xfId="18" applyNumberFormat="1" applyFont="1" applyFill="1" applyBorder="1" applyAlignment="1">
      <alignment horizontal="center" vertical="center"/>
    </xf>
    <xf numFmtId="11" fontId="20" fillId="0" borderId="6" xfId="18" applyNumberFormat="1" applyFont="1" applyBorder="1" applyAlignment="1">
      <alignment horizontal="centerContinuous" vertical="center"/>
    </xf>
    <xf numFmtId="11" fontId="20" fillId="0" borderId="6" xfId="18" applyNumberFormat="1" applyFont="1" applyBorder="1" applyAlignment="1">
      <alignment horizontal="center" vertical="center"/>
    </xf>
    <xf numFmtId="181" fontId="20" fillId="0" borderId="6" xfId="18" applyNumberFormat="1" applyFont="1" applyBorder="1" applyAlignment="1">
      <alignment vertical="center"/>
    </xf>
    <xf numFmtId="167" fontId="40" fillId="15" borderId="0" xfId="18" applyNumberFormat="1" applyFont="1" applyFill="1" applyAlignment="1">
      <alignment horizontal="right"/>
    </xf>
    <xf numFmtId="14" fontId="40" fillId="3" borderId="83" xfId="7" applyNumberFormat="1" applyFont="1" applyFill="1" applyBorder="1" applyAlignment="1">
      <alignment horizontal="left"/>
    </xf>
    <xf numFmtId="0" fontId="40" fillId="0" borderId="45" xfId="18" applyFont="1" applyBorder="1"/>
    <xf numFmtId="0" fontId="40" fillId="0" borderId="37" xfId="18" applyFont="1" applyBorder="1"/>
    <xf numFmtId="0" fontId="40" fillId="0" borderId="45" xfId="18" applyFont="1" applyBorder="1" applyAlignment="1">
      <alignment horizontal="left" vertical="center"/>
    </xf>
    <xf numFmtId="0" fontId="40" fillId="0" borderId="37" xfId="18" applyFont="1" applyBorder="1" applyAlignment="1">
      <alignment horizontal="left" vertical="center"/>
    </xf>
    <xf numFmtId="0" fontId="40" fillId="0" borderId="32" xfId="18" applyFont="1" applyBorder="1" applyAlignment="1">
      <alignment horizontal="left" vertical="center"/>
    </xf>
    <xf numFmtId="0" fontId="40" fillId="6" borderId="6" xfId="18" applyFont="1" applyFill="1" applyBorder="1" applyAlignment="1">
      <alignment vertical="center"/>
    </xf>
    <xf numFmtId="1" fontId="40" fillId="6" borderId="6" xfId="18" applyNumberFormat="1" applyFont="1" applyFill="1" applyBorder="1" applyAlignment="1">
      <alignment horizontal="center" vertical="center"/>
    </xf>
    <xf numFmtId="0" fontId="215" fillId="3" borderId="0" xfId="18" applyFont="1" applyFill="1" applyAlignment="1" applyProtection="1">
      <alignment horizontal="center" vertical="center"/>
      <protection locked="0"/>
    </xf>
    <xf numFmtId="2" fontId="20" fillId="0" borderId="6" xfId="18" applyNumberFormat="1" applyFont="1" applyBorder="1" applyAlignment="1">
      <alignment horizontal="center" vertical="center"/>
    </xf>
    <xf numFmtId="2" fontId="20" fillId="0" borderId="6" xfId="18" applyNumberFormat="1" applyFont="1" applyBorder="1" applyAlignment="1">
      <alignment horizontal="center" vertical="center" wrapText="1"/>
    </xf>
    <xf numFmtId="0" fontId="4" fillId="0" borderId="126" xfId="20" applyBorder="1"/>
    <xf numFmtId="0" fontId="50" fillId="0" borderId="126" xfId="20" applyFont="1" applyBorder="1"/>
    <xf numFmtId="0" fontId="16" fillId="0" borderId="0" xfId="21" applyFont="1"/>
    <xf numFmtId="0" fontId="35" fillId="0" borderId="0" xfId="21" applyFont="1"/>
    <xf numFmtId="0" fontId="13" fillId="0" borderId="126" xfId="20" applyFont="1" applyBorder="1"/>
    <xf numFmtId="0" fontId="101" fillId="0" borderId="0" xfId="20" applyFont="1"/>
    <xf numFmtId="0" fontId="11" fillId="0" borderId="0" xfId="20" applyFont="1"/>
    <xf numFmtId="167" fontId="13" fillId="0" borderId="0" xfId="20" applyNumberFormat="1" applyFont="1" applyAlignment="1">
      <alignment vertical="center"/>
    </xf>
    <xf numFmtId="0" fontId="120" fillId="0" borderId="0" xfId="20" applyFont="1"/>
    <xf numFmtId="0" fontId="20" fillId="0" borderId="21" xfId="3" applyFont="1" applyBorder="1" applyAlignment="1">
      <alignment vertical="top" wrapText="1"/>
    </xf>
    <xf numFmtId="0" fontId="40" fillId="0" borderId="126" xfId="3" applyFont="1" applyBorder="1"/>
    <xf numFmtId="0" fontId="12" fillId="0" borderId="0" xfId="20" applyFont="1" applyAlignment="1">
      <alignment vertical="center"/>
    </xf>
    <xf numFmtId="0" fontId="12" fillId="0" borderId="0" xfId="20" applyFont="1"/>
    <xf numFmtId="0" fontId="40" fillId="0" borderId="126" xfId="3" applyFont="1" applyBorder="1" applyAlignment="1">
      <alignment vertical="center"/>
    </xf>
    <xf numFmtId="0" fontId="20" fillId="0" borderId="126" xfId="3" applyFont="1" applyBorder="1" applyAlignment="1">
      <alignment vertical="center"/>
    </xf>
    <xf numFmtId="0" fontId="20" fillId="0" borderId="0" xfId="3" applyFont="1" applyAlignment="1">
      <alignment vertical="top" wrapText="1"/>
    </xf>
    <xf numFmtId="0" fontId="11" fillId="0" borderId="126" xfId="11" applyFont="1" applyBorder="1" applyAlignment="1">
      <alignment vertical="center"/>
    </xf>
    <xf numFmtId="0" fontId="11" fillId="0" borderId="0" xfId="11" applyFont="1" applyAlignment="1">
      <alignment vertical="top" wrapText="1"/>
    </xf>
    <xf numFmtId="0" fontId="16" fillId="0" borderId="0" xfId="11" applyFont="1" applyAlignment="1">
      <alignment vertical="top" wrapText="1"/>
    </xf>
    <xf numFmtId="0" fontId="40" fillId="0" borderId="0" xfId="11" applyFont="1" applyAlignment="1">
      <alignment vertical="top" wrapText="1"/>
    </xf>
    <xf numFmtId="14" fontId="40" fillId="56" borderId="0" xfId="7" applyNumberFormat="1" applyFont="1" applyFill="1" applyAlignment="1">
      <alignment horizontal="left"/>
    </xf>
    <xf numFmtId="167" fontId="25" fillId="0" borderId="13" xfId="2" applyNumberFormat="1" applyFont="1" applyBorder="1" applyAlignment="1">
      <alignment horizontal="center" vertical="center"/>
    </xf>
    <xf numFmtId="2" fontId="25" fillId="0" borderId="12" xfId="2" applyNumberFormat="1" applyFont="1" applyBorder="1" applyAlignment="1">
      <alignment horizontal="center" vertical="center"/>
    </xf>
    <xf numFmtId="167" fontId="25" fillId="0" borderId="16" xfId="2" applyNumberFormat="1" applyFont="1" applyBorder="1" applyAlignment="1">
      <alignment horizontal="center" vertical="center"/>
    </xf>
    <xf numFmtId="2" fontId="25" fillId="0" borderId="9" xfId="2" applyNumberFormat="1" applyFont="1" applyBorder="1" applyAlignment="1">
      <alignment horizontal="center" vertical="center"/>
    </xf>
    <xf numFmtId="167" fontId="25" fillId="0" borderId="15" xfId="2" applyNumberFormat="1" applyFont="1" applyBorder="1" applyAlignment="1">
      <alignment horizontal="center" vertical="center"/>
    </xf>
    <xf numFmtId="2" fontId="25" fillId="0" borderId="14" xfId="2" applyNumberFormat="1" applyFont="1" applyBorder="1" applyAlignment="1">
      <alignment horizontal="center" vertical="center"/>
    </xf>
    <xf numFmtId="167" fontId="25" fillId="0" borderId="11" xfId="2" applyNumberFormat="1" applyFont="1" applyBorder="1" applyAlignment="1">
      <alignment horizontal="center" vertical="center"/>
    </xf>
    <xf numFmtId="2" fontId="25" fillId="0" borderId="6" xfId="2" applyNumberFormat="1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/>
    </xf>
    <xf numFmtId="167" fontId="27" fillId="0" borderId="0" xfId="13" applyNumberFormat="1" applyFont="1" applyAlignment="1">
      <alignment horizontal="center" vertical="center"/>
    </xf>
    <xf numFmtId="2" fontId="40" fillId="0" borderId="7" xfId="12" applyNumberFormat="1" applyFont="1" applyBorder="1" applyAlignment="1">
      <alignment horizontal="center" vertical="center"/>
    </xf>
    <xf numFmtId="2" fontId="11" fillId="0" borderId="30" xfId="12" applyNumberFormat="1" applyFont="1" applyBorder="1" applyAlignment="1">
      <alignment horizontal="centerContinuous" vertical="center"/>
    </xf>
    <xf numFmtId="2" fontId="11" fillId="0" borderId="7" xfId="12" applyNumberFormat="1" applyFont="1" applyBorder="1" applyAlignment="1">
      <alignment horizontal="centerContinuous" vertical="center"/>
    </xf>
    <xf numFmtId="2" fontId="11" fillId="0" borderId="7" xfId="12" applyNumberFormat="1" applyFont="1" applyBorder="1" applyAlignment="1">
      <alignment horizontal="center" vertical="center"/>
    </xf>
    <xf numFmtId="2" fontId="40" fillId="0" borderId="7" xfId="3" applyNumberFormat="1" applyFont="1" applyBorder="1" applyAlignment="1">
      <alignment horizontal="center" vertical="center"/>
    </xf>
    <xf numFmtId="2" fontId="40" fillId="0" borderId="30" xfId="3" applyNumberFormat="1" applyFont="1" applyBorder="1" applyAlignment="1">
      <alignment horizontal="centerContinuous" vertical="center"/>
    </xf>
    <xf numFmtId="2" fontId="40" fillId="0" borderId="7" xfId="3" applyNumberFormat="1" applyFont="1" applyBorder="1" applyAlignment="1">
      <alignment horizontal="centerContinuous" vertical="center"/>
    </xf>
    <xf numFmtId="2" fontId="11" fillId="0" borderId="30" xfId="3" applyNumberFormat="1" applyFont="1" applyBorder="1" applyAlignment="1">
      <alignment horizontal="centerContinuous" vertical="center"/>
    </xf>
    <xf numFmtId="2" fontId="11" fillId="0" borderId="7" xfId="3" applyNumberFormat="1" applyFont="1" applyBorder="1" applyAlignment="1">
      <alignment horizontal="centerContinuous" vertical="center"/>
    </xf>
    <xf numFmtId="0" fontId="27" fillId="3" borderId="0" xfId="2" applyFont="1" applyFill="1" applyAlignment="1" applyProtection="1">
      <alignment horizontal="left"/>
      <protection locked="0"/>
    </xf>
    <xf numFmtId="0" fontId="26" fillId="57" borderId="6" xfId="2" applyFont="1" applyFill="1" applyBorder="1" applyAlignment="1">
      <alignment horizontal="center" vertical="center"/>
    </xf>
    <xf numFmtId="0" fontId="59" fillId="0" borderId="16" xfId="23" applyFont="1" applyBorder="1" applyAlignment="1">
      <alignment vertical="center"/>
    </xf>
    <xf numFmtId="0" fontId="214" fillId="0" borderId="16" xfId="23" applyFont="1" applyBorder="1" applyAlignment="1">
      <alignment vertical="center"/>
    </xf>
    <xf numFmtId="0" fontId="40" fillId="0" borderId="6" xfId="0" applyFont="1" applyBorder="1" applyAlignment="1">
      <alignment horizontal="center" vertical="center"/>
    </xf>
    <xf numFmtId="0" fontId="40" fillId="3" borderId="6" xfId="0" applyFont="1" applyFill="1" applyBorder="1" applyAlignment="1">
      <alignment horizontal="center" vertical="center"/>
    </xf>
    <xf numFmtId="2" fontId="40" fillId="0" borderId="6" xfId="0" applyNumberFormat="1" applyFont="1" applyBorder="1" applyAlignment="1">
      <alignment horizontal="center" vertical="center"/>
    </xf>
    <xf numFmtId="2" fontId="51" fillId="0" borderId="0" xfId="0" applyNumberFormat="1" applyFont="1" applyAlignment="1">
      <alignment horizontal="center"/>
    </xf>
    <xf numFmtId="1" fontId="51" fillId="0" borderId="0" xfId="0" applyNumberFormat="1" applyFont="1" applyAlignment="1">
      <alignment horizontal="center"/>
    </xf>
    <xf numFmtId="2" fontId="40" fillId="3" borderId="104" xfId="23" applyNumberFormat="1" applyFont="1" applyFill="1" applyBorder="1" applyAlignment="1">
      <alignment horizontal="center" vertical="center"/>
    </xf>
    <xf numFmtId="166" fontId="26" fillId="3" borderId="104" xfId="23" applyNumberFormat="1" applyFont="1" applyFill="1" applyBorder="1" applyAlignment="1">
      <alignment horizontal="center" vertical="center"/>
    </xf>
    <xf numFmtId="2" fontId="128" fillId="3" borderId="104" xfId="23" applyNumberFormat="1" applyFont="1" applyFill="1" applyBorder="1" applyAlignment="1">
      <alignment horizontal="center" vertical="center"/>
    </xf>
    <xf numFmtId="0" fontId="40" fillId="57" borderId="104" xfId="23" applyFont="1" applyFill="1" applyBorder="1" applyAlignment="1">
      <alignment horizontal="right" vertical="center"/>
    </xf>
    <xf numFmtId="0" fontId="132" fillId="0" borderId="44" xfId="23" applyFont="1" applyBorder="1" applyAlignment="1" applyProtection="1">
      <alignment vertical="center"/>
      <protection locked="0"/>
    </xf>
    <xf numFmtId="0" fontId="132" fillId="0" borderId="38" xfId="23" applyFont="1" applyBorder="1" applyAlignment="1" applyProtection="1">
      <alignment vertical="center"/>
      <protection locked="0"/>
    </xf>
    <xf numFmtId="0" fontId="128" fillId="0" borderId="38" xfId="23" applyFont="1" applyBorder="1" applyAlignment="1" applyProtection="1">
      <alignment vertical="center"/>
      <protection locked="0"/>
    </xf>
    <xf numFmtId="14" fontId="40" fillId="0" borderId="47" xfId="23" applyNumberFormat="1" applyFont="1" applyBorder="1" applyAlignment="1" applyProtection="1">
      <alignment vertical="center"/>
      <protection locked="0"/>
    </xf>
    <xf numFmtId="0" fontId="40" fillId="0" borderId="47" xfId="23" applyFont="1" applyBorder="1" applyAlignment="1" applyProtection="1">
      <alignment horizontal="left" vertical="center"/>
      <protection locked="0"/>
    </xf>
    <xf numFmtId="0" fontId="59" fillId="0" borderId="44" xfId="23" applyFont="1" applyBorder="1" applyAlignment="1" applyProtection="1">
      <alignment horizontal="left" vertical="center"/>
      <protection locked="0"/>
    </xf>
    <xf numFmtId="0" fontId="59" fillId="0" borderId="38" xfId="23" applyFont="1" applyBorder="1" applyAlignment="1" applyProtection="1">
      <alignment horizontal="left" vertical="center"/>
      <protection locked="0"/>
    </xf>
    <xf numFmtId="0" fontId="40" fillId="0" borderId="38" xfId="23" applyFont="1" applyBorder="1" applyAlignment="1" applyProtection="1">
      <alignment horizontal="left" vertical="center"/>
      <protection locked="0"/>
    </xf>
    <xf numFmtId="0" fontId="131" fillId="0" borderId="0" xfId="23" applyFont="1" applyAlignment="1" applyProtection="1">
      <alignment horizontal="left" vertical="center"/>
      <protection locked="0"/>
    </xf>
    <xf numFmtId="0" fontId="128" fillId="0" borderId="0" xfId="23" applyFont="1" applyAlignment="1" applyProtection="1">
      <alignment horizontal="left" vertical="center"/>
      <protection locked="0"/>
    </xf>
    <xf numFmtId="14" fontId="128" fillId="0" borderId="0" xfId="23" applyNumberFormat="1" applyFont="1" applyAlignment="1" applyProtection="1">
      <alignment horizontal="left" vertical="center"/>
      <protection locked="0"/>
    </xf>
    <xf numFmtId="14" fontId="40" fillId="0" borderId="0" xfId="23" applyNumberFormat="1" applyFont="1" applyAlignment="1" applyProtection="1">
      <alignment horizontal="left" vertical="center"/>
      <protection locked="0"/>
    </xf>
    <xf numFmtId="0" fontId="40" fillId="0" borderId="104" xfId="23" applyFont="1" applyBorder="1" applyAlignment="1">
      <alignment horizontal="left" vertical="center"/>
    </xf>
    <xf numFmtId="0" fontId="40" fillId="0" borderId="63" xfId="23" applyFont="1" applyBorder="1" applyAlignment="1">
      <alignment horizontal="left" vertical="center"/>
    </xf>
    <xf numFmtId="0" fontId="40" fillId="46" borderId="6" xfId="3" applyFont="1" applyFill="1" applyBorder="1" applyAlignment="1">
      <alignment horizontal="center" vertical="center"/>
    </xf>
    <xf numFmtId="0" fontId="40" fillId="3" borderId="0" xfId="23" applyFont="1" applyFill="1" applyAlignment="1">
      <alignment vertical="center"/>
    </xf>
    <xf numFmtId="0" fontId="40" fillId="8" borderId="0" xfId="23" applyFont="1" applyFill="1" applyAlignment="1">
      <alignment vertical="center"/>
    </xf>
    <xf numFmtId="0" fontId="40" fillId="8" borderId="0" xfId="23" applyFont="1" applyFill="1" applyAlignment="1">
      <alignment horizontal="center" vertical="center"/>
    </xf>
    <xf numFmtId="0" fontId="40" fillId="3" borderId="0" xfId="23" applyFont="1" applyFill="1" applyAlignment="1">
      <alignment horizontal="center" vertical="center"/>
    </xf>
    <xf numFmtId="175" fontId="40" fillId="0" borderId="0" xfId="3" applyNumberFormat="1" applyFont="1" applyAlignment="1">
      <alignment horizontal="left" vertical="center"/>
    </xf>
    <xf numFmtId="0" fontId="40" fillId="0" borderId="100" xfId="7" applyFont="1" applyBorder="1"/>
    <xf numFmtId="0" fontId="40" fillId="0" borderId="98" xfId="7" applyFont="1" applyBorder="1"/>
    <xf numFmtId="0" fontId="11" fillId="0" borderId="0" xfId="24" applyFont="1" applyAlignment="1">
      <alignment vertical="center"/>
    </xf>
    <xf numFmtId="0" fontId="11" fillId="0" borderId="126" xfId="24" applyFont="1" applyBorder="1" applyAlignment="1">
      <alignment vertical="center"/>
    </xf>
    <xf numFmtId="0" fontId="16" fillId="0" borderId="11" xfId="24" applyFont="1" applyBorder="1" applyAlignment="1">
      <alignment vertical="center"/>
    </xf>
    <xf numFmtId="0" fontId="11" fillId="0" borderId="0" xfId="24" applyFont="1" applyAlignment="1">
      <alignment horizontal="center" vertical="center"/>
    </xf>
    <xf numFmtId="0" fontId="11" fillId="0" borderId="30" xfId="24" applyFont="1" applyBorder="1" applyAlignment="1">
      <alignment vertical="center"/>
    </xf>
    <xf numFmtId="167" fontId="11" fillId="0" borderId="30" xfId="24" applyNumberFormat="1" applyFont="1" applyBorder="1" applyAlignment="1">
      <alignment vertical="center"/>
    </xf>
    <xf numFmtId="0" fontId="11" fillId="0" borderId="30" xfId="24" applyFont="1" applyBorder="1" applyAlignment="1">
      <alignment horizontal="center" vertical="center"/>
    </xf>
    <xf numFmtId="0" fontId="11" fillId="0" borderId="28" xfId="24" applyFont="1" applyBorder="1" applyAlignment="1">
      <alignment vertical="center"/>
    </xf>
    <xf numFmtId="0" fontId="11" fillId="0" borderId="26" xfId="24" applyFont="1" applyBorder="1" applyAlignment="1">
      <alignment vertical="center"/>
    </xf>
    <xf numFmtId="0" fontId="108" fillId="0" borderId="13" xfId="24" applyFont="1" applyBorder="1" applyAlignment="1">
      <alignment vertical="center"/>
    </xf>
    <xf numFmtId="0" fontId="19" fillId="0" borderId="21" xfId="24" applyFont="1" applyBorder="1" applyAlignment="1">
      <alignment vertical="center"/>
    </xf>
    <xf numFmtId="0" fontId="19" fillId="0" borderId="29" xfId="24" applyFont="1" applyBorder="1" applyAlignment="1">
      <alignment vertical="center"/>
    </xf>
    <xf numFmtId="0" fontId="51" fillId="0" borderId="0" xfId="24" applyFont="1" applyAlignment="1">
      <alignment vertical="center"/>
    </xf>
    <xf numFmtId="0" fontId="11" fillId="0" borderId="26" xfId="24" applyFont="1" applyBorder="1" applyAlignment="1">
      <alignment horizontal="center" vertical="center"/>
    </xf>
    <xf numFmtId="167" fontId="11" fillId="0" borderId="0" xfId="24" applyNumberFormat="1" applyFont="1" applyAlignment="1">
      <alignment vertical="center"/>
    </xf>
    <xf numFmtId="0" fontId="40" fillId="0" borderId="15" xfId="25" applyFont="1" applyBorder="1"/>
    <xf numFmtId="0" fontId="40" fillId="0" borderId="26" xfId="25" applyFont="1" applyBorder="1"/>
    <xf numFmtId="0" fontId="40" fillId="0" borderId="30" xfId="25" applyFont="1" applyBorder="1"/>
    <xf numFmtId="0" fontId="40" fillId="0" borderId="27" xfId="25" applyFont="1" applyBorder="1"/>
    <xf numFmtId="0" fontId="40" fillId="0" borderId="0" xfId="25" applyFont="1" applyAlignment="1">
      <alignment horizontal="left"/>
    </xf>
    <xf numFmtId="0" fontId="132" fillId="0" borderId="0" xfId="25" applyFont="1"/>
    <xf numFmtId="0" fontId="40" fillId="0" borderId="0" xfId="25" applyFont="1"/>
    <xf numFmtId="0" fontId="40" fillId="0" borderId="126" xfId="25" applyFont="1" applyBorder="1"/>
    <xf numFmtId="0" fontId="40" fillId="0" borderId="21" xfId="25" applyFont="1" applyBorder="1"/>
    <xf numFmtId="0" fontId="40" fillId="0" borderId="7" xfId="25" applyFont="1" applyBorder="1"/>
    <xf numFmtId="0" fontId="40" fillId="0" borderId="13" xfId="25" applyFont="1" applyBorder="1"/>
    <xf numFmtId="0" fontId="40" fillId="0" borderId="28" xfId="25" applyFont="1" applyBorder="1"/>
    <xf numFmtId="0" fontId="128" fillId="0" borderId="0" xfId="25" applyFont="1"/>
    <xf numFmtId="14" fontId="128" fillId="0" borderId="0" xfId="25" applyNumberFormat="1" applyFont="1"/>
    <xf numFmtId="0" fontId="128" fillId="0" borderId="0" xfId="25" applyFont="1" applyProtection="1">
      <protection locked="0"/>
    </xf>
    <xf numFmtId="0" fontId="40" fillId="0" borderId="15" xfId="25" applyFont="1" applyBorder="1" applyAlignment="1">
      <alignment horizontal="left"/>
    </xf>
    <xf numFmtId="0" fontId="40" fillId="0" borderId="26" xfId="25" applyFont="1" applyBorder="1" applyAlignment="1">
      <alignment horizontal="left"/>
    </xf>
    <xf numFmtId="0" fontId="40" fillId="0" borderId="26" xfId="25" applyFont="1" applyBorder="1" applyAlignment="1" applyProtection="1">
      <alignment horizontal="left"/>
      <protection locked="0"/>
    </xf>
    <xf numFmtId="0" fontId="59" fillId="0" borderId="126" xfId="25" applyFont="1" applyBorder="1" applyAlignment="1">
      <alignment horizontal="centerContinuous"/>
    </xf>
    <xf numFmtId="0" fontId="40" fillId="0" borderId="0" xfId="25" applyFont="1" applyAlignment="1">
      <alignment horizontal="centerContinuous"/>
    </xf>
    <xf numFmtId="0" fontId="59" fillId="0" borderId="0" xfId="25" applyFont="1" applyAlignment="1">
      <alignment horizontal="centerContinuous"/>
    </xf>
    <xf numFmtId="0" fontId="40" fillId="0" borderId="1" xfId="25" applyFont="1" applyBorder="1" applyAlignment="1">
      <alignment horizontal="centerContinuous"/>
    </xf>
    <xf numFmtId="0" fontId="59" fillId="0" borderId="0" xfId="25" applyFont="1" applyAlignment="1">
      <alignment horizontal="left"/>
    </xf>
    <xf numFmtId="0" fontId="128" fillId="0" borderId="126" xfId="25" applyFont="1" applyBorder="1" applyAlignment="1">
      <alignment horizontal="centerContinuous"/>
    </xf>
    <xf numFmtId="0" fontId="128" fillId="0" borderId="0" xfId="25" applyFont="1" applyAlignment="1">
      <alignment horizontal="centerContinuous"/>
    </xf>
    <xf numFmtId="0" fontId="59" fillId="0" borderId="0" xfId="25" applyFont="1"/>
    <xf numFmtId="0" fontId="40" fillId="0" borderId="11" xfId="25" applyFont="1" applyBorder="1"/>
    <xf numFmtId="0" fontId="40" fillId="0" borderId="7" xfId="25" applyFont="1" applyBorder="1" applyAlignment="1">
      <alignment horizontal="center"/>
    </xf>
    <xf numFmtId="0" fontId="40" fillId="0" borderId="29" xfId="25" applyFont="1" applyBorder="1"/>
    <xf numFmtId="0" fontId="128" fillId="3" borderId="41" xfId="25" applyFont="1" applyFill="1" applyBorder="1" applyProtection="1">
      <protection locked="0"/>
    </xf>
    <xf numFmtId="0" fontId="128" fillId="3" borderId="44" xfId="25" applyFont="1" applyFill="1" applyBorder="1" applyProtection="1">
      <protection locked="0"/>
    </xf>
    <xf numFmtId="0" fontId="128" fillId="3" borderId="43" xfId="25" applyFont="1" applyFill="1" applyBorder="1" applyProtection="1">
      <protection locked="0"/>
    </xf>
    <xf numFmtId="0" fontId="40" fillId="0" borderId="41" xfId="25" applyFont="1" applyBorder="1"/>
    <xf numFmtId="0" fontId="40" fillId="0" borderId="44" xfId="25" applyFont="1" applyBorder="1"/>
    <xf numFmtId="0" fontId="40" fillId="0" borderId="43" xfId="25" applyFont="1" applyBorder="1"/>
    <xf numFmtId="0" fontId="128" fillId="0" borderId="43" xfId="25" applyFont="1" applyBorder="1" applyAlignment="1" applyProtection="1">
      <alignment horizontal="center"/>
      <protection locked="0"/>
    </xf>
    <xf numFmtId="0" fontId="40" fillId="0" borderId="0" xfId="25" applyFont="1" applyAlignment="1">
      <alignment horizontal="center"/>
    </xf>
    <xf numFmtId="0" fontId="40" fillId="0" borderId="0" xfId="25" applyFont="1" applyAlignment="1">
      <alignment horizontal="right"/>
    </xf>
    <xf numFmtId="2" fontId="40" fillId="0" borderId="0" xfId="25" applyNumberFormat="1" applyFont="1" applyAlignment="1">
      <alignment horizontal="center"/>
    </xf>
    <xf numFmtId="0" fontId="128" fillId="3" borderId="40" xfId="25" applyFont="1" applyFill="1" applyBorder="1" applyProtection="1">
      <protection locked="0"/>
    </xf>
    <xf numFmtId="0" fontId="128" fillId="3" borderId="38" xfId="25" applyFont="1" applyFill="1" applyBorder="1" applyProtection="1">
      <protection locked="0"/>
    </xf>
    <xf numFmtId="0" fontId="128" fillId="3" borderId="35" xfId="25" applyFont="1" applyFill="1" applyBorder="1" applyProtection="1">
      <protection locked="0"/>
    </xf>
    <xf numFmtId="0" fontId="40" fillId="0" borderId="40" xfId="25" applyFont="1" applyBorder="1"/>
    <xf numFmtId="0" fontId="40" fillId="0" borderId="38" xfId="25" applyFont="1" applyBorder="1"/>
    <xf numFmtId="0" fontId="40" fillId="0" borderId="35" xfId="25" applyFont="1" applyBorder="1" applyAlignment="1">
      <alignment horizontal="right"/>
    </xf>
    <xf numFmtId="2" fontId="128" fillId="0" borderId="40" xfId="25" applyNumberFormat="1" applyFont="1" applyBorder="1" applyAlignment="1">
      <alignment horizontal="center"/>
    </xf>
    <xf numFmtId="2" fontId="40" fillId="3" borderId="35" xfId="25" applyNumberFormat="1" applyFont="1" applyFill="1" applyBorder="1" applyProtection="1">
      <protection locked="0"/>
    </xf>
    <xf numFmtId="2" fontId="128" fillId="0" borderId="0" xfId="25" applyNumberFormat="1" applyFont="1" applyAlignment="1">
      <alignment horizontal="center"/>
    </xf>
    <xf numFmtId="0" fontId="128" fillId="0" borderId="0" xfId="25" applyFont="1" applyAlignment="1">
      <alignment horizontal="center"/>
    </xf>
    <xf numFmtId="0" fontId="128" fillId="0" borderId="0" xfId="25" applyFont="1" applyAlignment="1">
      <alignment horizontal="right"/>
    </xf>
    <xf numFmtId="0" fontId="26" fillId="0" borderId="0" xfId="25" applyFont="1" applyAlignment="1">
      <alignment horizontal="right"/>
    </xf>
    <xf numFmtId="167" fontId="128" fillId="0" borderId="0" xfId="25" applyNumberFormat="1" applyFont="1" applyAlignment="1">
      <alignment horizontal="center"/>
    </xf>
    <xf numFmtId="0" fontId="40" fillId="0" borderId="35" xfId="25" applyFont="1" applyBorder="1"/>
    <xf numFmtId="166" fontId="40" fillId="0" borderId="35" xfId="25" applyNumberFormat="1" applyFont="1" applyBorder="1" applyAlignment="1">
      <alignment horizontal="center"/>
    </xf>
    <xf numFmtId="2" fontId="26" fillId="0" borderId="0" xfId="25" applyNumberFormat="1" applyFont="1" applyAlignment="1">
      <alignment horizontal="center"/>
    </xf>
    <xf numFmtId="0" fontId="26" fillId="0" borderId="0" xfId="25" applyFont="1" applyAlignment="1">
      <alignment horizontal="center"/>
    </xf>
    <xf numFmtId="2" fontId="59" fillId="0" borderId="35" xfId="25" applyNumberFormat="1" applyFont="1" applyBorder="1"/>
    <xf numFmtId="166" fontId="128" fillId="0" borderId="0" xfId="25" applyNumberFormat="1" applyFont="1" applyAlignment="1">
      <alignment horizontal="center"/>
    </xf>
    <xf numFmtId="1" fontId="128" fillId="0" borderId="0" xfId="25" applyNumberFormat="1" applyFont="1" applyAlignment="1">
      <alignment horizontal="center"/>
    </xf>
    <xf numFmtId="2" fontId="40" fillId="0" borderId="37" xfId="25" applyNumberFormat="1" applyFont="1" applyBorder="1"/>
    <xf numFmtId="0" fontId="40" fillId="0" borderId="46" xfId="25" applyFont="1" applyBorder="1" applyAlignment="1">
      <alignment horizontal="left"/>
    </xf>
    <xf numFmtId="0" fontId="40" fillId="0" borderId="47" xfId="25" applyFont="1" applyBorder="1" applyAlignment="1">
      <alignment horizontal="left"/>
    </xf>
    <xf numFmtId="0" fontId="40" fillId="0" borderId="47" xfId="25" applyFont="1" applyBorder="1"/>
    <xf numFmtId="0" fontId="40" fillId="0" borderId="31" xfId="25" applyFont="1" applyBorder="1" applyAlignment="1">
      <alignment horizontal="right"/>
    </xf>
    <xf numFmtId="2" fontId="40" fillId="0" borderId="46" xfId="25" applyNumberFormat="1" applyFont="1" applyBorder="1" applyAlignment="1">
      <alignment horizontal="center"/>
    </xf>
    <xf numFmtId="2" fontId="59" fillId="0" borderId="31" xfId="25" applyNumberFormat="1" applyFont="1" applyBorder="1"/>
    <xf numFmtId="0" fontId="40" fillId="0" borderId="46" xfId="25" applyFont="1" applyBorder="1"/>
    <xf numFmtId="2" fontId="40" fillId="0" borderId="32" xfId="25" applyNumberFormat="1" applyFont="1" applyBorder="1"/>
    <xf numFmtId="166" fontId="40" fillId="0" borderId="0" xfId="25" applyNumberFormat="1" applyFont="1" applyAlignment="1">
      <alignment horizontal="centerContinuous"/>
    </xf>
    <xf numFmtId="166" fontId="40" fillId="0" borderId="0" xfId="25" applyNumberFormat="1" applyFont="1" applyAlignment="1">
      <alignment horizontal="center"/>
    </xf>
    <xf numFmtId="0" fontId="40" fillId="0" borderId="126" xfId="25" applyFont="1" applyBorder="1" applyAlignment="1">
      <alignment wrapText="1"/>
    </xf>
    <xf numFmtId="0" fontId="40" fillId="0" borderId="15" xfId="25" applyFont="1" applyBorder="1" applyAlignment="1">
      <alignment horizontal="center" wrapText="1"/>
    </xf>
    <xf numFmtId="0" fontId="40" fillId="0" borderId="27" xfId="25" applyFont="1" applyBorder="1" applyAlignment="1">
      <alignment wrapText="1"/>
    </xf>
    <xf numFmtId="0" fontId="40" fillId="0" borderId="14" xfId="25" applyFont="1" applyBorder="1" applyAlignment="1">
      <alignment horizontal="center" wrapText="1"/>
    </xf>
    <xf numFmtId="166" fontId="40" fillId="0" borderId="14" xfId="25" applyNumberFormat="1" applyFont="1" applyBorder="1" applyAlignment="1">
      <alignment horizontal="center" wrapText="1"/>
    </xf>
    <xf numFmtId="0" fontId="40" fillId="0" borderId="14" xfId="25" applyFont="1" applyBorder="1" applyAlignment="1">
      <alignment horizontal="center" vertical="center" wrapText="1"/>
    </xf>
    <xf numFmtId="0" fontId="40" fillId="0" borderId="28" xfId="25" applyFont="1" applyBorder="1" applyAlignment="1">
      <alignment wrapText="1"/>
    </xf>
    <xf numFmtId="0" fontId="40" fillId="0" borderId="0" xfId="25" applyFont="1" applyAlignment="1">
      <alignment horizontal="left" wrapText="1"/>
    </xf>
    <xf numFmtId="0" fontId="40" fillId="0" borderId="0" xfId="25" applyFont="1" applyAlignment="1">
      <alignment wrapText="1"/>
    </xf>
    <xf numFmtId="0" fontId="40" fillId="0" borderId="0" xfId="25" applyFont="1" applyAlignment="1">
      <alignment horizontal="centerContinuous" wrapText="1"/>
    </xf>
    <xf numFmtId="0" fontId="40" fillId="0" borderId="13" xfId="25" applyFont="1" applyBorder="1" applyAlignment="1">
      <alignment horizontal="center" vertical="center"/>
    </xf>
    <xf numFmtId="0" fontId="40" fillId="0" borderId="29" xfId="25" applyFont="1" applyBorder="1" applyAlignment="1">
      <alignment horizontal="center" vertical="center"/>
    </xf>
    <xf numFmtId="0" fontId="40" fillId="0" borderId="12" xfId="25" applyFont="1" applyBorder="1" applyAlignment="1">
      <alignment horizontal="center" vertical="center"/>
    </xf>
    <xf numFmtId="166" fontId="40" fillId="0" borderId="12" xfId="25" applyNumberFormat="1" applyFont="1" applyBorder="1" applyAlignment="1">
      <alignment horizontal="center" vertical="center"/>
    </xf>
    <xf numFmtId="0" fontId="40" fillId="0" borderId="6" xfId="25" applyFont="1" applyBorder="1" applyAlignment="1">
      <alignment horizontal="center" vertical="center"/>
    </xf>
    <xf numFmtId="0" fontId="40" fillId="0" borderId="21" xfId="25" applyFont="1" applyBorder="1" applyAlignment="1">
      <alignment horizontal="center" vertical="center"/>
    </xf>
    <xf numFmtId="0" fontId="40" fillId="0" borderId="6" xfId="25" quotePrefix="1" applyFont="1" applyBorder="1" applyAlignment="1">
      <alignment horizontal="center" wrapText="1"/>
    </xf>
    <xf numFmtId="0" fontId="40" fillId="0" borderId="45" xfId="25" applyFont="1" applyBorder="1"/>
    <xf numFmtId="0" fontId="40" fillId="0" borderId="45" xfId="25" applyFont="1" applyBorder="1" applyAlignment="1">
      <alignment horizontal="center"/>
    </xf>
    <xf numFmtId="166" fontId="40" fillId="0" borderId="45" xfId="25" applyNumberFormat="1" applyFont="1" applyBorder="1" applyAlignment="1">
      <alignment horizontal="center"/>
    </xf>
    <xf numFmtId="166" fontId="40" fillId="0" borderId="45" xfId="25" applyNumberFormat="1" applyFont="1" applyBorder="1" applyAlignment="1">
      <alignment horizontal="centerContinuous"/>
    </xf>
    <xf numFmtId="0" fontId="40" fillId="0" borderId="44" xfId="25" applyFont="1" applyBorder="1" applyAlignment="1">
      <alignment horizontal="left"/>
    </xf>
    <xf numFmtId="0" fontId="160" fillId="0" borderId="0" xfId="25" applyFont="1"/>
    <xf numFmtId="0" fontId="128" fillId="3" borderId="41" xfId="25" applyFont="1" applyFill="1" applyBorder="1" applyAlignment="1" applyProtection="1">
      <alignment horizontal="center"/>
      <protection locked="0"/>
    </xf>
    <xf numFmtId="0" fontId="40" fillId="0" borderId="37" xfId="25" applyFont="1" applyBorder="1" applyAlignment="1">
      <alignment horizontal="center"/>
    </xf>
    <xf numFmtId="166" fontId="40" fillId="0" borderId="37" xfId="25" applyNumberFormat="1" applyFont="1" applyBorder="1" applyAlignment="1">
      <alignment horizontal="center"/>
    </xf>
    <xf numFmtId="166" fontId="40" fillId="0" borderId="37" xfId="25" applyNumberFormat="1" applyFont="1" applyBorder="1" applyAlignment="1">
      <alignment horizontal="centerContinuous"/>
    </xf>
    <xf numFmtId="0" fontId="40" fillId="0" borderId="38" xfId="25" applyFont="1" applyBorder="1" applyAlignment="1">
      <alignment horizontal="left"/>
    </xf>
    <xf numFmtId="0" fontId="40" fillId="0" borderId="37" xfId="25" applyFont="1" applyBorder="1"/>
    <xf numFmtId="0" fontId="128" fillId="0" borderId="41" xfId="25" applyFont="1" applyBorder="1" applyAlignment="1" applyProtection="1">
      <alignment horizontal="center"/>
      <protection locked="0"/>
    </xf>
    <xf numFmtId="2" fontId="40" fillId="0" borderId="37" xfId="25" applyNumberFormat="1" applyFont="1" applyBorder="1" applyAlignment="1">
      <alignment horizontal="center"/>
    </xf>
    <xf numFmtId="0" fontId="40" fillId="0" borderId="37" xfId="25" applyFont="1" applyBorder="1" applyAlignment="1" applyProtection="1">
      <alignment horizontal="center"/>
      <protection locked="0"/>
    </xf>
    <xf numFmtId="166" fontId="40" fillId="0" borderId="37" xfId="25" applyNumberFormat="1" applyFont="1" applyBorder="1" applyAlignment="1" applyProtection="1">
      <alignment horizontal="centerContinuous"/>
      <protection locked="0"/>
    </xf>
    <xf numFmtId="2" fontId="40" fillId="0" borderId="0" xfId="25" applyNumberFormat="1" applyFont="1"/>
    <xf numFmtId="0" fontId="40" fillId="0" borderId="41" xfId="25" applyFont="1" applyBorder="1" applyAlignment="1" applyProtection="1">
      <alignment horizontal="center"/>
      <protection locked="0"/>
    </xf>
    <xf numFmtId="0" fontId="128" fillId="58" borderId="41" xfId="25" applyFont="1" applyFill="1" applyBorder="1" applyAlignment="1" applyProtection="1">
      <alignment horizontal="center"/>
      <protection locked="0"/>
    </xf>
    <xf numFmtId="0" fontId="40" fillId="0" borderId="37" xfId="25" applyFont="1" applyBorder="1" applyProtection="1">
      <protection locked="0"/>
    </xf>
    <xf numFmtId="0" fontId="40" fillId="0" borderId="37" xfId="25" applyFont="1" applyBorder="1" applyAlignment="1" applyProtection="1">
      <alignment horizontal="centerContinuous"/>
      <protection locked="0"/>
    </xf>
    <xf numFmtId="0" fontId="40" fillId="0" borderId="38" xfId="25" applyFont="1" applyBorder="1" applyAlignment="1">
      <alignment horizontal="centerContinuous"/>
    </xf>
    <xf numFmtId="166" fontId="11" fillId="0" borderId="37" xfId="25" applyNumberFormat="1" applyFont="1" applyBorder="1" applyAlignment="1" applyProtection="1">
      <alignment horizontal="center"/>
      <protection locked="0"/>
    </xf>
    <xf numFmtId="0" fontId="128" fillId="0" borderId="0" xfId="25" applyFont="1" applyAlignment="1">
      <alignment horizontal="left"/>
    </xf>
    <xf numFmtId="0" fontId="128" fillId="0" borderId="40" xfId="25" applyFont="1" applyBorder="1" applyAlignment="1" applyProtection="1">
      <alignment horizontal="center"/>
      <protection locked="0"/>
    </xf>
    <xf numFmtId="0" fontId="128" fillId="0" borderId="37" xfId="25" applyFont="1" applyBorder="1" applyAlignment="1" applyProtection="1">
      <alignment horizontal="center"/>
      <protection locked="0"/>
    </xf>
    <xf numFmtId="166" fontId="40" fillId="0" borderId="37" xfId="25" applyNumberFormat="1" applyFont="1" applyBorder="1"/>
    <xf numFmtId="0" fontId="128" fillId="0" borderId="40" xfId="25" applyFont="1" applyBorder="1" applyProtection="1">
      <protection locked="0"/>
    </xf>
    <xf numFmtId="0" fontId="128" fillId="0" borderId="40" xfId="25" applyFont="1" applyBorder="1" applyAlignment="1" applyProtection="1">
      <alignment horizontal="centerContinuous"/>
      <protection locked="0"/>
    </xf>
    <xf numFmtId="0" fontId="40" fillId="0" borderId="35" xfId="25" applyFont="1" applyBorder="1" applyAlignment="1">
      <alignment horizontal="centerContinuous"/>
    </xf>
    <xf numFmtId="0" fontId="40" fillId="0" borderId="37" xfId="25" applyFont="1" applyBorder="1" applyAlignment="1">
      <alignment horizontal="centerContinuous"/>
    </xf>
    <xf numFmtId="166" fontId="26" fillId="0" borderId="32" xfId="25" applyNumberFormat="1" applyFont="1" applyBorder="1" applyAlignment="1">
      <alignment horizontal="centerContinuous"/>
    </xf>
    <xf numFmtId="2" fontId="40" fillId="0" borderId="32" xfId="25" applyNumberFormat="1" applyFont="1" applyBorder="1" applyAlignment="1">
      <alignment horizontal="center"/>
    </xf>
    <xf numFmtId="2" fontId="40" fillId="0" borderId="32" xfId="25" applyNumberFormat="1" applyFont="1" applyBorder="1" applyAlignment="1">
      <alignment horizontal="centerContinuous"/>
    </xf>
    <xf numFmtId="2" fontId="40" fillId="0" borderId="47" xfId="25" applyNumberFormat="1" applyFont="1" applyBorder="1" applyAlignment="1">
      <alignment horizontal="centerContinuous"/>
    </xf>
    <xf numFmtId="0" fontId="40" fillId="0" borderId="32" xfId="25" applyFont="1" applyBorder="1"/>
    <xf numFmtId="2" fontId="40" fillId="0" borderId="0" xfId="25" applyNumberFormat="1" applyFont="1" applyAlignment="1">
      <alignment horizontal="centerContinuous"/>
    </xf>
    <xf numFmtId="1" fontId="26" fillId="0" borderId="0" xfId="25" applyNumberFormat="1" applyFont="1" applyAlignment="1">
      <alignment horizontal="centerContinuous"/>
    </xf>
    <xf numFmtId="1" fontId="40" fillId="0" borderId="0" xfId="25" applyNumberFormat="1" applyFont="1" applyAlignment="1">
      <alignment horizontal="centerContinuous"/>
    </xf>
    <xf numFmtId="0" fontId="40" fillId="0" borderId="21" xfId="25" applyFont="1" applyBorder="1" applyAlignment="1">
      <alignment horizontal="left"/>
    </xf>
    <xf numFmtId="0" fontId="40" fillId="0" borderId="21" xfId="25" applyFont="1" applyBorder="1" applyAlignment="1">
      <alignment horizontal="right"/>
    </xf>
    <xf numFmtId="1" fontId="40" fillId="0" borderId="21" xfId="25" applyNumberFormat="1" applyFont="1" applyBorder="1" applyAlignment="1">
      <alignment horizontal="centerContinuous"/>
    </xf>
    <xf numFmtId="2" fontId="40" fillId="0" borderId="21" xfId="25" applyNumberFormat="1" applyFont="1" applyBorder="1" applyAlignment="1">
      <alignment horizontal="centerContinuous"/>
    </xf>
    <xf numFmtId="0" fontId="59" fillId="0" borderId="44" xfId="25" applyFont="1" applyBorder="1" applyAlignment="1">
      <alignment horizontal="left" vertical="center"/>
    </xf>
    <xf numFmtId="0" fontId="40" fillId="0" borderId="44" xfId="25" applyFont="1" applyBorder="1" applyAlignment="1">
      <alignment horizontal="left" vertical="center"/>
    </xf>
    <xf numFmtId="0" fontId="59" fillId="0" borderId="38" xfId="25" applyFont="1" applyBorder="1" applyAlignment="1">
      <alignment horizontal="left" vertical="center"/>
    </xf>
    <xf numFmtId="0" fontId="40" fillId="0" borderId="38" xfId="25" applyFont="1" applyBorder="1" applyAlignment="1">
      <alignment horizontal="left" vertical="center"/>
    </xf>
    <xf numFmtId="49" fontId="40" fillId="0" borderId="38" xfId="25" applyNumberFormat="1" applyFont="1" applyBorder="1"/>
    <xf numFmtId="0" fontId="59" fillId="0" borderId="47" xfId="25" applyFont="1" applyBorder="1" applyAlignment="1">
      <alignment horizontal="left" vertical="center"/>
    </xf>
    <xf numFmtId="0" fontId="40" fillId="0" borderId="47" xfId="25" applyFont="1" applyBorder="1" applyAlignment="1">
      <alignment horizontal="left" vertical="center"/>
    </xf>
    <xf numFmtId="0" fontId="40" fillId="0" borderId="31" xfId="25" applyFont="1" applyBorder="1"/>
    <xf numFmtId="49" fontId="40" fillId="0" borderId="46" xfId="25" applyNumberFormat="1" applyFont="1" applyBorder="1"/>
    <xf numFmtId="0" fontId="40" fillId="0" borderId="126" xfId="25" applyFont="1" applyBorder="1" applyAlignment="1">
      <alignment horizontal="left"/>
    </xf>
    <xf numFmtId="0" fontId="40" fillId="0" borderId="0" xfId="25" applyFont="1" applyAlignment="1">
      <alignment horizontal="left" vertical="center"/>
    </xf>
    <xf numFmtId="0" fontId="40" fillId="0" borderId="0" xfId="25" applyFont="1" applyProtection="1">
      <protection locked="0"/>
    </xf>
    <xf numFmtId="0" fontId="128" fillId="0" borderId="41" xfId="25" applyFont="1" applyBorder="1" applyProtection="1">
      <protection locked="0"/>
    </xf>
    <xf numFmtId="0" fontId="128" fillId="0" borderId="44" xfId="25" applyFont="1" applyBorder="1" applyProtection="1">
      <protection locked="0"/>
    </xf>
    <xf numFmtId="0" fontId="128" fillId="0" borderId="43" xfId="25" applyFont="1" applyBorder="1" applyProtection="1">
      <protection locked="0"/>
    </xf>
    <xf numFmtId="166" fontId="128" fillId="0" borderId="41" xfId="25" applyNumberFormat="1" applyFont="1" applyBorder="1" applyProtection="1">
      <protection locked="0"/>
    </xf>
    <xf numFmtId="166" fontId="128" fillId="0" borderId="43" xfId="25" applyNumberFormat="1" applyFont="1" applyBorder="1" applyProtection="1">
      <protection locked="0"/>
    </xf>
    <xf numFmtId="0" fontId="128" fillId="0" borderId="38" xfId="25" applyFont="1" applyBorder="1" applyProtection="1">
      <protection locked="0"/>
    </xf>
    <xf numFmtId="0" fontId="128" fillId="0" borderId="35" xfId="25" applyFont="1" applyBorder="1" applyProtection="1">
      <protection locked="0"/>
    </xf>
    <xf numFmtId="166" fontId="128" fillId="0" borderId="40" xfId="25" applyNumberFormat="1" applyFont="1" applyBorder="1" applyProtection="1">
      <protection locked="0"/>
    </xf>
    <xf numFmtId="166" fontId="128" fillId="0" borderId="35" xfId="25" applyNumberFormat="1" applyFont="1" applyBorder="1" applyProtection="1">
      <protection locked="0"/>
    </xf>
    <xf numFmtId="2" fontId="128" fillId="0" borderId="35" xfId="25" applyNumberFormat="1" applyFont="1" applyBorder="1" applyProtection="1">
      <protection locked="0"/>
    </xf>
    <xf numFmtId="2" fontId="40" fillId="0" borderId="35" xfId="25" applyNumberFormat="1" applyFont="1" applyBorder="1"/>
    <xf numFmtId="166" fontId="59" fillId="0" borderId="35" xfId="25" applyNumberFormat="1" applyFont="1" applyBorder="1" applyAlignment="1">
      <alignment horizontal="center"/>
    </xf>
    <xf numFmtId="2" fontId="40" fillId="0" borderId="31" xfId="25" applyNumberFormat="1" applyFont="1" applyBorder="1"/>
    <xf numFmtId="2" fontId="128" fillId="0" borderId="37" xfId="25" applyNumberFormat="1" applyFont="1" applyBorder="1" applyAlignment="1">
      <alignment horizontal="center"/>
    </xf>
    <xf numFmtId="166" fontId="128" fillId="0" borderId="37" xfId="25" applyNumberFormat="1" applyFont="1" applyBorder="1" applyAlignment="1" applyProtection="1">
      <alignment horizontal="center"/>
      <protection locked="0"/>
    </xf>
    <xf numFmtId="2" fontId="40" fillId="0" borderId="32" xfId="25" applyNumberFormat="1" applyFont="1" applyBorder="1" applyAlignment="1" applyProtection="1">
      <alignment horizontal="center"/>
      <protection locked="0"/>
    </xf>
    <xf numFmtId="2" fontId="40" fillId="0" borderId="32" xfId="25" applyNumberFormat="1" applyFont="1" applyBorder="1" applyAlignment="1" applyProtection="1">
      <alignment horizontal="centerContinuous"/>
      <protection locked="0"/>
    </xf>
    <xf numFmtId="0" fontId="40" fillId="0" borderId="42" xfId="25" applyFont="1" applyBorder="1"/>
    <xf numFmtId="0" fontId="59" fillId="0" borderId="44" xfId="25" applyFont="1" applyBorder="1"/>
    <xf numFmtId="0" fontId="40" fillId="0" borderId="74" xfId="25" applyFont="1" applyBorder="1"/>
    <xf numFmtId="0" fontId="59" fillId="0" borderId="38" xfId="25" applyFont="1" applyBorder="1"/>
    <xf numFmtId="0" fontId="40" fillId="0" borderId="72" xfId="25" applyFont="1" applyBorder="1"/>
    <xf numFmtId="0" fontId="40" fillId="0" borderId="51" xfId="25" applyFont="1" applyBorder="1"/>
    <xf numFmtId="0" fontId="59" fillId="0" borderId="47" xfId="25" applyFont="1" applyBorder="1"/>
    <xf numFmtId="0" fontId="40" fillId="0" borderId="50" xfId="25" applyFont="1" applyBorder="1"/>
    <xf numFmtId="49" fontId="40" fillId="0" borderId="47" xfId="25" applyNumberFormat="1" applyFont="1" applyBorder="1"/>
    <xf numFmtId="2" fontId="59" fillId="0" borderId="37" xfId="25" applyNumberFormat="1" applyFont="1" applyBorder="1" applyAlignment="1">
      <alignment horizontal="right"/>
    </xf>
    <xf numFmtId="0" fontId="59" fillId="0" borderId="44" xfId="25" applyFont="1" applyBorder="1" applyProtection="1">
      <protection locked="0"/>
    </xf>
    <xf numFmtId="0" fontId="40" fillId="0" borderId="44" xfId="25" applyFont="1" applyBorder="1" applyProtection="1">
      <protection locked="0"/>
    </xf>
    <xf numFmtId="0" fontId="59" fillId="0" borderId="38" xfId="25" applyFont="1" applyBorder="1" applyProtection="1">
      <protection locked="0"/>
    </xf>
    <xf numFmtId="0" fontId="40" fillId="0" borderId="38" xfId="25" applyFont="1" applyBorder="1" applyProtection="1">
      <protection locked="0"/>
    </xf>
    <xf numFmtId="49" fontId="128" fillId="0" borderId="38" xfId="25" quotePrefix="1" applyNumberFormat="1" applyFont="1" applyBorder="1"/>
    <xf numFmtId="0" fontId="40" fillId="0" borderId="35" xfId="25" applyFont="1" applyBorder="1" applyProtection="1">
      <protection locked="0"/>
    </xf>
    <xf numFmtId="0" fontId="40" fillId="0" borderId="47" xfId="25" applyFont="1" applyBorder="1" applyProtection="1">
      <protection locked="0"/>
    </xf>
    <xf numFmtId="0" fontId="40" fillId="0" borderId="31" xfId="25" applyFont="1" applyBorder="1" applyProtection="1">
      <protection locked="0"/>
    </xf>
    <xf numFmtId="0" fontId="40" fillId="0" borderId="27" xfId="25" applyFont="1" applyBorder="1" applyAlignment="1">
      <alignment horizontal="left"/>
    </xf>
    <xf numFmtId="0" fontId="40" fillId="0" borderId="28" xfId="25" applyFont="1" applyBorder="1" applyAlignment="1">
      <alignment horizontal="centerContinuous"/>
    </xf>
    <xf numFmtId="0" fontId="40" fillId="0" borderId="0" xfId="25" applyFont="1" applyAlignment="1" applyProtection="1">
      <alignment horizontal="left"/>
      <protection locked="0"/>
    </xf>
    <xf numFmtId="0" fontId="40" fillId="3" borderId="0" xfId="25" applyFont="1" applyFill="1"/>
    <xf numFmtId="0" fontId="40" fillId="0" borderId="28" xfId="25" applyFont="1" applyBorder="1" applyAlignment="1">
      <alignment horizontal="left"/>
    </xf>
    <xf numFmtId="0" fontId="40" fillId="0" borderId="15" xfId="25" applyFont="1" applyBorder="1" applyAlignment="1">
      <alignment horizontal="center"/>
    </xf>
    <xf numFmtId="0" fontId="40" fillId="0" borderId="26" xfId="25" applyFont="1" applyBorder="1" applyAlignment="1">
      <alignment horizontal="center"/>
    </xf>
    <xf numFmtId="0" fontId="40" fillId="0" borderId="14" xfId="25" applyFont="1" applyBorder="1" applyAlignment="1">
      <alignment horizontal="center"/>
    </xf>
    <xf numFmtId="0" fontId="40" fillId="0" borderId="126" xfId="25" applyFont="1" applyBorder="1" applyAlignment="1">
      <alignment horizontal="center"/>
    </xf>
    <xf numFmtId="0" fontId="40" fillId="0" borderId="127" xfId="25" applyFont="1" applyBorder="1" applyAlignment="1">
      <alignment horizontal="center"/>
    </xf>
    <xf numFmtId="0" fontId="40" fillId="0" borderId="13" xfId="25" applyFont="1" applyBorder="1" applyAlignment="1">
      <alignment horizontal="center"/>
    </xf>
    <xf numFmtId="0" fontId="40" fillId="0" borderId="21" xfId="25" applyFont="1" applyBorder="1" applyAlignment="1">
      <alignment horizontal="center"/>
    </xf>
    <xf numFmtId="0" fontId="40" fillId="0" borderId="12" xfId="25" applyFont="1" applyBorder="1" applyAlignment="1">
      <alignment horizontal="center"/>
    </xf>
    <xf numFmtId="191" fontId="40" fillId="0" borderId="41" xfId="25" quotePrefix="1" applyNumberFormat="1" applyFont="1" applyBorder="1"/>
    <xf numFmtId="21" fontId="40" fillId="0" borderId="44" xfId="25" applyNumberFormat="1" applyFont="1" applyBorder="1"/>
    <xf numFmtId="2" fontId="128" fillId="3" borderId="45" xfId="25" applyNumberFormat="1" applyFont="1" applyFill="1" applyBorder="1" applyAlignment="1">
      <alignment horizontal="center"/>
    </xf>
    <xf numFmtId="2" fontId="128" fillId="3" borderId="45" xfId="25" applyNumberFormat="1" applyFont="1" applyFill="1" applyBorder="1" applyAlignment="1" applyProtection="1">
      <alignment horizontal="center"/>
      <protection locked="0"/>
    </xf>
    <xf numFmtId="2" fontId="40" fillId="0" borderId="45" xfId="25" applyNumberFormat="1" applyFont="1" applyBorder="1" applyAlignment="1">
      <alignment horizontal="center"/>
    </xf>
    <xf numFmtId="1" fontId="40" fillId="3" borderId="45" xfId="25" applyNumberFormat="1" applyFont="1" applyFill="1" applyBorder="1" applyAlignment="1">
      <alignment horizontal="center"/>
    </xf>
    <xf numFmtId="2" fontId="40" fillId="0" borderId="41" xfId="25" applyNumberFormat="1" applyFont="1" applyBorder="1" applyAlignment="1">
      <alignment horizontal="center"/>
    </xf>
    <xf numFmtId="2" fontId="40" fillId="0" borderId="43" xfId="25" applyNumberFormat="1" applyFont="1" applyBorder="1"/>
    <xf numFmtId="191" fontId="40" fillId="0" borderId="40" xfId="25" applyNumberFormat="1" applyFont="1" applyBorder="1"/>
    <xf numFmtId="21" fontId="40" fillId="0" borderId="38" xfId="25" applyNumberFormat="1" applyFont="1" applyBorder="1"/>
    <xf numFmtId="2" fontId="128" fillId="3" borderId="37" xfId="25" applyNumberFormat="1" applyFont="1" applyFill="1" applyBorder="1" applyAlignment="1">
      <alignment horizontal="center"/>
    </xf>
    <xf numFmtId="2" fontId="128" fillId="3" borderId="37" xfId="25" applyNumberFormat="1" applyFont="1" applyFill="1" applyBorder="1" applyAlignment="1" applyProtection="1">
      <alignment horizontal="center"/>
      <protection locked="0"/>
    </xf>
    <xf numFmtId="1" fontId="128" fillId="3" borderId="37" xfId="25" applyNumberFormat="1" applyFont="1" applyFill="1" applyBorder="1" applyAlignment="1" applyProtection="1">
      <alignment horizontal="center"/>
      <protection locked="0"/>
    </xf>
    <xf numFmtId="2" fontId="40" fillId="0" borderId="40" xfId="25" applyNumberFormat="1" applyFont="1" applyBorder="1" applyAlignment="1">
      <alignment horizontal="center"/>
    </xf>
    <xf numFmtId="2" fontId="40" fillId="0" borderId="0" xfId="25" applyNumberFormat="1" applyFont="1" applyAlignment="1">
      <alignment horizontal="left"/>
    </xf>
    <xf numFmtId="191" fontId="40" fillId="0" borderId="40" xfId="25" quotePrefix="1" applyNumberFormat="1" applyFont="1" applyBorder="1"/>
    <xf numFmtId="0" fontId="128" fillId="0" borderId="32" xfId="25" applyFont="1" applyBorder="1" applyAlignment="1">
      <alignment horizontal="center"/>
    </xf>
    <xf numFmtId="1" fontId="40" fillId="0" borderId="32" xfId="25" applyNumberFormat="1" applyFont="1" applyBorder="1"/>
    <xf numFmtId="166" fontId="40" fillId="0" borderId="32" xfId="25" applyNumberFormat="1" applyFont="1" applyBorder="1" applyAlignment="1">
      <alignment horizontal="centerContinuous"/>
    </xf>
    <xf numFmtId="0" fontId="128" fillId="0" borderId="0" xfId="25" applyFont="1" applyAlignment="1" applyProtection="1">
      <alignment horizontal="left"/>
      <protection locked="0"/>
    </xf>
    <xf numFmtId="2" fontId="40" fillId="2" borderId="0" xfId="25" applyNumberFormat="1" applyFont="1" applyFill="1" applyAlignment="1">
      <alignment horizontal="left"/>
    </xf>
    <xf numFmtId="166" fontId="128" fillId="2" borderId="0" xfId="25" applyNumberFormat="1" applyFont="1" applyFill="1" applyAlignment="1" applyProtection="1">
      <alignment horizontal="left"/>
      <protection locked="0"/>
    </xf>
    <xf numFmtId="2" fontId="40" fillId="0" borderId="28" xfId="25" applyNumberFormat="1" applyFont="1" applyBorder="1" applyAlignment="1">
      <alignment horizontal="centerContinuous"/>
    </xf>
    <xf numFmtId="0" fontId="40" fillId="2" borderId="0" xfId="25" applyFont="1" applyFill="1" applyAlignment="1">
      <alignment horizontal="left"/>
    </xf>
    <xf numFmtId="0" fontId="128" fillId="2" borderId="0" xfId="25" applyFont="1" applyFill="1" applyAlignment="1" applyProtection="1">
      <alignment horizontal="left"/>
      <protection locked="0"/>
    </xf>
    <xf numFmtId="2" fontId="131" fillId="0" borderId="0" xfId="25" applyNumberFormat="1" applyFont="1" applyAlignment="1">
      <alignment horizontal="centerContinuous"/>
    </xf>
    <xf numFmtId="2" fontId="128" fillId="0" borderId="0" xfId="25" applyNumberFormat="1" applyFont="1" applyAlignment="1">
      <alignment horizontal="left"/>
    </xf>
    <xf numFmtId="166" fontId="128" fillId="0" borderId="0" xfId="25" applyNumberFormat="1" applyFont="1" applyAlignment="1">
      <alignment horizontal="left"/>
    </xf>
    <xf numFmtId="166" fontId="40" fillId="0" borderId="0" xfId="25" applyNumberFormat="1" applyFont="1" applyAlignment="1">
      <alignment horizontal="left"/>
    </xf>
    <xf numFmtId="166" fontId="40" fillId="0" borderId="0" xfId="25" applyNumberFormat="1" applyFont="1" applyAlignment="1">
      <alignment horizontal="right"/>
    </xf>
    <xf numFmtId="0" fontId="128" fillId="0" borderId="0" xfId="25" applyFont="1" applyAlignment="1" applyProtection="1">
      <alignment horizontal="right"/>
      <protection locked="0"/>
    </xf>
    <xf numFmtId="1" fontId="128" fillId="0" borderId="0" xfId="25" applyNumberFormat="1" applyFont="1" applyAlignment="1">
      <alignment horizontal="right"/>
    </xf>
    <xf numFmtId="1" fontId="40" fillId="0" borderId="0" xfId="25" applyNumberFormat="1" applyFont="1" applyAlignment="1">
      <alignment horizontal="right"/>
    </xf>
    <xf numFmtId="167" fontId="40" fillId="0" borderId="0" xfId="25" applyNumberFormat="1" applyFont="1" applyAlignment="1">
      <alignment horizontal="right"/>
    </xf>
    <xf numFmtId="167" fontId="40" fillId="0" borderId="0" xfId="25" quotePrefix="1" applyNumberFormat="1" applyFont="1" applyAlignment="1">
      <alignment horizontal="right"/>
    </xf>
    <xf numFmtId="2" fontId="40" fillId="0" borderId="0" xfId="25" applyNumberFormat="1" applyFont="1" applyAlignment="1">
      <alignment horizontal="right"/>
    </xf>
    <xf numFmtId="0" fontId="59" fillId="0" borderId="13" xfId="25" applyFont="1" applyBorder="1"/>
    <xf numFmtId="0" fontId="131" fillId="0" borderId="21" xfId="25" applyFont="1" applyBorder="1" applyAlignment="1">
      <alignment horizontal="center"/>
    </xf>
    <xf numFmtId="0" fontId="131" fillId="0" borderId="0" xfId="25" applyFont="1" applyAlignment="1">
      <alignment horizontal="center"/>
    </xf>
    <xf numFmtId="0" fontId="131" fillId="0" borderId="0" xfId="25" applyFont="1" applyAlignment="1">
      <alignment horizontal="centerContinuous"/>
    </xf>
    <xf numFmtId="2" fontId="128" fillId="0" borderId="38" xfId="25" quotePrefix="1" applyNumberFormat="1" applyFont="1" applyBorder="1" applyAlignment="1">
      <alignment horizontal="left"/>
    </xf>
    <xf numFmtId="49" fontId="40" fillId="0" borderId="35" xfId="25" applyNumberFormat="1" applyFont="1" applyBorder="1" applyAlignment="1">
      <alignment horizontal="left"/>
    </xf>
    <xf numFmtId="186" fontId="40" fillId="0" borderId="41" xfId="25" quotePrefix="1" applyNumberFormat="1" applyFont="1" applyBorder="1"/>
    <xf numFmtId="21" fontId="128" fillId="0" borderId="44" xfId="25" applyNumberFormat="1" applyFont="1" applyBorder="1"/>
    <xf numFmtId="0" fontId="40" fillId="0" borderId="40" xfId="25" quotePrefix="1" applyFont="1" applyBorder="1"/>
    <xf numFmtId="0" fontId="40" fillId="0" borderId="32" xfId="25" applyFont="1" applyBorder="1" applyAlignment="1">
      <alignment horizontal="center"/>
    </xf>
    <xf numFmtId="0" fontId="128" fillId="3" borderId="0" xfId="25" applyFont="1" applyFill="1" applyAlignment="1" applyProtection="1">
      <alignment horizontal="right"/>
      <protection locked="0"/>
    </xf>
    <xf numFmtId="2" fontId="128" fillId="0" borderId="38" xfId="25" quotePrefix="1" applyNumberFormat="1" applyFont="1" applyBorder="1"/>
    <xf numFmtId="166" fontId="40" fillId="0" borderId="41" xfId="25" applyNumberFormat="1" applyFont="1" applyBorder="1" applyAlignment="1">
      <alignment horizontal="center"/>
    </xf>
    <xf numFmtId="166" fontId="40" fillId="0" borderId="40" xfId="25" applyNumberFormat="1" applyFont="1" applyBorder="1" applyAlignment="1">
      <alignment horizontal="center"/>
    </xf>
    <xf numFmtId="0" fontId="128" fillId="0" borderId="32" xfId="25" applyFont="1" applyBorder="1"/>
    <xf numFmtId="166" fontId="40" fillId="2" borderId="0" xfId="25" applyNumberFormat="1" applyFont="1" applyFill="1" applyAlignment="1">
      <alignment horizontal="left"/>
    </xf>
    <xf numFmtId="49" fontId="40" fillId="0" borderId="38" xfId="25" applyNumberFormat="1" applyFont="1" applyBorder="1" applyAlignment="1">
      <alignment horizontal="left" vertical="center"/>
    </xf>
    <xf numFmtId="0" fontId="40" fillId="0" borderId="0" xfId="25" applyFont="1" applyAlignment="1">
      <alignment horizontal="center" vertical="center"/>
    </xf>
    <xf numFmtId="2" fontId="40" fillId="0" borderId="0" xfId="25" applyNumberFormat="1" applyFont="1" applyAlignment="1">
      <alignment horizontal="center" vertical="center"/>
    </xf>
    <xf numFmtId="1" fontId="40" fillId="0" borderId="0" xfId="25" applyNumberFormat="1" applyFont="1" applyAlignment="1">
      <alignment horizontal="center" vertical="center"/>
    </xf>
    <xf numFmtId="0" fontId="128" fillId="0" borderId="0" xfId="25" applyFont="1" applyAlignment="1" applyProtection="1">
      <alignment horizontal="center" vertical="center"/>
      <protection locked="0"/>
    </xf>
    <xf numFmtId="0" fontId="40" fillId="0" borderId="15" xfId="25" applyFont="1" applyBorder="1" applyAlignment="1">
      <alignment vertical="center" wrapText="1"/>
    </xf>
    <xf numFmtId="0" fontId="40" fillId="0" borderId="27" xfId="25" applyFont="1" applyBorder="1" applyAlignment="1">
      <alignment vertical="center" wrapText="1"/>
    </xf>
    <xf numFmtId="0" fontId="40" fillId="0" borderId="28" xfId="25" applyFont="1" applyBorder="1" applyAlignment="1">
      <alignment horizontal="left" wrapText="1"/>
    </xf>
    <xf numFmtId="0" fontId="40" fillId="0" borderId="0" xfId="25" applyFont="1" applyAlignment="1">
      <alignment horizontal="center" wrapText="1"/>
    </xf>
    <xf numFmtId="167" fontId="40" fillId="0" borderId="0" xfId="25" applyNumberFormat="1" applyFont="1" applyAlignment="1">
      <alignment horizontal="centerContinuous" wrapText="1"/>
    </xf>
    <xf numFmtId="0" fontId="40" fillId="0" borderId="0" xfId="25" applyFont="1" applyAlignment="1">
      <alignment vertical="center" wrapText="1"/>
    </xf>
    <xf numFmtId="0" fontId="40" fillId="0" borderId="28" xfId="25" applyFont="1" applyBorder="1" applyAlignment="1">
      <alignment vertical="center" wrapText="1"/>
    </xf>
    <xf numFmtId="0" fontId="40" fillId="0" borderId="27" xfId="25" applyFont="1" applyBorder="1" applyAlignment="1">
      <alignment horizontal="center" vertical="center" wrapText="1"/>
    </xf>
    <xf numFmtId="0" fontId="40" fillId="0" borderId="127" xfId="25" applyFont="1" applyBorder="1" applyAlignment="1">
      <alignment horizontal="center" vertical="center" wrapText="1"/>
    </xf>
    <xf numFmtId="0" fontId="40" fillId="0" borderId="26" xfId="25" applyFont="1" applyBorder="1" applyAlignment="1">
      <alignment horizontal="center" vertical="center" wrapText="1"/>
    </xf>
    <xf numFmtId="167" fontId="40" fillId="0" borderId="0" xfId="25" applyNumberFormat="1" applyFont="1" applyAlignment="1">
      <alignment horizontal="center" wrapText="1"/>
    </xf>
    <xf numFmtId="167" fontId="40" fillId="0" borderId="0" xfId="25" applyNumberFormat="1" applyFont="1" applyAlignment="1">
      <alignment horizontal="left" wrapText="1"/>
    </xf>
    <xf numFmtId="0" fontId="40" fillId="0" borderId="12" xfId="25" applyFont="1" applyBorder="1"/>
    <xf numFmtId="0" fontId="40" fillId="0" borderId="29" xfId="25" applyFont="1" applyBorder="1" applyAlignment="1">
      <alignment horizontal="center"/>
    </xf>
    <xf numFmtId="0" fontId="40" fillId="0" borderId="12" xfId="25" applyFont="1" applyBorder="1" applyAlignment="1">
      <alignment horizontal="left"/>
    </xf>
    <xf numFmtId="0" fontId="128" fillId="3" borderId="45" xfId="25" applyFont="1" applyFill="1" applyBorder="1" applyAlignment="1" applyProtection="1">
      <alignment horizontal="right"/>
      <protection locked="0"/>
    </xf>
    <xf numFmtId="2" fontId="40" fillId="0" borderId="45" xfId="25" quotePrefix="1" applyNumberFormat="1" applyFont="1" applyBorder="1" applyAlignment="1">
      <alignment horizontal="right"/>
    </xf>
    <xf numFmtId="0" fontId="40" fillId="0" borderId="44" xfId="25" applyFont="1" applyBorder="1" applyAlignment="1">
      <alignment horizontal="right"/>
    </xf>
    <xf numFmtId="2" fontId="40" fillId="0" borderId="44" xfId="25" applyNumberFormat="1" applyFont="1" applyBorder="1" applyAlignment="1">
      <alignment horizontal="right"/>
    </xf>
    <xf numFmtId="0" fontId="40" fillId="0" borderId="43" xfId="25" applyFont="1" applyBorder="1" applyAlignment="1">
      <alignment horizontal="right"/>
    </xf>
    <xf numFmtId="166" fontId="40" fillId="0" borderId="43" xfId="25" applyNumberFormat="1" applyFont="1" applyBorder="1" applyAlignment="1">
      <alignment horizontal="right"/>
    </xf>
    <xf numFmtId="166" fontId="40" fillId="0" borderId="45" xfId="25" applyNumberFormat="1" applyFont="1" applyBorder="1" applyAlignment="1">
      <alignment horizontal="right"/>
    </xf>
    <xf numFmtId="0" fontId="40" fillId="0" borderId="45" xfId="25" applyFont="1" applyBorder="1" applyAlignment="1">
      <alignment horizontal="right"/>
    </xf>
    <xf numFmtId="1" fontId="40" fillId="0" borderId="45" xfId="25" applyNumberFormat="1" applyFont="1" applyBorder="1" applyAlignment="1">
      <alignment horizontal="right"/>
    </xf>
    <xf numFmtId="167" fontId="40" fillId="0" borderId="0" xfId="25" applyNumberFormat="1" applyFont="1" applyAlignment="1">
      <alignment horizontal="centerContinuous"/>
    </xf>
    <xf numFmtId="0" fontId="128" fillId="3" borderId="37" xfId="25" applyFont="1" applyFill="1" applyBorder="1" applyAlignment="1" applyProtection="1">
      <alignment horizontal="right"/>
      <protection locked="0"/>
    </xf>
    <xf numFmtId="2" fontId="40" fillId="0" borderId="37" xfId="25" applyNumberFormat="1" applyFont="1" applyBorder="1" applyAlignment="1">
      <alignment horizontal="right"/>
    </xf>
    <xf numFmtId="0" fontId="40" fillId="0" borderId="38" xfId="25" applyFont="1" applyBorder="1" applyAlignment="1">
      <alignment horizontal="right"/>
    </xf>
    <xf numFmtId="166" fontId="128" fillId="3" borderId="35" xfId="25" applyNumberFormat="1" applyFont="1" applyFill="1" applyBorder="1" applyAlignment="1" applyProtection="1">
      <alignment horizontal="right"/>
      <protection locked="0"/>
    </xf>
    <xf numFmtId="166" fontId="40" fillId="0" borderId="37" xfId="25" applyNumberFormat="1" applyFont="1" applyBorder="1" applyAlignment="1">
      <alignment horizontal="right"/>
    </xf>
    <xf numFmtId="166" fontId="128" fillId="3" borderId="37" xfId="25" applyNumberFormat="1" applyFont="1" applyFill="1" applyBorder="1" applyAlignment="1" applyProtection="1">
      <alignment horizontal="right"/>
      <protection locked="0"/>
    </xf>
    <xf numFmtId="0" fontId="40" fillId="0" borderId="37" xfId="25" applyFont="1" applyBorder="1" applyAlignment="1">
      <alignment horizontal="right"/>
    </xf>
    <xf numFmtId="1" fontId="40" fillId="0" borderId="38" xfId="25" applyNumberFormat="1" applyFont="1" applyBorder="1" applyAlignment="1">
      <alignment horizontal="right"/>
    </xf>
    <xf numFmtId="2" fontId="40" fillId="0" borderId="45" xfId="25" applyNumberFormat="1" applyFont="1" applyBorder="1" applyAlignment="1">
      <alignment horizontal="right"/>
    </xf>
    <xf numFmtId="1" fontId="40" fillId="0" borderId="0" xfId="25" applyNumberFormat="1" applyFont="1" applyAlignment="1">
      <alignment horizontal="left"/>
    </xf>
    <xf numFmtId="166" fontId="40" fillId="0" borderId="0" xfId="25" applyNumberFormat="1" applyFont="1"/>
    <xf numFmtId="1" fontId="40" fillId="0" borderId="0" xfId="25" applyNumberFormat="1" applyFont="1"/>
    <xf numFmtId="166" fontId="128" fillId="3" borderId="127" xfId="25" applyNumberFormat="1" applyFont="1" applyFill="1" applyBorder="1" applyAlignment="1" applyProtection="1">
      <alignment horizontal="right"/>
      <protection locked="0"/>
    </xf>
    <xf numFmtId="0" fontId="128" fillId="0" borderId="37" xfId="25" applyFont="1" applyBorder="1" applyAlignment="1" applyProtection="1">
      <alignment horizontal="right"/>
      <protection locked="0"/>
    </xf>
    <xf numFmtId="2" fontId="40" fillId="0" borderId="38" xfId="25" applyNumberFormat="1" applyFont="1" applyBorder="1" applyAlignment="1">
      <alignment horizontal="right"/>
    </xf>
    <xf numFmtId="166" fontId="128" fillId="0" borderId="37" xfId="25" applyNumberFormat="1" applyFont="1" applyBorder="1" applyAlignment="1" applyProtection="1">
      <alignment horizontal="right"/>
      <protection locked="0"/>
    </xf>
    <xf numFmtId="1" fontId="40" fillId="0" borderId="37" xfId="25" applyNumberFormat="1" applyFont="1" applyBorder="1" applyAlignment="1">
      <alignment horizontal="right"/>
    </xf>
    <xf numFmtId="0" fontId="128" fillId="0" borderId="40" xfId="25" applyFont="1" applyBorder="1" applyAlignment="1" applyProtection="1">
      <alignment horizontal="right"/>
      <protection locked="0"/>
    </xf>
    <xf numFmtId="0" fontId="128" fillId="0" borderId="46" xfId="25" applyFont="1" applyBorder="1" applyAlignment="1" applyProtection="1">
      <alignment horizontal="right"/>
      <protection locked="0"/>
    </xf>
    <xf numFmtId="0" fontId="40" fillId="0" borderId="32" xfId="25" applyFont="1" applyBorder="1" applyAlignment="1">
      <alignment horizontal="right"/>
    </xf>
    <xf numFmtId="0" fontId="40" fillId="0" borderId="47" xfId="25" applyFont="1" applyBorder="1" applyAlignment="1">
      <alignment horizontal="right"/>
    </xf>
    <xf numFmtId="0" fontId="128" fillId="0" borderId="32" xfId="25" applyFont="1" applyBorder="1" applyAlignment="1" applyProtection="1">
      <alignment horizontal="right"/>
      <protection locked="0"/>
    </xf>
    <xf numFmtId="1" fontId="40" fillId="0" borderId="32" xfId="25" applyNumberFormat="1" applyFont="1" applyBorder="1" applyAlignment="1">
      <alignment horizontal="right"/>
    </xf>
    <xf numFmtId="2" fontId="40" fillId="0" borderId="38" xfId="25" applyNumberFormat="1" applyFont="1" applyBorder="1" applyAlignment="1">
      <alignment horizontal="left" vertical="center"/>
    </xf>
    <xf numFmtId="0" fontId="128" fillId="3" borderId="45" xfId="25" applyFont="1" applyFill="1" applyBorder="1" applyAlignment="1" applyProtection="1">
      <alignment horizontal="center" vertical="center"/>
      <protection locked="0"/>
    </xf>
    <xf numFmtId="2" fontId="40" fillId="0" borderId="45" xfId="25" quotePrefix="1" applyNumberFormat="1" applyFont="1" applyBorder="1" applyAlignment="1">
      <alignment horizontal="center" vertical="center"/>
    </xf>
    <xf numFmtId="0" fontId="40" fillId="0" borderId="44" xfId="25" applyFont="1" applyBorder="1" applyAlignment="1">
      <alignment horizontal="center" vertical="center"/>
    </xf>
    <xf numFmtId="2" fontId="40" fillId="0" borderId="44" xfId="25" applyNumberFormat="1" applyFont="1" applyBorder="1" applyAlignment="1">
      <alignment horizontal="center" vertical="center"/>
    </xf>
    <xf numFmtId="0" fontId="40" fillId="0" borderId="43" xfId="25" applyFont="1" applyBorder="1" applyAlignment="1">
      <alignment horizontal="center" vertical="center"/>
    </xf>
    <xf numFmtId="166" fontId="40" fillId="0" borderId="43" xfId="25" applyNumberFormat="1" applyFont="1" applyBorder="1" applyAlignment="1">
      <alignment horizontal="center" vertical="center"/>
    </xf>
    <xf numFmtId="166" fontId="40" fillId="0" borderId="45" xfId="25" applyNumberFormat="1" applyFont="1" applyBorder="1" applyAlignment="1">
      <alignment horizontal="center" vertical="center"/>
    </xf>
    <xf numFmtId="0" fontId="40" fillId="0" borderId="45" xfId="25" applyFont="1" applyBorder="1" applyAlignment="1">
      <alignment horizontal="center" vertical="center"/>
    </xf>
    <xf numFmtId="1" fontId="40" fillId="0" borderId="45" xfId="25" applyNumberFormat="1" applyFont="1" applyBorder="1" applyAlignment="1">
      <alignment horizontal="center" vertical="center"/>
    </xf>
    <xf numFmtId="0" fontId="128" fillId="3" borderId="37" xfId="25" applyFont="1" applyFill="1" applyBorder="1" applyAlignment="1" applyProtection="1">
      <alignment horizontal="center" vertical="center"/>
      <protection locked="0"/>
    </xf>
    <xf numFmtId="2" fontId="40" fillId="0" borderId="37" xfId="25" quotePrefix="1" applyNumberFormat="1" applyFont="1" applyBorder="1" applyAlignment="1">
      <alignment horizontal="center" vertical="center"/>
    </xf>
    <xf numFmtId="0" fontId="40" fillId="0" borderId="38" xfId="25" applyFont="1" applyBorder="1" applyAlignment="1">
      <alignment horizontal="center" vertical="center"/>
    </xf>
    <xf numFmtId="2" fontId="40" fillId="0" borderId="38" xfId="25" applyNumberFormat="1" applyFont="1" applyBorder="1" applyAlignment="1">
      <alignment horizontal="center" vertical="center"/>
    </xf>
    <xf numFmtId="0" fontId="40" fillId="0" borderId="35" xfId="25" applyFont="1" applyBorder="1" applyAlignment="1">
      <alignment horizontal="center" vertical="center"/>
    </xf>
    <xf numFmtId="166" fontId="128" fillId="3" borderId="35" xfId="25" applyNumberFormat="1" applyFont="1" applyFill="1" applyBorder="1" applyAlignment="1" applyProtection="1">
      <alignment horizontal="center" vertical="center"/>
      <protection locked="0"/>
    </xf>
    <xf numFmtId="166" fontId="40" fillId="0" borderId="37" xfId="25" applyNumberFormat="1" applyFont="1" applyBorder="1" applyAlignment="1">
      <alignment horizontal="center" vertical="center"/>
    </xf>
    <xf numFmtId="166" fontId="128" fillId="3" borderId="37" xfId="25" applyNumberFormat="1" applyFont="1" applyFill="1" applyBorder="1" applyAlignment="1" applyProtection="1">
      <alignment horizontal="center" vertical="center"/>
      <protection locked="0"/>
    </xf>
    <xf numFmtId="0" fontId="40" fillId="0" borderId="37" xfId="25" applyFont="1" applyBorder="1" applyAlignment="1">
      <alignment horizontal="center" vertical="center"/>
    </xf>
    <xf numFmtId="2" fontId="40" fillId="0" borderId="37" xfId="25" applyNumberFormat="1" applyFont="1" applyBorder="1" applyAlignment="1">
      <alignment horizontal="center" vertical="center"/>
    </xf>
    <xf numFmtId="1" fontId="40" fillId="0" borderId="37" xfId="25" applyNumberFormat="1" applyFont="1" applyBorder="1" applyAlignment="1">
      <alignment horizontal="center" vertical="center"/>
    </xf>
    <xf numFmtId="0" fontId="128" fillId="0" borderId="37" xfId="25" applyFont="1" applyBorder="1" applyAlignment="1" applyProtection="1">
      <alignment horizontal="center" vertical="center"/>
      <protection locked="0"/>
    </xf>
    <xf numFmtId="166" fontId="128" fillId="0" borderId="37" xfId="25" applyNumberFormat="1" applyFont="1" applyBorder="1" applyAlignment="1" applyProtection="1">
      <alignment horizontal="center" vertical="center"/>
      <protection locked="0"/>
    </xf>
    <xf numFmtId="0" fontId="132" fillId="0" borderId="46" xfId="25" applyFont="1" applyBorder="1" applyAlignment="1" applyProtection="1">
      <alignment horizontal="center" vertical="center"/>
      <protection locked="0"/>
    </xf>
    <xf numFmtId="0" fontId="40" fillId="0" borderId="32" xfId="25" applyFont="1" applyBorder="1" applyAlignment="1">
      <alignment horizontal="center" vertical="center"/>
    </xf>
    <xf numFmtId="0" fontId="40" fillId="0" borderId="47" xfId="25" applyFont="1" applyBorder="1" applyAlignment="1">
      <alignment horizontal="center" vertical="center"/>
    </xf>
    <xf numFmtId="0" fontId="128" fillId="0" borderId="32" xfId="25" applyFont="1" applyBorder="1" applyAlignment="1" applyProtection="1">
      <alignment horizontal="center" vertical="center"/>
      <protection locked="0"/>
    </xf>
    <xf numFmtId="0" fontId="132" fillId="0" borderId="0" xfId="25" applyFont="1" applyAlignment="1">
      <alignment horizontal="center"/>
    </xf>
    <xf numFmtId="2" fontId="40" fillId="0" borderId="45" xfId="25" applyNumberFormat="1" applyFont="1" applyBorder="1" applyAlignment="1">
      <alignment horizontal="center" vertical="center"/>
    </xf>
    <xf numFmtId="2" fontId="40" fillId="0" borderId="44" xfId="25" applyNumberFormat="1" applyFont="1" applyBorder="1" applyAlignment="1">
      <alignment horizontal="center"/>
    </xf>
    <xf numFmtId="166" fontId="11" fillId="6" borderId="37" xfId="25" applyNumberFormat="1" applyFont="1" applyFill="1" applyBorder="1" applyAlignment="1" applyProtection="1">
      <alignment horizontal="center" vertical="center"/>
      <protection locked="0"/>
    </xf>
    <xf numFmtId="0" fontId="128" fillId="0" borderId="46" xfId="25" applyFont="1" applyBorder="1" applyAlignment="1" applyProtection="1">
      <alignment horizontal="center" vertical="center"/>
      <protection locked="0"/>
    </xf>
    <xf numFmtId="0" fontId="35" fillId="0" borderId="15" xfId="26" applyFont="1" applyBorder="1" applyAlignment="1">
      <alignment vertical="center"/>
    </xf>
    <xf numFmtId="0" fontId="35" fillId="0" borderId="26" xfId="26" applyFont="1" applyBorder="1" applyAlignment="1">
      <alignment vertical="center"/>
    </xf>
    <xf numFmtId="0" fontId="35" fillId="0" borderId="26" xfId="26" applyFont="1" applyBorder="1" applyAlignment="1">
      <alignment horizontal="center" vertical="center"/>
    </xf>
    <xf numFmtId="0" fontId="35" fillId="0" borderId="27" xfId="26" applyFont="1" applyBorder="1" applyAlignment="1">
      <alignment vertical="center"/>
    </xf>
    <xf numFmtId="0" fontId="35" fillId="0" borderId="0" xfId="26" applyFont="1" applyAlignment="1">
      <alignment vertical="center"/>
    </xf>
    <xf numFmtId="0" fontId="11" fillId="0" borderId="126" xfId="17" applyFont="1" applyBorder="1" applyAlignment="1">
      <alignment vertical="center"/>
    </xf>
    <xf numFmtId="0" fontId="10" fillId="0" borderId="27" xfId="26" applyFont="1" applyBorder="1" applyAlignment="1">
      <alignment vertical="center"/>
    </xf>
    <xf numFmtId="0" fontId="35" fillId="0" borderId="28" xfId="26" applyFont="1" applyBorder="1" applyAlignment="1">
      <alignment vertical="center"/>
    </xf>
    <xf numFmtId="0" fontId="10" fillId="0" borderId="28" xfId="26" applyFont="1" applyBorder="1" applyAlignment="1">
      <alignment vertical="center"/>
    </xf>
    <xf numFmtId="2" fontId="10" fillId="0" borderId="28" xfId="26" applyNumberFormat="1" applyFont="1" applyBorder="1" applyAlignment="1">
      <alignment horizontal="center" vertical="center"/>
    </xf>
    <xf numFmtId="0" fontId="10" fillId="0" borderId="126" xfId="19" applyFont="1" applyBorder="1" applyAlignment="1">
      <alignment vertical="center"/>
    </xf>
    <xf numFmtId="0" fontId="40" fillId="0" borderId="0" xfId="25" applyFont="1" applyAlignment="1">
      <alignment vertical="center"/>
    </xf>
    <xf numFmtId="0" fontId="20" fillId="0" borderId="0" xfId="25" applyFont="1" applyAlignment="1">
      <alignment vertical="center"/>
    </xf>
    <xf numFmtId="0" fontId="40" fillId="18" borderId="0" xfId="25" applyFont="1" applyFill="1" applyAlignment="1">
      <alignment vertical="center"/>
    </xf>
    <xf numFmtId="0" fontId="20" fillId="0" borderId="0" xfId="25" applyFont="1" applyAlignment="1">
      <alignment horizontal="left" vertical="center"/>
    </xf>
    <xf numFmtId="1" fontId="20" fillId="18" borderId="0" xfId="25" applyNumberFormat="1" applyFont="1" applyFill="1" applyAlignment="1">
      <alignment vertical="center"/>
    </xf>
    <xf numFmtId="188" fontId="25" fillId="3" borderId="6" xfId="27" applyNumberFormat="1" applyFont="1" applyFill="1" applyBorder="1" applyAlignment="1">
      <alignment horizontal="center" vertical="center"/>
    </xf>
    <xf numFmtId="0" fontId="13" fillId="0" borderId="0" xfId="19" quotePrefix="1" applyFont="1" applyAlignment="1">
      <alignment vertical="center"/>
    </xf>
    <xf numFmtId="167" fontId="20" fillId="18" borderId="0" xfId="25" applyNumberFormat="1" applyFont="1" applyFill="1" applyAlignment="1">
      <alignment vertical="center"/>
    </xf>
    <xf numFmtId="2" fontId="20" fillId="18" borderId="0" xfId="25" applyNumberFormat="1" applyFont="1" applyFill="1" applyAlignment="1">
      <alignment vertical="center"/>
    </xf>
    <xf numFmtId="188" fontId="20" fillId="3" borderId="6" xfId="27" applyNumberFormat="1" applyFont="1" applyFill="1" applyBorder="1" applyAlignment="1">
      <alignment horizontal="center" vertical="center"/>
    </xf>
    <xf numFmtId="0" fontId="20" fillId="0" borderId="0" xfId="19" applyFont="1" applyAlignment="1">
      <alignment horizontal="left" vertical="center"/>
    </xf>
    <xf numFmtId="0" fontId="20" fillId="0" borderId="126" xfId="25" applyFont="1" applyBorder="1" applyAlignment="1">
      <alignment vertical="center"/>
    </xf>
    <xf numFmtId="0" fontId="164" fillId="0" borderId="0" xfId="25" applyFont="1" applyAlignment="1">
      <alignment vertical="center"/>
    </xf>
    <xf numFmtId="1" fontId="20" fillId="0" borderId="6" xfId="25" applyNumberFormat="1" applyFont="1" applyBorder="1" applyAlignment="1">
      <alignment horizontal="center" vertical="center"/>
    </xf>
    <xf numFmtId="0" fontId="20" fillId="0" borderId="28" xfId="25" applyFont="1" applyBorder="1" applyAlignment="1">
      <alignment vertical="center"/>
    </xf>
    <xf numFmtId="0" fontId="31" fillId="0" borderId="0" xfId="25" applyFont="1" applyAlignment="1">
      <alignment horizontal="center" vertical="center"/>
    </xf>
    <xf numFmtId="0" fontId="31" fillId="0" borderId="15" xfId="25" applyFont="1" applyBorder="1" applyAlignment="1">
      <alignment vertical="center"/>
    </xf>
    <xf numFmtId="0" fontId="20" fillId="0" borderId="27" xfId="25" applyFont="1" applyBorder="1" applyAlignment="1">
      <alignment vertical="center"/>
    </xf>
    <xf numFmtId="0" fontId="20" fillId="0" borderId="41" xfId="25" applyFont="1" applyBorder="1" applyAlignment="1">
      <alignment horizontal="left" vertical="center"/>
    </xf>
    <xf numFmtId="0" fontId="20" fillId="0" borderId="43" xfId="25" applyFont="1" applyBorder="1" applyAlignment="1">
      <alignment horizontal="right" vertical="center"/>
    </xf>
    <xf numFmtId="2" fontId="20" fillId="0" borderId="6" xfId="25" applyNumberFormat="1" applyFont="1" applyBorder="1" applyAlignment="1">
      <alignment horizontal="center" vertical="center"/>
    </xf>
    <xf numFmtId="2" fontId="20" fillId="0" borderId="6" xfId="25" applyNumberFormat="1" applyFont="1" applyBorder="1" applyAlignment="1">
      <alignment vertical="center"/>
    </xf>
    <xf numFmtId="2" fontId="20" fillId="0" borderId="0" xfId="25" applyNumberFormat="1" applyFont="1" applyAlignment="1">
      <alignment vertical="center"/>
    </xf>
    <xf numFmtId="0" fontId="31" fillId="0" borderId="126" xfId="25" applyFont="1" applyBorder="1" applyAlignment="1">
      <alignment vertical="center"/>
    </xf>
    <xf numFmtId="0" fontId="20" fillId="0" borderId="40" xfId="25" applyFont="1" applyBorder="1" applyAlignment="1">
      <alignment horizontal="left" vertical="center"/>
    </xf>
    <xf numFmtId="0" fontId="20" fillId="0" borderId="35" xfId="25" applyFont="1" applyBorder="1" applyAlignment="1">
      <alignment horizontal="right" vertical="center"/>
    </xf>
    <xf numFmtId="0" fontId="31" fillId="0" borderId="13" xfId="25" applyFont="1" applyBorder="1" applyAlignment="1">
      <alignment vertical="center"/>
    </xf>
    <xf numFmtId="0" fontId="20" fillId="0" borderId="29" xfId="25" applyFont="1" applyBorder="1" applyAlignment="1">
      <alignment vertical="center"/>
    </xf>
    <xf numFmtId="0" fontId="20" fillId="0" borderId="46" xfId="25" applyFont="1" applyBorder="1" applyAlignment="1">
      <alignment horizontal="left" vertical="center"/>
    </xf>
    <xf numFmtId="0" fontId="20" fillId="0" borderId="31" xfId="25" applyFont="1" applyBorder="1" applyAlignment="1">
      <alignment horizontal="right" vertical="center"/>
    </xf>
    <xf numFmtId="0" fontId="31" fillId="0" borderId="126" xfId="25" applyFont="1" applyBorder="1" applyAlignment="1">
      <alignment horizontal="left" vertical="center"/>
    </xf>
    <xf numFmtId="0" fontId="20" fillId="0" borderId="36" xfId="25" applyFont="1" applyBorder="1" applyAlignment="1">
      <alignment horizontal="left" vertical="center"/>
    </xf>
    <xf numFmtId="0" fontId="20" fillId="0" borderId="39" xfId="25" applyFont="1" applyBorder="1" applyAlignment="1">
      <alignment horizontal="right" vertical="center"/>
    </xf>
    <xf numFmtId="0" fontId="31" fillId="0" borderId="13" xfId="25" applyFont="1" applyBorder="1" applyAlignment="1">
      <alignment horizontal="left" vertical="center"/>
    </xf>
    <xf numFmtId="0" fontId="20" fillId="0" borderId="0" xfId="25" applyFont="1" applyAlignment="1">
      <alignment horizontal="center" vertical="center"/>
    </xf>
    <xf numFmtId="0" fontId="20" fillId="0" borderId="28" xfId="25" applyFont="1" applyBorder="1" applyAlignment="1">
      <alignment horizontal="center" vertical="center"/>
    </xf>
    <xf numFmtId="0" fontId="31" fillId="0" borderId="126" xfId="25" applyFont="1" applyBorder="1" applyAlignment="1">
      <alignment horizontal="left" vertical="center" wrapText="1"/>
    </xf>
    <xf numFmtId="0" fontId="20" fillId="0" borderId="40" xfId="25" applyFont="1" applyBorder="1" applyAlignment="1">
      <alignment horizontal="left" vertical="center" wrapText="1"/>
    </xf>
    <xf numFmtId="2" fontId="20" fillId="0" borderId="6" xfId="25" applyNumberFormat="1" applyFont="1" applyBorder="1" applyAlignment="1">
      <alignment horizontal="center" vertical="center" wrapText="1"/>
    </xf>
    <xf numFmtId="0" fontId="166" fillId="18" borderId="0" xfId="25" applyFont="1" applyFill="1" applyAlignment="1">
      <alignment vertical="center"/>
    </xf>
    <xf numFmtId="0" fontId="20" fillId="18" borderId="0" xfId="25" applyFont="1" applyFill="1" applyAlignment="1">
      <alignment vertical="center"/>
    </xf>
    <xf numFmtId="167" fontId="20" fillId="18" borderId="0" xfId="25" applyNumberFormat="1" applyFont="1" applyFill="1" applyAlignment="1">
      <alignment horizontal="center" vertical="center"/>
    </xf>
    <xf numFmtId="1" fontId="20" fillId="18" borderId="0" xfId="25" applyNumberFormat="1" applyFont="1" applyFill="1" applyAlignment="1">
      <alignment horizontal="center" vertical="center"/>
    </xf>
    <xf numFmtId="1" fontId="31" fillId="0" borderId="13" xfId="25" applyNumberFormat="1" applyFont="1" applyBorder="1" applyAlignment="1">
      <alignment horizontal="left" vertical="center"/>
    </xf>
    <xf numFmtId="167" fontId="25" fillId="18" borderId="0" xfId="25" applyNumberFormat="1" applyFont="1" applyFill="1" applyAlignment="1">
      <alignment horizontal="center" vertical="center"/>
    </xf>
    <xf numFmtId="1" fontId="25" fillId="18" borderId="0" xfId="25" applyNumberFormat="1" applyFont="1" applyFill="1" applyAlignment="1">
      <alignment horizontal="center" vertical="center"/>
    </xf>
    <xf numFmtId="0" fontId="31" fillId="0" borderId="0" xfId="25" applyFont="1" applyAlignment="1">
      <alignment vertical="center"/>
    </xf>
    <xf numFmtId="1" fontId="20" fillId="0" borderId="36" xfId="25" applyNumberFormat="1" applyFont="1" applyBorder="1" applyAlignment="1">
      <alignment horizontal="left" vertical="center"/>
    </xf>
    <xf numFmtId="1" fontId="31" fillId="0" borderId="126" xfId="25" applyNumberFormat="1" applyFont="1" applyBorder="1" applyAlignment="1">
      <alignment horizontal="left" vertical="center"/>
    </xf>
    <xf numFmtId="1" fontId="20" fillId="0" borderId="40" xfId="25" applyNumberFormat="1" applyFont="1" applyBorder="1" applyAlignment="1">
      <alignment horizontal="left" vertical="center"/>
    </xf>
    <xf numFmtId="0" fontId="20" fillId="0" borderId="28" xfId="25" applyFont="1" applyBorder="1" applyAlignment="1">
      <alignment horizontal="left" vertical="center"/>
    </xf>
    <xf numFmtId="0" fontId="167" fillId="0" borderId="0" xfId="25" applyFont="1" applyAlignment="1">
      <alignment horizontal="left" vertical="center"/>
    </xf>
    <xf numFmtId="0" fontId="167" fillId="0" borderId="28" xfId="25" applyFont="1" applyBorder="1" applyAlignment="1">
      <alignment horizontal="left" vertical="center"/>
    </xf>
    <xf numFmtId="0" fontId="20" fillId="0" borderId="126" xfId="25" applyFont="1" applyBorder="1" applyAlignment="1">
      <alignment vertical="center" wrapText="1"/>
    </xf>
    <xf numFmtId="0" fontId="20" fillId="0" borderId="0" xfId="25" applyFont="1" applyAlignment="1">
      <alignment horizontal="center" vertical="center" wrapText="1"/>
    </xf>
    <xf numFmtId="0" fontId="20" fillId="0" borderId="0" xfId="25" applyFont="1" applyAlignment="1">
      <alignment vertical="center" wrapText="1"/>
    </xf>
    <xf numFmtId="1" fontId="20" fillId="0" borderId="46" xfId="25" applyNumberFormat="1" applyFont="1" applyBorder="1" applyAlignment="1">
      <alignment horizontal="left" vertical="center"/>
    </xf>
    <xf numFmtId="0" fontId="167" fillId="0" borderId="0" xfId="25" applyFont="1" applyAlignment="1">
      <alignment horizontal="left" vertical="center" wrapText="1"/>
    </xf>
    <xf numFmtId="0" fontId="167" fillId="0" borderId="28" xfId="25" applyFont="1" applyBorder="1" applyAlignment="1">
      <alignment horizontal="left" vertical="center" wrapText="1"/>
    </xf>
    <xf numFmtId="0" fontId="164" fillId="0" borderId="0" xfId="25" applyFont="1" applyAlignment="1">
      <alignment horizontal="center" vertical="center"/>
    </xf>
    <xf numFmtId="2" fontId="20" fillId="0" borderId="0" xfId="25" quotePrefix="1" applyNumberFormat="1" applyFont="1" applyAlignment="1">
      <alignment horizontal="center" vertical="center"/>
    </xf>
    <xf numFmtId="2" fontId="20" fillId="0" borderId="0" xfId="25" applyNumberFormat="1" applyFont="1" applyAlignment="1">
      <alignment horizontal="center" vertical="center"/>
    </xf>
    <xf numFmtId="166" fontId="20" fillId="0" borderId="0" xfId="25" applyNumberFormat="1" applyFont="1" applyAlignment="1">
      <alignment horizontal="center" vertical="center"/>
    </xf>
    <xf numFmtId="1" fontId="20" fillId="0" borderId="31" xfId="25" applyNumberFormat="1" applyFont="1" applyBorder="1" applyAlignment="1">
      <alignment horizontal="right" vertical="center"/>
    </xf>
    <xf numFmtId="1" fontId="20" fillId="0" borderId="39" xfId="25" applyNumberFormat="1" applyFont="1" applyBorder="1" applyAlignment="1">
      <alignment horizontal="right" vertical="center"/>
    </xf>
    <xf numFmtId="2" fontId="20" fillId="0" borderId="6" xfId="25" applyNumberFormat="1" applyFont="1" applyBorder="1" applyAlignment="1">
      <alignment horizontal="centerContinuous" vertical="center"/>
    </xf>
    <xf numFmtId="2" fontId="20" fillId="0" borderId="39" xfId="25" applyNumberFormat="1" applyFont="1" applyBorder="1" applyAlignment="1">
      <alignment horizontal="right" vertical="center"/>
    </xf>
    <xf numFmtId="1" fontId="31" fillId="0" borderId="0" xfId="25" applyNumberFormat="1" applyFont="1" applyAlignment="1">
      <alignment horizontal="left" vertical="center"/>
    </xf>
    <xf numFmtId="1" fontId="35" fillId="0" borderId="41" xfId="25" applyNumberFormat="1" applyFont="1" applyBorder="1" applyAlignment="1">
      <alignment horizontal="center" vertical="center"/>
    </xf>
    <xf numFmtId="0" fontId="20" fillId="0" borderId="44" xfId="25" applyFont="1" applyBorder="1" applyAlignment="1">
      <alignment vertical="center"/>
    </xf>
    <xf numFmtId="167" fontId="40" fillId="0" borderId="41" xfId="25" applyNumberFormat="1" applyFont="1" applyBorder="1" applyAlignment="1">
      <alignment horizontal="centerContinuous" vertical="center"/>
    </xf>
    <xf numFmtId="167" fontId="40" fillId="0" borderId="44" xfId="25" applyNumberFormat="1" applyFont="1" applyBorder="1" applyAlignment="1">
      <alignment horizontal="centerContinuous" vertical="center"/>
    </xf>
    <xf numFmtId="167" fontId="40" fillId="0" borderId="43" xfId="25" applyNumberFormat="1" applyFont="1" applyBorder="1" applyAlignment="1">
      <alignment horizontal="centerContinuous" vertical="center"/>
    </xf>
    <xf numFmtId="1" fontId="35" fillId="0" borderId="40" xfId="25" applyNumberFormat="1" applyFont="1" applyBorder="1" applyAlignment="1">
      <alignment horizontal="center" vertical="center"/>
    </xf>
    <xf numFmtId="0" fontId="20" fillId="0" borderId="38" xfId="25" applyFont="1" applyBorder="1" applyAlignment="1">
      <alignment vertical="center"/>
    </xf>
    <xf numFmtId="1" fontId="119" fillId="0" borderId="35" xfId="25" applyNumberFormat="1" applyFont="1" applyBorder="1" applyAlignment="1">
      <alignment horizontal="center" vertical="center"/>
    </xf>
    <xf numFmtId="167" fontId="40" fillId="0" borderId="40" xfId="25" applyNumberFormat="1" applyFont="1" applyBorder="1" applyAlignment="1">
      <alignment horizontal="centerContinuous" vertical="center"/>
    </xf>
    <xf numFmtId="167" fontId="40" fillId="0" borderId="38" xfId="25" applyNumberFormat="1" applyFont="1" applyBorder="1" applyAlignment="1">
      <alignment horizontal="centerContinuous" vertical="center"/>
    </xf>
    <xf numFmtId="167" fontId="40" fillId="0" borderId="35" xfId="25" applyNumberFormat="1" applyFont="1" applyBorder="1" applyAlignment="1">
      <alignment horizontal="centerContinuous" vertical="center"/>
    </xf>
    <xf numFmtId="1" fontId="35" fillId="0" borderId="46" xfId="25" applyNumberFormat="1" applyFont="1" applyBorder="1" applyAlignment="1">
      <alignment horizontal="center" vertical="center"/>
    </xf>
    <xf numFmtId="0" fontId="20" fillId="0" borderId="47" xfId="25" applyFont="1" applyBorder="1" applyAlignment="1">
      <alignment vertical="center"/>
    </xf>
    <xf numFmtId="1" fontId="119" fillId="0" borderId="31" xfId="25" applyNumberFormat="1" applyFont="1" applyBorder="1" applyAlignment="1">
      <alignment horizontal="center" vertical="center"/>
    </xf>
    <xf numFmtId="167" fontId="40" fillId="0" borderId="46" xfId="25" applyNumberFormat="1" applyFont="1" applyBorder="1" applyAlignment="1">
      <alignment horizontal="centerContinuous" vertical="center"/>
    </xf>
    <xf numFmtId="167" fontId="40" fillId="0" borderId="47" xfId="25" applyNumberFormat="1" applyFont="1" applyBorder="1" applyAlignment="1">
      <alignment horizontal="centerContinuous" vertical="center"/>
    </xf>
    <xf numFmtId="167" fontId="40" fillId="0" borderId="31" xfId="25" applyNumberFormat="1" applyFont="1" applyBorder="1" applyAlignment="1">
      <alignment horizontal="centerContinuous" vertical="center"/>
    </xf>
    <xf numFmtId="2" fontId="40" fillId="0" borderId="0" xfId="25" applyNumberFormat="1" applyFont="1" applyAlignment="1">
      <alignment vertical="center"/>
    </xf>
    <xf numFmtId="1" fontId="20" fillId="0" borderId="0" xfId="25" applyNumberFormat="1" applyFont="1" applyAlignment="1">
      <alignment horizontal="left" vertical="center"/>
    </xf>
    <xf numFmtId="0" fontId="20" fillId="0" borderId="0" xfId="25" applyFont="1" applyAlignment="1">
      <alignment horizontal="centerContinuous" vertical="center"/>
    </xf>
    <xf numFmtId="0" fontId="20" fillId="0" borderId="28" xfId="25" applyFont="1" applyBorder="1" applyAlignment="1">
      <alignment horizontal="centerContinuous" vertical="center"/>
    </xf>
    <xf numFmtId="2" fontId="31" fillId="0" borderId="0" xfId="25" applyNumberFormat="1" applyFont="1" applyAlignment="1">
      <alignment horizontal="left" vertical="center"/>
    </xf>
    <xf numFmtId="2" fontId="20" fillId="0" borderId="0" xfId="25" applyNumberFormat="1" applyFont="1" applyAlignment="1">
      <alignment horizontal="centerContinuous" vertical="center"/>
    </xf>
    <xf numFmtId="2" fontId="20" fillId="0" borderId="28" xfId="25" applyNumberFormat="1" applyFont="1" applyBorder="1" applyAlignment="1">
      <alignment horizontal="centerContinuous" vertical="center"/>
    </xf>
    <xf numFmtId="2" fontId="20" fillId="0" borderId="0" xfId="25" applyNumberFormat="1" applyFont="1" applyAlignment="1">
      <alignment horizontal="left" vertical="center"/>
    </xf>
    <xf numFmtId="2" fontId="163" fillId="0" borderId="0" xfId="25" applyNumberFormat="1" applyFont="1" applyAlignment="1">
      <alignment horizontal="centerContinuous" vertical="center"/>
    </xf>
    <xf numFmtId="0" fontId="40" fillId="0" borderId="126" xfId="25" applyFont="1" applyBorder="1" applyAlignment="1">
      <alignment vertical="center"/>
    </xf>
    <xf numFmtId="0" fontId="128" fillId="0" borderId="0" xfId="25" applyFont="1" applyAlignment="1">
      <alignment horizontal="center" vertical="center"/>
    </xf>
    <xf numFmtId="166" fontId="40" fillId="0" borderId="0" xfId="25" applyNumberFormat="1" applyFont="1" applyAlignment="1">
      <alignment horizontal="center" vertical="center"/>
    </xf>
    <xf numFmtId="1" fontId="40" fillId="0" borderId="0" xfId="25" applyNumberFormat="1" applyFont="1" applyAlignment="1">
      <alignment horizontal="left" vertical="center"/>
    </xf>
    <xf numFmtId="2" fontId="40" fillId="0" borderId="0" xfId="25" applyNumberFormat="1" applyFont="1" applyAlignment="1">
      <alignment horizontal="centerContinuous" vertical="center"/>
    </xf>
    <xf numFmtId="2" fontId="40" fillId="0" borderId="28" xfId="25" applyNumberFormat="1" applyFont="1" applyBorder="1" applyAlignment="1">
      <alignment horizontal="centerContinuous" vertical="center"/>
    </xf>
    <xf numFmtId="2" fontId="131" fillId="0" borderId="0" xfId="25" applyNumberFormat="1" applyFont="1" applyAlignment="1">
      <alignment horizontal="centerContinuous" vertical="center"/>
    </xf>
    <xf numFmtId="0" fontId="40" fillId="0" borderId="13" xfId="25" applyFont="1" applyBorder="1" applyAlignment="1">
      <alignment vertical="center"/>
    </xf>
    <xf numFmtId="0" fontId="128" fillId="0" borderId="21" xfId="25" applyFont="1" applyBorder="1" applyAlignment="1">
      <alignment horizontal="center" vertical="center"/>
    </xf>
    <xf numFmtId="2" fontId="40" fillId="0" borderId="21" xfId="25" applyNumberFormat="1" applyFont="1" applyBorder="1" applyAlignment="1">
      <alignment horizontal="center" vertical="center"/>
    </xf>
    <xf numFmtId="0" fontId="40" fillId="0" borderId="21" xfId="25" applyFont="1" applyBorder="1" applyAlignment="1">
      <alignment vertical="center"/>
    </xf>
    <xf numFmtId="166" fontId="40" fillId="0" borderId="21" xfId="25" applyNumberFormat="1" applyFont="1" applyBorder="1" applyAlignment="1">
      <alignment horizontal="center" vertical="center"/>
    </xf>
    <xf numFmtId="1" fontId="40" fillId="0" borderId="21" xfId="25" applyNumberFormat="1" applyFont="1" applyBorder="1" applyAlignment="1">
      <alignment horizontal="left" vertical="center"/>
    </xf>
    <xf numFmtId="0" fontId="40" fillId="0" borderId="21" xfId="25" applyFont="1" applyBorder="1" applyAlignment="1">
      <alignment horizontal="left" vertical="center"/>
    </xf>
    <xf numFmtId="2" fontId="40" fillId="0" borderId="21" xfId="25" applyNumberFormat="1" applyFont="1" applyBorder="1" applyAlignment="1">
      <alignment horizontal="centerContinuous" vertical="center"/>
    </xf>
    <xf numFmtId="2" fontId="40" fillId="0" borderId="29" xfId="25" applyNumberFormat="1" applyFont="1" applyBorder="1" applyAlignment="1">
      <alignment horizontal="centerContinuous" vertical="center"/>
    </xf>
    <xf numFmtId="0" fontId="40" fillId="0" borderId="0" xfId="25" applyFont="1" applyAlignment="1">
      <alignment horizontal="centerContinuous" vertical="center"/>
    </xf>
    <xf numFmtId="0" fontId="40" fillId="0" borderId="6" xfId="25" applyFont="1" applyBorder="1" applyAlignment="1">
      <alignment vertical="center"/>
    </xf>
    <xf numFmtId="0" fontId="162" fillId="0" borderId="0" xfId="25" applyFont="1" applyAlignment="1">
      <alignment vertical="center"/>
    </xf>
    <xf numFmtId="0" fontId="40" fillId="2" borderId="6" xfId="25" applyFont="1" applyFill="1" applyBorder="1" applyAlignment="1">
      <alignment horizontal="center" vertical="center"/>
    </xf>
    <xf numFmtId="1" fontId="40" fillId="2" borderId="6" xfId="25" applyNumberFormat="1" applyFont="1" applyFill="1" applyBorder="1" applyAlignment="1">
      <alignment horizontal="center" vertical="center"/>
    </xf>
    <xf numFmtId="167" fontId="40" fillId="2" borderId="6" xfId="25" applyNumberFormat="1" applyFont="1" applyFill="1" applyBorder="1" applyAlignment="1">
      <alignment horizontal="center" vertical="center"/>
    </xf>
    <xf numFmtId="0" fontId="40" fillId="2" borderId="6" xfId="25" applyFont="1" applyFill="1" applyBorder="1" applyAlignment="1">
      <alignment vertical="center"/>
    </xf>
    <xf numFmtId="0" fontId="40" fillId="0" borderId="6" xfId="25" applyFont="1" applyBorder="1" applyAlignment="1">
      <alignment horizontal="left" vertical="center"/>
    </xf>
    <xf numFmtId="0" fontId="128" fillId="0" borderId="0" xfId="25" applyFont="1" applyAlignment="1" applyProtection="1">
      <alignment vertical="center"/>
      <protection locked="0"/>
    </xf>
    <xf numFmtId="1" fontId="40" fillId="0" borderId="0" xfId="25" applyNumberFormat="1" applyFont="1" applyAlignment="1">
      <alignment vertical="center"/>
    </xf>
    <xf numFmtId="0" fontId="161" fillId="0" borderId="0" xfId="25" applyFont="1" applyAlignment="1">
      <alignment vertical="center"/>
    </xf>
    <xf numFmtId="1" fontId="161" fillId="0" borderId="0" xfId="25" applyNumberFormat="1" applyFont="1" applyAlignment="1">
      <alignment vertical="center"/>
    </xf>
    <xf numFmtId="0" fontId="40" fillId="0" borderId="6" xfId="25" applyFont="1" applyBorder="1"/>
    <xf numFmtId="49" fontId="128" fillId="0" borderId="6" xfId="25" applyNumberFormat="1" applyFont="1" applyBorder="1" applyProtection="1">
      <protection locked="0"/>
    </xf>
    <xf numFmtId="0" fontId="128" fillId="0" borderId="6" xfId="25" applyFont="1" applyBorder="1" applyProtection="1">
      <protection locked="0"/>
    </xf>
    <xf numFmtId="0" fontId="10" fillId="0" borderId="15" xfId="3" applyFont="1" applyBorder="1"/>
    <xf numFmtId="0" fontId="10" fillId="0" borderId="26" xfId="3" applyFont="1" applyBorder="1"/>
    <xf numFmtId="0" fontId="19" fillId="0" borderId="26" xfId="3" applyFont="1" applyBorder="1" applyAlignment="1">
      <alignment vertical="center" wrapText="1"/>
    </xf>
    <xf numFmtId="0" fontId="10" fillId="0" borderId="27" xfId="3" applyFont="1" applyBorder="1"/>
    <xf numFmtId="0" fontId="24" fillId="0" borderId="0" xfId="3" applyFont="1"/>
    <xf numFmtId="0" fontId="24" fillId="0" borderId="0" xfId="3" applyFont="1" applyAlignment="1">
      <alignment horizontal="right"/>
    </xf>
    <xf numFmtId="0" fontId="10" fillId="0" borderId="126" xfId="3" applyFont="1" applyBorder="1"/>
    <xf numFmtId="0" fontId="12" fillId="0" borderId="15" xfId="3" applyFont="1" applyBorder="1"/>
    <xf numFmtId="0" fontId="12" fillId="0" borderId="26" xfId="3" applyFont="1" applyBorder="1"/>
    <xf numFmtId="0" fontId="13" fillId="0" borderId="26" xfId="3" applyFont="1" applyBorder="1"/>
    <xf numFmtId="0" fontId="10" fillId="0" borderId="28" xfId="3" applyFont="1" applyBorder="1"/>
    <xf numFmtId="0" fontId="24" fillId="0" borderId="26" xfId="3" applyFont="1" applyBorder="1"/>
    <xf numFmtId="0" fontId="216" fillId="0" borderId="41" xfId="3" applyFont="1" applyBorder="1"/>
    <xf numFmtId="0" fontId="24" fillId="0" borderId="44" xfId="3" applyFont="1" applyBorder="1" applyAlignment="1">
      <alignment horizontal="right"/>
    </xf>
    <xf numFmtId="0" fontId="216" fillId="0" borderId="44" xfId="3" applyFont="1" applyBorder="1"/>
    <xf numFmtId="0" fontId="24" fillId="0" borderId="44" xfId="3" applyFont="1" applyBorder="1"/>
    <xf numFmtId="0" fontId="24" fillId="0" borderId="43" xfId="3" applyFont="1" applyBorder="1" applyAlignment="1">
      <alignment horizontal="right"/>
    </xf>
    <xf numFmtId="0" fontId="24" fillId="0" borderId="0" xfId="3" applyFont="1" applyAlignment="1">
      <alignment horizontal="left"/>
    </xf>
    <xf numFmtId="0" fontId="14" fillId="0" borderId="0" xfId="3" applyFont="1" applyAlignment="1">
      <alignment horizontal="center" vertical="center" wrapText="1"/>
    </xf>
    <xf numFmtId="0" fontId="13" fillId="0" borderId="0" xfId="3" applyFont="1"/>
    <xf numFmtId="0" fontId="24" fillId="0" borderId="126" xfId="3" applyFont="1" applyBorder="1"/>
    <xf numFmtId="0" fontId="216" fillId="0" borderId="40" xfId="3" applyFont="1" applyBorder="1"/>
    <xf numFmtId="0" fontId="24" fillId="0" borderId="38" xfId="3" applyFont="1" applyBorder="1" applyAlignment="1">
      <alignment horizontal="right"/>
    </xf>
    <xf numFmtId="0" fontId="216" fillId="0" borderId="38" xfId="3" applyFont="1" applyBorder="1"/>
    <xf numFmtId="0" fontId="24" fillId="0" borderId="38" xfId="3" applyFont="1" applyBorder="1"/>
    <xf numFmtId="0" fontId="24" fillId="0" borderId="35" xfId="3" applyFont="1" applyBorder="1" applyAlignment="1">
      <alignment horizontal="right"/>
    </xf>
    <xf numFmtId="0" fontId="24" fillId="0" borderId="40" xfId="3" applyFont="1" applyBorder="1"/>
    <xf numFmtId="49" fontId="24" fillId="0" borderId="38" xfId="3" applyNumberFormat="1" applyFont="1" applyBorder="1" applyAlignment="1" applyProtection="1">
      <alignment horizontal="left"/>
      <protection locked="0"/>
    </xf>
    <xf numFmtId="49" fontId="24" fillId="0" borderId="35" xfId="3" applyNumberFormat="1" applyFont="1" applyBorder="1" applyAlignment="1" applyProtection="1">
      <alignment horizontal="right"/>
      <protection locked="0"/>
    </xf>
    <xf numFmtId="14" fontId="24" fillId="0" borderId="0" xfId="3" quotePrefix="1" applyNumberFormat="1" applyFont="1" applyAlignment="1">
      <alignment horizontal="left"/>
    </xf>
    <xf numFmtId="14" fontId="24" fillId="0" borderId="0" xfId="3" applyNumberFormat="1" applyFont="1" applyAlignment="1">
      <alignment horizontal="centerContinuous"/>
    </xf>
    <xf numFmtId="14" fontId="24" fillId="0" borderId="0" xfId="3" applyNumberFormat="1" applyFont="1" applyAlignment="1">
      <alignment horizontal="left"/>
    </xf>
    <xf numFmtId="0" fontId="24" fillId="0" borderId="13" xfId="3" applyFont="1" applyBorder="1"/>
    <xf numFmtId="0" fontId="24" fillId="0" borderId="21" xfId="3" applyFont="1" applyBorder="1"/>
    <xf numFmtId="0" fontId="24" fillId="0" borderId="46" xfId="3" applyFont="1" applyBorder="1"/>
    <xf numFmtId="0" fontId="24" fillId="0" borderId="47" xfId="3" applyFont="1" applyBorder="1" applyAlignment="1">
      <alignment horizontal="right"/>
    </xf>
    <xf numFmtId="0" fontId="24" fillId="0" borderId="47" xfId="3" applyFont="1" applyBorder="1" applyProtection="1">
      <protection locked="0"/>
    </xf>
    <xf numFmtId="0" fontId="24" fillId="0" borderId="47" xfId="3" applyFont="1" applyBorder="1" applyAlignment="1" applyProtection="1">
      <alignment horizontal="left"/>
      <protection locked="0"/>
    </xf>
    <xf numFmtId="0" fontId="24" fillId="0" borderId="31" xfId="3" applyFont="1" applyBorder="1" applyAlignment="1" applyProtection="1">
      <alignment horizontal="right"/>
      <protection locked="0"/>
    </xf>
    <xf numFmtId="0" fontId="24" fillId="0" borderId="0" xfId="3" applyFont="1" applyAlignment="1">
      <alignment horizontal="center"/>
    </xf>
    <xf numFmtId="0" fontId="24" fillId="0" borderId="0" xfId="3" applyFont="1" applyAlignment="1">
      <alignment horizontal="centerContinuous"/>
    </xf>
    <xf numFmtId="0" fontId="24" fillId="0" borderId="0" xfId="3" applyFont="1" applyProtection="1">
      <protection locked="0"/>
    </xf>
    <xf numFmtId="0" fontId="10" fillId="0" borderId="126" xfId="3" applyFont="1" applyBorder="1" applyAlignment="1">
      <alignment vertical="top"/>
    </xf>
    <xf numFmtId="0" fontId="10" fillId="0" borderId="0" xfId="3" applyFont="1" applyAlignment="1">
      <alignment vertical="top"/>
    </xf>
    <xf numFmtId="0" fontId="18" fillId="0" borderId="0" xfId="3" applyFont="1" applyAlignment="1">
      <alignment horizontal="center" vertical="top"/>
    </xf>
    <xf numFmtId="0" fontId="10" fillId="0" borderId="28" xfId="3" applyFont="1" applyBorder="1" applyAlignment="1">
      <alignment vertical="top"/>
    </xf>
    <xf numFmtId="0" fontId="24" fillId="0" borderId="28" xfId="3" applyFont="1" applyBorder="1" applyAlignment="1">
      <alignment horizontal="right"/>
    </xf>
    <xf numFmtId="0" fontId="217" fillId="0" borderId="0" xfId="3" applyFont="1"/>
    <xf numFmtId="0" fontId="24" fillId="0" borderId="28" xfId="3" applyFont="1" applyBorder="1" applyAlignment="1">
      <alignment horizontal="centerContinuous"/>
    </xf>
    <xf numFmtId="166" fontId="24" fillId="0" borderId="0" xfId="3" applyNumberFormat="1" applyFont="1"/>
    <xf numFmtId="0" fontId="216" fillId="0" borderId="126" xfId="3" applyFont="1" applyBorder="1" applyAlignment="1">
      <alignment horizontal="center"/>
    </xf>
    <xf numFmtId="0" fontId="11" fillId="0" borderId="126" xfId="19" applyFont="1" applyBorder="1" applyAlignment="1">
      <alignment vertical="center"/>
    </xf>
    <xf numFmtId="0" fontId="24" fillId="0" borderId="0" xfId="3" applyFont="1" applyAlignment="1">
      <alignment vertical="center"/>
    </xf>
    <xf numFmtId="0" fontId="24" fillId="0" borderId="126" xfId="3" applyFont="1" applyBorder="1" applyAlignment="1">
      <alignment vertical="center"/>
    </xf>
    <xf numFmtId="0" fontId="216" fillId="0" borderId="0" xfId="3" applyFont="1" applyAlignment="1">
      <alignment vertical="center"/>
    </xf>
    <xf numFmtId="0" fontId="24" fillId="0" borderId="0" xfId="3" applyFont="1" applyAlignment="1">
      <alignment horizontal="right" vertical="center"/>
    </xf>
    <xf numFmtId="0" fontId="24" fillId="0" borderId="28" xfId="3" applyFont="1" applyBorder="1" applyAlignment="1">
      <alignment horizontal="right" vertical="center"/>
    </xf>
    <xf numFmtId="0" fontId="217" fillId="0" borderId="0" xfId="3" applyFont="1" applyAlignment="1">
      <alignment vertical="center"/>
    </xf>
    <xf numFmtId="0" fontId="31" fillId="0" borderId="0" xfId="19" quotePrefix="1" applyFont="1" applyAlignment="1">
      <alignment horizontal="left" vertical="center"/>
    </xf>
    <xf numFmtId="0" fontId="24" fillId="0" borderId="41" xfId="3" applyFont="1" applyBorder="1" applyAlignment="1">
      <alignment vertical="center"/>
    </xf>
    <xf numFmtId="0" fontId="24" fillId="0" borderId="44" xfId="3" applyFont="1" applyBorder="1" applyAlignment="1">
      <alignment horizontal="right" vertical="center"/>
    </xf>
    <xf numFmtId="0" fontId="24" fillId="0" borderId="43" xfId="3" applyFont="1" applyBorder="1" applyAlignment="1">
      <alignment horizontal="right" vertical="center"/>
    </xf>
    <xf numFmtId="193" fontId="24" fillId="0" borderId="45" xfId="3" quotePrefix="1" applyNumberFormat="1" applyFont="1" applyBorder="1" applyAlignment="1">
      <alignment horizontal="right" vertical="center"/>
    </xf>
    <xf numFmtId="14" fontId="24" fillId="0" borderId="28" xfId="3" applyNumberFormat="1" applyFont="1" applyBorder="1" applyAlignment="1">
      <alignment horizontal="right" vertical="center"/>
    </xf>
    <xf numFmtId="1" fontId="24" fillId="0" borderId="0" xfId="3" applyNumberFormat="1" applyFont="1" applyAlignment="1" applyProtection="1">
      <alignment horizontal="right"/>
      <protection locked="0"/>
    </xf>
    <xf numFmtId="2" fontId="24" fillId="0" borderId="37" xfId="3" applyNumberFormat="1" applyFont="1" applyBorder="1" applyAlignment="1">
      <alignment horizontal="right"/>
    </xf>
    <xf numFmtId="0" fontId="216" fillId="0" borderId="0" xfId="3" applyFont="1"/>
    <xf numFmtId="0" fontId="24" fillId="0" borderId="0" xfId="3" applyFont="1" applyAlignment="1">
      <alignment horizontal="left" vertical="top"/>
    </xf>
    <xf numFmtId="0" fontId="24" fillId="0" borderId="31" xfId="3" applyFont="1" applyBorder="1" applyAlignment="1">
      <alignment horizontal="right"/>
    </xf>
    <xf numFmtId="0" fontId="18" fillId="0" borderId="0" xfId="3" applyFont="1"/>
    <xf numFmtId="1" fontId="24" fillId="0" borderId="35" xfId="3" applyNumberFormat="1" applyFont="1" applyBorder="1" applyAlignment="1">
      <alignment horizontal="center"/>
    </xf>
    <xf numFmtId="1" fontId="24" fillId="0" borderId="0" xfId="3" applyNumberFormat="1" applyFont="1" applyAlignment="1">
      <alignment horizontal="right"/>
    </xf>
    <xf numFmtId="0" fontId="24" fillId="7" borderId="0" xfId="3" applyFont="1" applyFill="1" applyAlignment="1" applyProtection="1">
      <alignment horizontal="center"/>
      <protection locked="0"/>
    </xf>
    <xf numFmtId="166" fontId="24" fillId="7" borderId="0" xfId="3" applyNumberFormat="1" applyFont="1" applyFill="1" applyAlignment="1">
      <alignment horizontal="center"/>
    </xf>
    <xf numFmtId="2" fontId="24" fillId="0" borderId="0" xfId="3" applyNumberFormat="1" applyFont="1"/>
    <xf numFmtId="0" fontId="20" fillId="0" borderId="126" xfId="25" applyFont="1" applyBorder="1" applyAlignment="1">
      <alignment horizontal="center" vertical="top"/>
    </xf>
    <xf numFmtId="0" fontId="20" fillId="0" borderId="0" xfId="25" applyFont="1" applyAlignment="1">
      <alignment horizontal="center" vertical="top"/>
    </xf>
    <xf numFmtId="0" fontId="20" fillId="0" borderId="28" xfId="25" applyFont="1" applyBorder="1" applyAlignment="1">
      <alignment horizontal="center" vertical="top"/>
    </xf>
    <xf numFmtId="1" fontId="24" fillId="0" borderId="35" xfId="3" applyNumberFormat="1" applyFont="1" applyBorder="1" applyAlignment="1" applyProtection="1">
      <alignment horizontal="center"/>
      <protection locked="0"/>
    </xf>
    <xf numFmtId="165" fontId="24" fillId="7" borderId="0" xfId="3" applyNumberFormat="1" applyFont="1" applyFill="1" applyAlignment="1" applyProtection="1">
      <alignment horizontal="center"/>
      <protection locked="0"/>
    </xf>
    <xf numFmtId="0" fontId="20" fillId="0" borderId="14" xfId="3" applyFont="1" applyBorder="1" applyAlignment="1">
      <alignment horizontal="center"/>
    </xf>
    <xf numFmtId="0" fontId="20" fillId="0" borderId="14" xfId="3" applyFont="1" applyBorder="1" applyAlignment="1">
      <alignment horizontal="centerContinuous"/>
    </xf>
    <xf numFmtId="167" fontId="24" fillId="0" borderId="35" xfId="3" applyNumberFormat="1" applyFont="1" applyBorder="1" applyAlignment="1" applyProtection="1">
      <alignment horizontal="center"/>
      <protection locked="0"/>
    </xf>
    <xf numFmtId="167" fontId="24" fillId="0" borderId="0" xfId="3" applyNumberFormat="1" applyFont="1" applyAlignment="1" applyProtection="1">
      <alignment horizontal="right"/>
      <protection locked="0"/>
    </xf>
    <xf numFmtId="0" fontId="13" fillId="0" borderId="11" xfId="3" applyFont="1" applyBorder="1"/>
    <xf numFmtId="0" fontId="13" fillId="0" borderId="30" xfId="3" applyFont="1" applyBorder="1"/>
    <xf numFmtId="0" fontId="13" fillId="0" borderId="7" xfId="3" applyFont="1" applyBorder="1" applyAlignment="1">
      <alignment horizontal="right"/>
    </xf>
    <xf numFmtId="194" fontId="20" fillId="0" borderId="6" xfId="28" applyNumberFormat="1" applyFont="1" applyBorder="1" applyAlignment="1" applyProtection="1">
      <alignment horizontal="center" vertical="center"/>
      <protection locked="0"/>
    </xf>
    <xf numFmtId="167" fontId="24" fillId="0" borderId="35" xfId="3" applyNumberFormat="1" applyFont="1" applyBorder="1" applyAlignment="1">
      <alignment horizontal="center"/>
    </xf>
    <xf numFmtId="167" fontId="24" fillId="0" borderId="0" xfId="3" applyNumberFormat="1" applyFont="1" applyAlignment="1">
      <alignment horizontal="center"/>
    </xf>
    <xf numFmtId="1" fontId="24" fillId="0" borderId="0" xfId="3" applyNumberFormat="1" applyFont="1" applyAlignment="1">
      <alignment horizontal="center"/>
    </xf>
    <xf numFmtId="194" fontId="13" fillId="0" borderId="6" xfId="28" applyNumberFormat="1" applyFont="1" applyBorder="1" applyAlignment="1">
      <alignment horizontal="center" vertical="center"/>
    </xf>
    <xf numFmtId="0" fontId="24" fillId="0" borderId="47" xfId="3" applyFont="1" applyBorder="1"/>
    <xf numFmtId="2" fontId="24" fillId="0" borderId="31" xfId="3" applyNumberFormat="1" applyFont="1" applyBorder="1" applyAlignment="1">
      <alignment horizontal="center"/>
    </xf>
    <xf numFmtId="2" fontId="24" fillId="0" borderId="0" xfId="3" applyNumberFormat="1" applyFont="1" applyAlignment="1">
      <alignment horizontal="center"/>
    </xf>
    <xf numFmtId="194" fontId="13" fillId="0" borderId="6" xfId="28" applyNumberFormat="1" applyFont="1" applyBorder="1" applyAlignment="1" applyProtection="1">
      <alignment horizontal="center" vertical="center"/>
      <protection locked="0"/>
    </xf>
    <xf numFmtId="0" fontId="24" fillId="7" borderId="6" xfId="3" applyFont="1" applyFill="1" applyBorder="1" applyAlignment="1">
      <alignment horizontal="center"/>
    </xf>
    <xf numFmtId="167" fontId="13" fillId="0" borderId="6" xfId="3" applyNumberFormat="1" applyFont="1" applyBorder="1" applyAlignment="1" applyProtection="1">
      <alignment horizontal="center"/>
      <protection locked="0"/>
    </xf>
    <xf numFmtId="0" fontId="59" fillId="0" borderId="0" xfId="25" applyFont="1" applyAlignment="1">
      <alignment vertical="center"/>
    </xf>
    <xf numFmtId="0" fontId="59" fillId="0" borderId="0" xfId="25" applyFont="1" applyAlignment="1">
      <alignment horizontal="center" vertical="center"/>
    </xf>
    <xf numFmtId="0" fontId="24" fillId="7" borderId="6" xfId="3" applyFont="1" applyFill="1" applyBorder="1" applyAlignment="1" applyProtection="1">
      <alignment horizontal="center"/>
      <protection locked="0"/>
    </xf>
    <xf numFmtId="11" fontId="24" fillId="7" borderId="6" xfId="3" applyNumberFormat="1" applyFont="1" applyFill="1" applyBorder="1" applyAlignment="1" applyProtection="1">
      <alignment horizontal="center"/>
      <protection locked="0"/>
    </xf>
    <xf numFmtId="165" fontId="24" fillId="7" borderId="6" xfId="3" applyNumberFormat="1" applyFont="1" applyFill="1" applyBorder="1" applyAlignment="1">
      <alignment horizontal="center"/>
    </xf>
    <xf numFmtId="167" fontId="13" fillId="0" borderId="6" xfId="3" applyNumberFormat="1" applyFont="1" applyBorder="1" applyAlignment="1">
      <alignment horizontal="center"/>
    </xf>
    <xf numFmtId="188" fontId="13" fillId="0" borderId="0" xfId="28" applyNumberFormat="1" applyFont="1" applyBorder="1" applyAlignment="1" applyProtection="1">
      <alignment horizontal="right" vertical="center"/>
      <protection locked="0"/>
    </xf>
    <xf numFmtId="0" fontId="24" fillId="0" borderId="0" xfId="3" applyFont="1" applyAlignment="1">
      <alignment horizontal="left" indent="3"/>
    </xf>
    <xf numFmtId="167" fontId="24" fillId="0" borderId="0" xfId="3" applyNumberFormat="1" applyFont="1" applyAlignment="1">
      <alignment horizontal="right"/>
    </xf>
    <xf numFmtId="0" fontId="24" fillId="0" borderId="0" xfId="3" applyFont="1" applyAlignment="1" applyProtection="1">
      <alignment horizontal="left"/>
      <protection locked="0"/>
    </xf>
    <xf numFmtId="43" fontId="20" fillId="0" borderId="0" xfId="28" applyFont="1" applyBorder="1" applyAlignment="1">
      <alignment vertical="center"/>
    </xf>
    <xf numFmtId="188" fontId="20" fillId="0" borderId="0" xfId="28" applyNumberFormat="1" applyFont="1" applyBorder="1" applyAlignment="1">
      <alignment vertical="center"/>
    </xf>
    <xf numFmtId="0" fontId="24" fillId="7" borderId="0" xfId="3" applyFont="1" applyFill="1" applyAlignment="1">
      <alignment horizontal="center"/>
    </xf>
    <xf numFmtId="165" fontId="24" fillId="7" borderId="0" xfId="3" applyNumberFormat="1" applyFont="1" applyFill="1"/>
    <xf numFmtId="166" fontId="24" fillId="7" borderId="0" xfId="3" applyNumberFormat="1" applyFont="1" applyFill="1"/>
    <xf numFmtId="0" fontId="24" fillId="7" borderId="0" xfId="3" applyFont="1" applyFill="1"/>
    <xf numFmtId="165" fontId="24" fillId="7" borderId="0" xfId="3" applyNumberFormat="1" applyFont="1" applyFill="1" applyAlignment="1">
      <alignment horizontal="center"/>
    </xf>
    <xf numFmtId="0" fontId="13" fillId="0" borderId="0" xfId="3" applyFont="1" applyAlignment="1">
      <alignment horizontal="right"/>
    </xf>
    <xf numFmtId="0" fontId="24" fillId="0" borderId="12" xfId="3" applyFont="1" applyBorder="1" applyAlignment="1">
      <alignment horizontal="center"/>
    </xf>
    <xf numFmtId="0" fontId="61" fillId="0" borderId="29" xfId="3" applyFont="1" applyBorder="1" applyAlignment="1">
      <alignment horizontal="center"/>
    </xf>
    <xf numFmtId="0" fontId="24" fillId="0" borderId="29" xfId="3" applyFont="1" applyBorder="1" applyAlignment="1">
      <alignment horizontal="centerContinuous"/>
    </xf>
    <xf numFmtId="2" fontId="24" fillId="0" borderId="45" xfId="3" applyNumberFormat="1" applyFont="1" applyBorder="1" applyAlignment="1">
      <alignment horizontal="center"/>
    </xf>
    <xf numFmtId="167" fontId="24" fillId="0" borderId="45" xfId="3" applyNumberFormat="1" applyFont="1" applyBorder="1" applyAlignment="1">
      <alignment horizontal="center"/>
    </xf>
    <xf numFmtId="2" fontId="61" fillId="0" borderId="43" xfId="3" applyNumberFormat="1" applyFont="1" applyBorder="1" applyAlignment="1" applyProtection="1">
      <alignment horizontal="right"/>
      <protection locked="0"/>
    </xf>
    <xf numFmtId="167" fontId="24" fillId="0" borderId="43" xfId="3" applyNumberFormat="1" applyFont="1" applyBorder="1" applyAlignment="1">
      <alignment horizontal="right"/>
    </xf>
    <xf numFmtId="166" fontId="24" fillId="0" borderId="43" xfId="3" applyNumberFormat="1" applyFont="1" applyBorder="1" applyAlignment="1">
      <alignment horizontal="right"/>
    </xf>
    <xf numFmtId="167" fontId="13" fillId="0" borderId="0" xfId="3" applyNumberFormat="1" applyFont="1" applyAlignment="1">
      <alignment horizontal="right"/>
    </xf>
    <xf numFmtId="0" fontId="13" fillId="0" borderId="0" xfId="3" applyFont="1" applyAlignment="1" applyProtection="1">
      <alignment horizontal="left"/>
      <protection locked="0"/>
    </xf>
    <xf numFmtId="2" fontId="24" fillId="0" borderId="37" xfId="3" applyNumberFormat="1" applyFont="1" applyBorder="1" applyAlignment="1">
      <alignment horizontal="center"/>
    </xf>
    <xf numFmtId="165" fontId="24" fillId="0" borderId="37" xfId="3" applyNumberFormat="1" applyFont="1" applyBorder="1" applyAlignment="1">
      <alignment horizontal="center"/>
    </xf>
    <xf numFmtId="2" fontId="61" fillId="0" borderId="35" xfId="3" applyNumberFormat="1" applyFont="1" applyBorder="1" applyAlignment="1" applyProtection="1">
      <alignment horizontal="right"/>
      <protection locked="0"/>
    </xf>
    <xf numFmtId="167" fontId="24" fillId="0" borderId="35" xfId="3" applyNumberFormat="1" applyFont="1" applyBorder="1" applyAlignment="1">
      <alignment horizontal="right"/>
    </xf>
    <xf numFmtId="166" fontId="24" fillId="0" borderId="35" xfId="3" applyNumberFormat="1" applyFont="1" applyBorder="1" applyAlignment="1">
      <alignment horizontal="right"/>
    </xf>
    <xf numFmtId="0" fontId="216" fillId="0" borderId="0" xfId="3" applyFont="1" applyAlignment="1">
      <alignment horizontal="center"/>
    </xf>
    <xf numFmtId="18" fontId="20" fillId="0" borderId="0" xfId="25" applyNumberFormat="1" applyFont="1" applyAlignment="1">
      <alignment horizontal="center" vertical="center"/>
    </xf>
    <xf numFmtId="165" fontId="24" fillId="0" borderId="0" xfId="3" applyNumberFormat="1" applyFont="1"/>
    <xf numFmtId="166" fontId="24" fillId="59" borderId="0" xfId="3" applyNumberFormat="1" applyFont="1" applyFill="1"/>
    <xf numFmtId="167" fontId="13" fillId="0" borderId="0" xfId="25" applyNumberFormat="1" applyFont="1" applyAlignment="1">
      <alignment horizontal="right" vertical="center"/>
    </xf>
    <xf numFmtId="0" fontId="20" fillId="0" borderId="0" xfId="25" applyFont="1" applyAlignment="1">
      <alignment horizontal="right" vertical="center"/>
    </xf>
    <xf numFmtId="2" fontId="24" fillId="0" borderId="0" xfId="3" applyNumberFormat="1" applyFont="1" applyAlignment="1" applyProtection="1">
      <alignment horizontal="right"/>
      <protection locked="0"/>
    </xf>
    <xf numFmtId="2" fontId="24" fillId="0" borderId="0" xfId="3" applyNumberFormat="1" applyFont="1" applyAlignment="1">
      <alignment horizontal="right"/>
    </xf>
    <xf numFmtId="165" fontId="24" fillId="0" borderId="0" xfId="3" applyNumberFormat="1" applyFont="1" applyAlignment="1">
      <alignment horizontal="right"/>
    </xf>
    <xf numFmtId="165" fontId="24" fillId="0" borderId="28" xfId="3" applyNumberFormat="1" applyFont="1" applyBorder="1" applyAlignment="1">
      <alignment horizontal="right"/>
    </xf>
    <xf numFmtId="0" fontId="24" fillId="59" borderId="0" xfId="3" applyFont="1" applyFill="1"/>
    <xf numFmtId="167" fontId="20" fillId="0" borderId="0" xfId="25" applyNumberFormat="1" applyFont="1" applyAlignment="1">
      <alignment horizontal="right" vertical="center"/>
    </xf>
    <xf numFmtId="0" fontId="13" fillId="0" borderId="12" xfId="3" applyFont="1" applyBorder="1" applyAlignment="1">
      <alignment horizontal="center"/>
    </xf>
    <xf numFmtId="0" fontId="20" fillId="0" borderId="29" xfId="3" applyFont="1" applyBorder="1" applyAlignment="1">
      <alignment horizontal="centerContinuous"/>
    </xf>
    <xf numFmtId="0" fontId="13" fillId="0" borderId="29" xfId="3" applyFont="1" applyBorder="1" applyAlignment="1">
      <alignment horizontal="centerContinuous"/>
    </xf>
    <xf numFmtId="2" fontId="13" fillId="0" borderId="45" xfId="3" applyNumberFormat="1" applyFont="1" applyBorder="1" applyAlignment="1">
      <alignment horizontal="center" vertical="center"/>
    </xf>
    <xf numFmtId="167" fontId="13" fillId="0" borderId="45" xfId="3" applyNumberFormat="1" applyFont="1" applyBorder="1" applyAlignment="1">
      <alignment horizontal="center" vertical="center"/>
    </xf>
    <xf numFmtId="2" fontId="20" fillId="0" borderId="43" xfId="3" applyNumberFormat="1" applyFont="1" applyBorder="1" applyAlignment="1" applyProtection="1">
      <alignment horizontal="center" vertical="center"/>
      <protection locked="0"/>
    </xf>
    <xf numFmtId="167" fontId="13" fillId="0" borderId="43" xfId="3" applyNumberFormat="1" applyFont="1" applyBorder="1" applyAlignment="1">
      <alignment horizontal="center" vertical="center"/>
    </xf>
    <xf numFmtId="166" fontId="13" fillId="0" borderId="43" xfId="3" applyNumberFormat="1" applyFont="1" applyBorder="1" applyAlignment="1">
      <alignment horizontal="center" vertical="center"/>
    </xf>
    <xf numFmtId="167" fontId="20" fillId="0" borderId="0" xfId="25" applyNumberFormat="1" applyFont="1" applyAlignment="1">
      <alignment vertical="center"/>
    </xf>
    <xf numFmtId="2" fontId="13" fillId="0" borderId="37" xfId="3" applyNumberFormat="1" applyFont="1" applyBorder="1" applyAlignment="1">
      <alignment horizontal="center" vertical="center"/>
    </xf>
    <xf numFmtId="165" fontId="13" fillId="0" borderId="37" xfId="3" applyNumberFormat="1" applyFont="1" applyBorder="1" applyAlignment="1">
      <alignment horizontal="center" vertical="center"/>
    </xf>
    <xf numFmtId="2" fontId="20" fillId="0" borderId="35" xfId="3" applyNumberFormat="1" applyFont="1" applyBorder="1" applyAlignment="1" applyProtection="1">
      <alignment horizontal="center" vertical="center"/>
      <protection locked="0"/>
    </xf>
    <xf numFmtId="167" fontId="13" fillId="0" borderId="35" xfId="3" applyNumberFormat="1" applyFont="1" applyBorder="1" applyAlignment="1">
      <alignment horizontal="center" vertical="center"/>
    </xf>
    <xf numFmtId="166" fontId="13" fillId="0" borderId="35" xfId="3" applyNumberFormat="1" applyFont="1" applyBorder="1" applyAlignment="1">
      <alignment horizontal="center" vertical="center"/>
    </xf>
    <xf numFmtId="2" fontId="24" fillId="7" borderId="0" xfId="3" applyNumberFormat="1" applyFont="1" applyFill="1"/>
    <xf numFmtId="2" fontId="24" fillId="0" borderId="32" xfId="3" applyNumberFormat="1" applyFont="1" applyBorder="1" applyAlignment="1">
      <alignment horizontal="center"/>
    </xf>
    <xf numFmtId="165" fontId="24" fillId="0" borderId="32" xfId="3" applyNumberFormat="1" applyFont="1" applyBorder="1" applyAlignment="1">
      <alignment horizontal="center"/>
    </xf>
    <xf numFmtId="2" fontId="61" fillId="0" borderId="31" xfId="3" applyNumberFormat="1" applyFont="1" applyBorder="1" applyAlignment="1" applyProtection="1">
      <alignment horizontal="right"/>
      <protection locked="0"/>
    </xf>
    <xf numFmtId="166" fontId="24" fillId="0" borderId="31" xfId="3" applyNumberFormat="1" applyFont="1" applyBorder="1" applyAlignment="1">
      <alignment horizontal="right"/>
    </xf>
    <xf numFmtId="167" fontId="24" fillId="0" borderId="26" xfId="3" applyNumberFormat="1" applyFont="1" applyBorder="1" applyAlignment="1">
      <alignment horizontal="center"/>
    </xf>
    <xf numFmtId="2" fontId="24" fillId="0" borderId="26" xfId="3" applyNumberFormat="1" applyFont="1" applyBorder="1" applyAlignment="1" applyProtection="1">
      <alignment horizontal="right"/>
      <protection locked="0"/>
    </xf>
    <xf numFmtId="167" fontId="24" fillId="0" borderId="26" xfId="3" applyNumberFormat="1" applyFont="1" applyBorder="1" applyAlignment="1">
      <alignment horizontal="right"/>
    </xf>
    <xf numFmtId="166" fontId="24" fillId="0" borderId="26" xfId="3" applyNumberFormat="1" applyFont="1" applyBorder="1" applyAlignment="1">
      <alignment horizontal="right"/>
    </xf>
    <xf numFmtId="0" fontId="61" fillId="0" borderId="0" xfId="3" applyFont="1"/>
    <xf numFmtId="2" fontId="61" fillId="0" borderId="0" xfId="3" applyNumberFormat="1" applyFont="1"/>
    <xf numFmtId="166" fontId="61" fillId="0" borderId="0" xfId="3" applyNumberFormat="1" applyFont="1"/>
    <xf numFmtId="0" fontId="216" fillId="0" borderId="15" xfId="3" applyFont="1" applyBorder="1"/>
    <xf numFmtId="0" fontId="216" fillId="0" borderId="26" xfId="3" applyFont="1" applyBorder="1"/>
    <xf numFmtId="0" fontId="24" fillId="0" borderId="6" xfId="3" applyFont="1" applyBorder="1" applyAlignment="1">
      <alignment horizontal="centerContinuous"/>
    </xf>
    <xf numFmtId="0" fontId="24" fillId="0" borderId="7" xfId="3" applyFont="1" applyBorder="1" applyAlignment="1">
      <alignment horizontal="centerContinuous"/>
    </xf>
    <xf numFmtId="2" fontId="24" fillId="0" borderId="41" xfId="3" applyNumberFormat="1" applyFont="1" applyBorder="1" applyAlignment="1">
      <alignment horizontal="left"/>
    </xf>
    <xf numFmtId="2" fontId="24" fillId="0" borderId="44" xfId="3" applyNumberFormat="1" applyFont="1" applyBorder="1" applyAlignment="1">
      <alignment horizontal="left"/>
    </xf>
    <xf numFmtId="2" fontId="24" fillId="0" borderId="45" xfId="3" applyNumberFormat="1" applyFont="1" applyBorder="1" applyAlignment="1" applyProtection="1">
      <alignment horizontal="right"/>
      <protection locked="0"/>
    </xf>
    <xf numFmtId="0" fontId="24" fillId="0" borderId="40" xfId="3" applyFont="1" applyBorder="1" applyAlignment="1">
      <alignment horizontal="left"/>
    </xf>
    <xf numFmtId="0" fontId="24" fillId="0" borderId="38" xfId="3" applyFont="1" applyBorder="1" applyAlignment="1">
      <alignment horizontal="left"/>
    </xf>
    <xf numFmtId="2" fontId="24" fillId="0" borderId="37" xfId="3" applyNumberFormat="1" applyFont="1" applyBorder="1" applyAlignment="1" applyProtection="1">
      <alignment horizontal="right"/>
      <protection locked="0"/>
    </xf>
    <xf numFmtId="2" fontId="13" fillId="0" borderId="32" xfId="3" applyNumberFormat="1" applyFont="1" applyBorder="1" applyAlignment="1">
      <alignment horizontal="center" vertical="center"/>
    </xf>
    <xf numFmtId="165" fontId="13" fillId="0" borderId="32" xfId="3" applyNumberFormat="1" applyFont="1" applyBorder="1" applyAlignment="1">
      <alignment horizontal="center" vertical="center"/>
    </xf>
    <xf numFmtId="2" fontId="20" fillId="0" borderId="31" xfId="3" applyNumberFormat="1" applyFont="1" applyBorder="1" applyAlignment="1" applyProtection="1">
      <alignment horizontal="center" vertical="center"/>
      <protection locked="0"/>
    </xf>
    <xf numFmtId="167" fontId="13" fillId="0" borderId="31" xfId="3" applyNumberFormat="1" applyFont="1" applyBorder="1" applyAlignment="1">
      <alignment horizontal="center" vertical="center"/>
    </xf>
    <xf numFmtId="166" fontId="13" fillId="0" borderId="31" xfId="3" applyNumberFormat="1" applyFont="1" applyBorder="1" applyAlignment="1">
      <alignment horizontal="center" vertical="center"/>
    </xf>
    <xf numFmtId="167" fontId="13" fillId="0" borderId="26" xfId="3" applyNumberFormat="1" applyFont="1" applyBorder="1" applyAlignment="1">
      <alignment horizontal="center"/>
    </xf>
    <xf numFmtId="2" fontId="13" fillId="0" borderId="26" xfId="3" applyNumberFormat="1" applyFont="1" applyBorder="1" applyAlignment="1" applyProtection="1">
      <alignment horizontal="right"/>
      <protection locked="0"/>
    </xf>
    <xf numFmtId="167" fontId="13" fillId="0" borderId="26" xfId="3" applyNumberFormat="1" applyFont="1" applyBorder="1" applyAlignment="1">
      <alignment horizontal="right"/>
    </xf>
    <xf numFmtId="166" fontId="13" fillId="0" borderId="26" xfId="3" applyNumberFormat="1" applyFont="1" applyBorder="1" applyAlignment="1">
      <alignment horizontal="right"/>
    </xf>
    <xf numFmtId="2" fontId="24" fillId="0" borderId="0" xfId="3" applyNumberFormat="1" applyFont="1" applyAlignment="1" applyProtection="1">
      <alignment horizontal="center"/>
      <protection locked="0"/>
    </xf>
    <xf numFmtId="0" fontId="18" fillId="0" borderId="15" xfId="3" applyFont="1" applyBorder="1"/>
    <xf numFmtId="0" fontId="18" fillId="0" borderId="26" xfId="3" applyFont="1" applyBorder="1"/>
    <xf numFmtId="0" fontId="13" fillId="0" borderId="6" xfId="3" applyFont="1" applyBorder="1" applyAlignment="1">
      <alignment horizontal="center"/>
    </xf>
    <xf numFmtId="0" fontId="13" fillId="0" borderId="7" xfId="3" applyFont="1" applyBorder="1" applyAlignment="1">
      <alignment horizontal="centerContinuous"/>
    </xf>
    <xf numFmtId="0" fontId="24" fillId="0" borderId="46" xfId="3" applyFont="1" applyBorder="1" applyAlignment="1">
      <alignment horizontal="left"/>
    </xf>
    <xf numFmtId="0" fontId="24" fillId="0" borderId="47" xfId="3" applyFont="1" applyBorder="1" applyAlignment="1">
      <alignment horizontal="left"/>
    </xf>
    <xf numFmtId="2" fontId="24" fillId="0" borderId="32" xfId="3" applyNumberFormat="1" applyFont="1" applyBorder="1" applyAlignment="1">
      <alignment horizontal="right"/>
    </xf>
    <xf numFmtId="2" fontId="13" fillId="0" borderId="41" xfId="3" applyNumberFormat="1" applyFont="1" applyBorder="1" applyAlignment="1">
      <alignment horizontal="left"/>
    </xf>
    <xf numFmtId="2" fontId="13" fillId="0" borderId="44" xfId="3" applyNumberFormat="1" applyFont="1" applyBorder="1" applyAlignment="1">
      <alignment horizontal="left"/>
    </xf>
    <xf numFmtId="0" fontId="13" fillId="0" borderId="44" xfId="3" applyFont="1" applyBorder="1" applyAlignment="1">
      <alignment horizontal="right"/>
    </xf>
    <xf numFmtId="2" fontId="13" fillId="0" borderId="45" xfId="3" applyNumberFormat="1" applyFont="1" applyBorder="1" applyAlignment="1" applyProtection="1">
      <alignment horizontal="center" vertical="center"/>
      <protection locked="0"/>
    </xf>
    <xf numFmtId="0" fontId="13" fillId="0" borderId="40" xfId="3" applyFont="1" applyBorder="1" applyAlignment="1">
      <alignment horizontal="left"/>
    </xf>
    <xf numFmtId="0" fontId="13" fillId="0" borderId="38" xfId="3" applyFont="1" applyBorder="1" applyAlignment="1">
      <alignment horizontal="left"/>
    </xf>
    <xf numFmtId="0" fontId="13" fillId="0" borderId="38" xfId="3" applyFont="1" applyBorder="1" applyAlignment="1">
      <alignment horizontal="right"/>
    </xf>
    <xf numFmtId="2" fontId="13" fillId="0" borderId="37" xfId="3" applyNumberFormat="1" applyFont="1" applyBorder="1" applyAlignment="1" applyProtection="1">
      <alignment horizontal="center" vertical="center"/>
      <protection locked="0"/>
    </xf>
    <xf numFmtId="166" fontId="24" fillId="0" borderId="0" xfId="3" applyNumberFormat="1" applyFont="1" applyAlignment="1">
      <alignment horizontal="center"/>
    </xf>
    <xf numFmtId="0" fontId="13" fillId="0" borderId="46" xfId="3" applyFont="1" applyBorder="1" applyAlignment="1">
      <alignment horizontal="left"/>
    </xf>
    <xf numFmtId="0" fontId="13" fillId="0" borderId="47" xfId="3" applyFont="1" applyBorder="1" applyAlignment="1">
      <alignment horizontal="left"/>
    </xf>
    <xf numFmtId="0" fontId="13" fillId="0" borderId="47" xfId="3" applyFont="1" applyBorder="1" applyAlignment="1">
      <alignment horizontal="right"/>
    </xf>
    <xf numFmtId="0" fontId="24" fillId="0" borderId="127" xfId="3" applyFont="1" applyBorder="1" applyAlignment="1">
      <alignment horizontal="center"/>
    </xf>
    <xf numFmtId="0" fontId="20" fillId="0" borderId="0" xfId="3" quotePrefix="1" applyFont="1"/>
    <xf numFmtId="166" fontId="24" fillId="0" borderId="45" xfId="3" applyNumberFormat="1" applyFont="1" applyBorder="1" applyAlignment="1">
      <alignment horizontal="center"/>
    </xf>
    <xf numFmtId="0" fontId="24" fillId="0" borderId="45" xfId="3" applyFont="1" applyBorder="1" applyAlignment="1">
      <alignment horizontal="center"/>
    </xf>
    <xf numFmtId="166" fontId="24" fillId="0" borderId="32" xfId="3" applyNumberFormat="1" applyFont="1" applyBorder="1" applyAlignment="1">
      <alignment horizontal="center"/>
    </xf>
    <xf numFmtId="1" fontId="24" fillId="0" borderId="32" xfId="3" applyNumberFormat="1" applyFont="1" applyBorder="1" applyAlignment="1">
      <alignment horizontal="center"/>
    </xf>
    <xf numFmtId="2" fontId="24" fillId="0" borderId="28" xfId="3" applyNumberFormat="1" applyFont="1" applyBorder="1" applyAlignment="1" applyProtection="1">
      <alignment horizontal="right"/>
      <protection locked="0"/>
    </xf>
    <xf numFmtId="2" fontId="24" fillId="0" borderId="28" xfId="3" applyNumberFormat="1" applyFont="1" applyBorder="1" applyAlignment="1">
      <alignment horizontal="right"/>
    </xf>
    <xf numFmtId="0" fontId="13" fillId="0" borderId="127" xfId="3" applyFont="1" applyBorder="1" applyAlignment="1">
      <alignment horizontal="center"/>
    </xf>
    <xf numFmtId="0" fontId="40" fillId="0" borderId="28" xfId="25" applyFont="1" applyBorder="1" applyAlignment="1">
      <alignment vertical="center"/>
    </xf>
    <xf numFmtId="2" fontId="24" fillId="0" borderId="21" xfId="3" applyNumberFormat="1" applyFont="1" applyBorder="1" applyAlignment="1" applyProtection="1">
      <alignment horizontal="right"/>
      <protection locked="0"/>
    </xf>
    <xf numFmtId="0" fontId="24" fillId="0" borderId="21" xfId="3" applyFont="1" applyBorder="1" applyAlignment="1">
      <alignment horizontal="right"/>
    </xf>
    <xf numFmtId="2" fontId="24" fillId="0" borderId="29" xfId="3" applyNumberFormat="1" applyFont="1" applyBorder="1" applyAlignment="1" applyProtection="1">
      <alignment horizontal="right"/>
      <protection locked="0"/>
    </xf>
    <xf numFmtId="2" fontId="13" fillId="0" borderId="45" xfId="3" applyNumberFormat="1" applyFont="1" applyBorder="1" applyAlignment="1">
      <alignment horizontal="center"/>
    </xf>
    <xf numFmtId="166" fontId="13" fillId="0" borderId="45" xfId="3" applyNumberFormat="1" applyFont="1" applyBorder="1" applyAlignment="1">
      <alignment horizontal="center"/>
    </xf>
    <xf numFmtId="0" fontId="13" fillId="0" borderId="45" xfId="3" applyFont="1" applyBorder="1" applyAlignment="1">
      <alignment horizontal="center"/>
    </xf>
    <xf numFmtId="167" fontId="13" fillId="0" borderId="45" xfId="3" applyNumberFormat="1" applyFont="1" applyBorder="1" applyAlignment="1">
      <alignment horizontal="center"/>
    </xf>
    <xf numFmtId="2" fontId="24" fillId="0" borderId="26" xfId="3" applyNumberFormat="1" applyFont="1" applyBorder="1" applyAlignment="1">
      <alignment horizontal="right"/>
    </xf>
    <xf numFmtId="0" fontId="24" fillId="0" borderId="26" xfId="3" applyFont="1" applyBorder="1" applyAlignment="1">
      <alignment horizontal="right"/>
    </xf>
    <xf numFmtId="2" fontId="13" fillId="0" borderId="32" xfId="3" applyNumberFormat="1" applyFont="1" applyBorder="1" applyAlignment="1">
      <alignment horizontal="center"/>
    </xf>
    <xf numFmtId="166" fontId="13" fillId="0" borderId="32" xfId="3" applyNumberFormat="1" applyFont="1" applyBorder="1" applyAlignment="1">
      <alignment horizontal="center"/>
    </xf>
    <xf numFmtId="1" fontId="13" fillId="0" borderId="32" xfId="3" applyNumberFormat="1" applyFont="1" applyBorder="1" applyAlignment="1">
      <alignment horizontal="center"/>
    </xf>
    <xf numFmtId="167" fontId="13" fillId="0" borderId="32" xfId="3" applyNumberFormat="1" applyFont="1" applyBorder="1" applyAlignment="1">
      <alignment horizontal="center"/>
    </xf>
    <xf numFmtId="0" fontId="216" fillId="0" borderId="0" xfId="3" applyFont="1" applyAlignment="1">
      <alignment horizontal="centerContinuous"/>
    </xf>
    <xf numFmtId="9" fontId="24" fillId="0" borderId="0" xfId="3" applyNumberFormat="1" applyFont="1" applyAlignment="1">
      <alignment horizontal="center"/>
    </xf>
    <xf numFmtId="0" fontId="40" fillId="0" borderId="29" xfId="25" applyFont="1" applyBorder="1" applyAlignment="1">
      <alignment vertical="center"/>
    </xf>
    <xf numFmtId="0" fontId="221" fillId="0" borderId="27" xfId="3" applyFont="1" applyBorder="1"/>
    <xf numFmtId="0" fontId="221" fillId="0" borderId="0" xfId="3" applyFont="1"/>
    <xf numFmtId="0" fontId="221" fillId="0" borderId="0" xfId="3" applyFont="1" applyAlignment="1">
      <alignment horizontal="right"/>
    </xf>
    <xf numFmtId="0" fontId="221" fillId="0" borderId="28" xfId="3" applyFont="1" applyBorder="1"/>
    <xf numFmtId="0" fontId="221" fillId="0" borderId="26" xfId="3" applyFont="1" applyBorder="1"/>
    <xf numFmtId="0" fontId="222" fillId="0" borderId="41" xfId="3" applyFont="1" applyBorder="1"/>
    <xf numFmtId="0" fontId="221" fillId="0" borderId="44" xfId="3" applyFont="1" applyBorder="1" applyAlignment="1">
      <alignment horizontal="right"/>
    </xf>
    <xf numFmtId="0" fontId="222" fillId="0" borderId="44" xfId="3" applyFont="1" applyBorder="1"/>
    <xf numFmtId="0" fontId="221" fillId="0" borderId="44" xfId="3" applyFont="1" applyBorder="1"/>
    <xf numFmtId="0" fontId="221" fillId="0" borderId="43" xfId="3" applyFont="1" applyBorder="1" applyAlignment="1">
      <alignment horizontal="right"/>
    </xf>
    <xf numFmtId="0" fontId="221" fillId="0" borderId="0" xfId="3" applyFont="1" applyAlignment="1">
      <alignment horizontal="left"/>
    </xf>
    <xf numFmtId="0" fontId="222" fillId="0" borderId="40" xfId="3" applyFont="1" applyBorder="1"/>
    <xf numFmtId="0" fontId="221" fillId="0" borderId="38" xfId="3" applyFont="1" applyBorder="1" applyAlignment="1">
      <alignment horizontal="right"/>
    </xf>
    <xf numFmtId="0" fontId="222" fillId="0" borderId="38" xfId="3" applyFont="1" applyBorder="1"/>
    <xf numFmtId="0" fontId="221" fillId="0" borderId="38" xfId="3" applyFont="1" applyBorder="1"/>
    <xf numFmtId="0" fontId="221" fillId="0" borderId="35" xfId="3" applyFont="1" applyBorder="1" applyAlignment="1">
      <alignment horizontal="right"/>
    </xf>
    <xf numFmtId="0" fontId="221" fillId="0" borderId="40" xfId="3" applyFont="1" applyBorder="1"/>
    <xf numFmtId="49" fontId="221" fillId="0" borderId="38" xfId="3" applyNumberFormat="1" applyFont="1" applyBorder="1" applyAlignment="1" applyProtection="1">
      <alignment horizontal="left"/>
      <protection locked="0"/>
    </xf>
    <xf numFmtId="49" fontId="221" fillId="0" borderId="35" xfId="3" applyNumberFormat="1" applyFont="1" applyBorder="1" applyAlignment="1" applyProtection="1">
      <alignment horizontal="right"/>
      <protection locked="0"/>
    </xf>
    <xf numFmtId="14" fontId="221" fillId="0" borderId="0" xfId="3" quotePrefix="1" applyNumberFormat="1" applyFont="1" applyAlignment="1">
      <alignment horizontal="left"/>
    </xf>
    <xf numFmtId="14" fontId="221" fillId="0" borderId="0" xfId="3" applyNumberFormat="1" applyFont="1" applyAlignment="1">
      <alignment horizontal="centerContinuous"/>
    </xf>
    <xf numFmtId="14" fontId="221" fillId="0" borderId="0" xfId="3" applyNumberFormat="1" applyFont="1" applyAlignment="1">
      <alignment horizontal="left"/>
    </xf>
    <xf numFmtId="0" fontId="221" fillId="0" borderId="21" xfId="3" applyFont="1" applyBorder="1"/>
    <xf numFmtId="0" fontId="221" fillId="0" borderId="46" xfId="3" applyFont="1" applyBorder="1"/>
    <xf numFmtId="0" fontId="221" fillId="0" borderId="47" xfId="3" applyFont="1" applyBorder="1" applyAlignment="1">
      <alignment horizontal="right"/>
    </xf>
    <xf numFmtId="0" fontId="221" fillId="0" borderId="47" xfId="3" applyFont="1" applyBorder="1" applyProtection="1">
      <protection locked="0"/>
    </xf>
    <xf numFmtId="0" fontId="221" fillId="0" borderId="47" xfId="3" applyFont="1" applyBorder="1" applyAlignment="1" applyProtection="1">
      <alignment horizontal="left"/>
      <protection locked="0"/>
    </xf>
    <xf numFmtId="0" fontId="221" fillId="0" borderId="31" xfId="3" applyFont="1" applyBorder="1" applyAlignment="1" applyProtection="1">
      <alignment horizontal="right"/>
      <protection locked="0"/>
    </xf>
    <xf numFmtId="0" fontId="221" fillId="0" borderId="0" xfId="3" applyFont="1" applyAlignment="1">
      <alignment horizontal="center"/>
    </xf>
    <xf numFmtId="0" fontId="221" fillId="0" borderId="0" xfId="3" applyFont="1" applyAlignment="1">
      <alignment horizontal="centerContinuous"/>
    </xf>
    <xf numFmtId="0" fontId="221" fillId="0" borderId="0" xfId="3" applyFont="1" applyProtection="1">
      <protection locked="0"/>
    </xf>
    <xf numFmtId="0" fontId="221" fillId="0" borderId="28" xfId="3" applyFont="1" applyBorder="1" applyAlignment="1">
      <alignment horizontal="right"/>
    </xf>
    <xf numFmtId="0" fontId="223" fillId="0" borderId="0" xfId="3" applyFont="1"/>
    <xf numFmtId="0" fontId="224" fillId="0" borderId="0" xfId="3" applyFont="1" applyAlignment="1">
      <alignment horizontal="centerContinuous"/>
    </xf>
    <xf numFmtId="0" fontId="221" fillId="0" borderId="28" xfId="3" applyFont="1" applyBorder="1" applyAlignment="1">
      <alignment horizontal="centerContinuous"/>
    </xf>
    <xf numFmtId="166" fontId="221" fillId="0" borderId="0" xfId="3" applyNumberFormat="1" applyFont="1"/>
    <xf numFmtId="0" fontId="222" fillId="0" borderId="0" xfId="3" applyFont="1" applyAlignment="1">
      <alignment horizontal="centerContinuous"/>
    </xf>
    <xf numFmtId="0" fontId="8" fillId="0" borderId="0" xfId="3"/>
    <xf numFmtId="0" fontId="222" fillId="0" borderId="0" xfId="3" applyFont="1"/>
    <xf numFmtId="0" fontId="13" fillId="0" borderId="0" xfId="19" applyFont="1" applyAlignment="1">
      <alignment horizontal="right" vertical="center"/>
    </xf>
    <xf numFmtId="0" fontId="221" fillId="0" borderId="14" xfId="3" applyFont="1" applyBorder="1" applyAlignment="1">
      <alignment horizontal="center"/>
    </xf>
    <xf numFmtId="0" fontId="221" fillId="0" borderId="14" xfId="3" applyFont="1" applyBorder="1" applyAlignment="1">
      <alignment horizontal="centerContinuous"/>
    </xf>
    <xf numFmtId="0" fontId="221" fillId="0" borderId="41" xfId="3" applyFont="1" applyBorder="1"/>
    <xf numFmtId="193" fontId="221" fillId="0" borderId="45" xfId="3" quotePrefix="1" applyNumberFormat="1" applyFont="1" applyBorder="1" applyAlignment="1">
      <alignment horizontal="right"/>
    </xf>
    <xf numFmtId="14" fontId="221" fillId="0" borderId="28" xfId="3" applyNumberFormat="1" applyFont="1" applyBorder="1" applyAlignment="1">
      <alignment horizontal="right"/>
    </xf>
    <xf numFmtId="1" fontId="226" fillId="0" borderId="43" xfId="3" applyNumberFormat="1" applyFont="1" applyBorder="1" applyAlignment="1" applyProtection="1">
      <alignment horizontal="right"/>
      <protection locked="0"/>
    </xf>
    <xf numFmtId="1" fontId="221" fillId="0" borderId="0" xfId="3" applyNumberFormat="1" applyFont="1" applyAlignment="1" applyProtection="1">
      <alignment horizontal="right"/>
      <protection locked="0"/>
    </xf>
    <xf numFmtId="2" fontId="221" fillId="0" borderId="37" xfId="3" applyNumberFormat="1" applyFont="1" applyBorder="1" applyAlignment="1">
      <alignment horizontal="right"/>
    </xf>
    <xf numFmtId="0" fontId="24" fillId="0" borderId="0" xfId="3" applyFont="1" applyAlignment="1">
      <alignment horizontal="right" vertical="top"/>
    </xf>
    <xf numFmtId="1" fontId="226" fillId="0" borderId="35" xfId="3" applyNumberFormat="1" applyFont="1" applyBorder="1" applyAlignment="1" applyProtection="1">
      <alignment horizontal="right"/>
      <protection locked="0"/>
    </xf>
    <xf numFmtId="0" fontId="221" fillId="0" borderId="31" xfId="3" applyFont="1" applyBorder="1" applyAlignment="1">
      <alignment horizontal="right"/>
    </xf>
    <xf numFmtId="2" fontId="227" fillId="0" borderId="32" xfId="3" applyNumberFormat="1" applyFont="1" applyBorder="1" applyAlignment="1">
      <alignment horizontal="right"/>
    </xf>
    <xf numFmtId="1" fontId="226" fillId="0" borderId="35" xfId="3" applyNumberFormat="1" applyFont="1" applyBorder="1" applyAlignment="1">
      <alignment horizontal="right"/>
    </xf>
    <xf numFmtId="1" fontId="221" fillId="0" borderId="0" xfId="3" applyNumberFormat="1" applyFont="1" applyAlignment="1">
      <alignment horizontal="right"/>
    </xf>
    <xf numFmtId="0" fontId="221" fillId="7" borderId="0" xfId="3" applyFont="1" applyFill="1" applyAlignment="1" applyProtection="1">
      <alignment horizontal="center"/>
      <protection locked="0"/>
    </xf>
    <xf numFmtId="166" fontId="221" fillId="7" borderId="0" xfId="3" applyNumberFormat="1" applyFont="1" applyFill="1" applyAlignment="1">
      <alignment horizontal="center"/>
    </xf>
    <xf numFmtId="2" fontId="221" fillId="0" borderId="0" xfId="3" applyNumberFormat="1" applyFont="1"/>
    <xf numFmtId="0" fontId="228" fillId="0" borderId="0" xfId="3" applyFont="1" applyAlignment="1" applyProtection="1">
      <alignment horizontal="center" vertical="center"/>
      <protection locked="0"/>
    </xf>
    <xf numFmtId="0" fontId="228" fillId="0" borderId="0" xfId="3" applyFont="1" applyAlignment="1">
      <alignment horizontal="center" vertical="center"/>
    </xf>
    <xf numFmtId="0" fontId="228" fillId="0" borderId="0" xfId="3" applyFont="1" applyAlignment="1">
      <alignment horizontal="left" vertical="center"/>
    </xf>
    <xf numFmtId="167" fontId="226" fillId="0" borderId="35" xfId="3" applyNumberFormat="1" applyFont="1" applyBorder="1" applyAlignment="1" applyProtection="1">
      <alignment horizontal="right"/>
      <protection locked="0"/>
    </xf>
    <xf numFmtId="167" fontId="221" fillId="0" borderId="0" xfId="3" applyNumberFormat="1" applyFont="1" applyAlignment="1" applyProtection="1">
      <alignment horizontal="right"/>
      <protection locked="0"/>
    </xf>
    <xf numFmtId="0" fontId="13" fillId="0" borderId="41" xfId="3" applyFont="1" applyBorder="1"/>
    <xf numFmtId="0" fontId="13" fillId="0" borderId="44" xfId="3" applyFont="1" applyBorder="1"/>
    <xf numFmtId="0" fontId="13" fillId="0" borderId="43" xfId="3" applyFont="1" applyBorder="1" applyAlignment="1">
      <alignment horizontal="right"/>
    </xf>
    <xf numFmtId="166" fontId="226" fillId="0" borderId="43" xfId="3" applyNumberFormat="1" applyFont="1" applyBorder="1" applyAlignment="1" applyProtection="1">
      <alignment horizontal="center" vertical="center"/>
      <protection locked="0"/>
    </xf>
    <xf numFmtId="167" fontId="228" fillId="0" borderId="0" xfId="3" applyNumberFormat="1" applyFont="1" applyAlignment="1" applyProtection="1">
      <alignment horizontal="center" vertical="center"/>
      <protection locked="0"/>
    </xf>
    <xf numFmtId="167" fontId="228" fillId="0" borderId="0" xfId="3" applyNumberFormat="1" applyFont="1" applyAlignment="1">
      <alignment horizontal="center" vertical="center"/>
    </xf>
    <xf numFmtId="167" fontId="226" fillId="0" borderId="35" xfId="3" applyNumberFormat="1" applyFont="1" applyBorder="1" applyAlignment="1">
      <alignment horizontal="center"/>
    </xf>
    <xf numFmtId="167" fontId="221" fillId="0" borderId="0" xfId="3" applyNumberFormat="1" applyFont="1" applyAlignment="1">
      <alignment horizontal="center"/>
    </xf>
    <xf numFmtId="0" fontId="13" fillId="0" borderId="40" xfId="3" applyFont="1" applyBorder="1"/>
    <xf numFmtId="0" fontId="13" fillId="0" borderId="38" xfId="3" applyFont="1" applyBorder="1"/>
    <xf numFmtId="0" fontId="13" fillId="0" borderId="35" xfId="3" applyFont="1" applyBorder="1" applyAlignment="1">
      <alignment horizontal="right"/>
    </xf>
    <xf numFmtId="166" fontId="226" fillId="0" borderId="35" xfId="3" applyNumberFormat="1" applyFont="1" applyBorder="1" applyAlignment="1" applyProtection="1">
      <alignment horizontal="center" vertical="center"/>
      <protection locked="0"/>
    </xf>
    <xf numFmtId="166" fontId="228" fillId="0" borderId="0" xfId="3" applyNumberFormat="1" applyFont="1" applyAlignment="1">
      <alignment horizontal="center" vertical="center"/>
    </xf>
    <xf numFmtId="1" fontId="228" fillId="0" borderId="0" xfId="3" applyNumberFormat="1" applyFont="1" applyAlignment="1">
      <alignment horizontal="center" vertical="center"/>
    </xf>
    <xf numFmtId="1" fontId="221" fillId="0" borderId="35" xfId="3" applyNumberFormat="1" applyFont="1" applyBorder="1" applyAlignment="1">
      <alignment horizontal="center"/>
    </xf>
    <xf numFmtId="1" fontId="221" fillId="0" borderId="0" xfId="3" applyNumberFormat="1" applyFont="1" applyAlignment="1">
      <alignment horizontal="center"/>
    </xf>
    <xf numFmtId="166" fontId="226" fillId="0" borderId="35" xfId="3" applyNumberFormat="1" applyFont="1" applyBorder="1" applyAlignment="1">
      <alignment horizontal="center" vertical="center"/>
    </xf>
    <xf numFmtId="0" fontId="221" fillId="0" borderId="47" xfId="3" applyFont="1" applyBorder="1"/>
    <xf numFmtId="2" fontId="221" fillId="0" borderId="31" xfId="3" applyNumberFormat="1" applyFont="1" applyBorder="1" applyAlignment="1">
      <alignment horizontal="center"/>
    </xf>
    <xf numFmtId="2" fontId="221" fillId="0" borderId="0" xfId="3" applyNumberFormat="1" applyFont="1" applyAlignment="1">
      <alignment horizontal="center"/>
    </xf>
    <xf numFmtId="0" fontId="221" fillId="7" borderId="6" xfId="3" applyFont="1" applyFill="1" applyBorder="1" applyAlignment="1">
      <alignment horizontal="center"/>
    </xf>
    <xf numFmtId="167" fontId="226" fillId="0" borderId="35" xfId="3" applyNumberFormat="1" applyFont="1" applyBorder="1" applyAlignment="1" applyProtection="1">
      <alignment horizontal="center" vertical="center"/>
      <protection locked="0"/>
    </xf>
    <xf numFmtId="0" fontId="221" fillId="7" borderId="6" xfId="3" applyFont="1" applyFill="1" applyBorder="1" applyAlignment="1" applyProtection="1">
      <alignment horizontal="center"/>
      <protection locked="0"/>
    </xf>
    <xf numFmtId="11" fontId="221" fillId="7" borderId="6" xfId="3" applyNumberFormat="1" applyFont="1" applyFill="1" applyBorder="1" applyAlignment="1" applyProtection="1">
      <alignment horizontal="center"/>
      <protection locked="0"/>
    </xf>
    <xf numFmtId="165" fontId="221" fillId="7" borderId="6" xfId="3" applyNumberFormat="1" applyFont="1" applyFill="1" applyBorder="1" applyAlignment="1">
      <alignment horizontal="center"/>
    </xf>
    <xf numFmtId="167" fontId="221" fillId="0" borderId="35" xfId="3" applyNumberFormat="1" applyFont="1" applyBorder="1" applyAlignment="1">
      <alignment horizontal="center" vertical="center"/>
    </xf>
    <xf numFmtId="0" fontId="221" fillId="0" borderId="0" xfId="3" applyFont="1" applyAlignment="1">
      <alignment horizontal="left" indent="3"/>
    </xf>
    <xf numFmtId="167" fontId="221" fillId="0" borderId="0" xfId="3" applyNumberFormat="1" applyFont="1" applyAlignment="1">
      <alignment horizontal="right"/>
    </xf>
    <xf numFmtId="0" fontId="221" fillId="0" borderId="0" xfId="3" applyFont="1" applyAlignment="1" applyProtection="1">
      <alignment horizontal="left"/>
      <protection locked="0"/>
    </xf>
    <xf numFmtId="0" fontId="13" fillId="0" borderId="46" xfId="3" applyFont="1" applyBorder="1"/>
    <xf numFmtId="0" fontId="13" fillId="0" borderId="47" xfId="3" applyFont="1" applyBorder="1"/>
    <xf numFmtId="0" fontId="13" fillId="0" borderId="31" xfId="3" applyFont="1" applyBorder="1" applyAlignment="1">
      <alignment horizontal="right"/>
    </xf>
    <xf numFmtId="0" fontId="221" fillId="7" borderId="0" xfId="3" applyFont="1" applyFill="1" applyAlignment="1">
      <alignment horizontal="center"/>
    </xf>
    <xf numFmtId="165" fontId="221" fillId="7" borderId="0" xfId="3" applyNumberFormat="1" applyFont="1" applyFill="1"/>
    <xf numFmtId="166" fontId="221" fillId="7" borderId="0" xfId="3" applyNumberFormat="1" applyFont="1" applyFill="1"/>
    <xf numFmtId="0" fontId="221" fillId="7" borderId="0" xfId="3" applyFont="1" applyFill="1"/>
    <xf numFmtId="165" fontId="221" fillId="7" borderId="0" xfId="3" applyNumberFormat="1" applyFont="1" applyFill="1" applyAlignment="1">
      <alignment horizontal="center"/>
    </xf>
    <xf numFmtId="0" fontId="221" fillId="0" borderId="12" xfId="3" applyFont="1" applyBorder="1" applyAlignment="1">
      <alignment horizontal="center"/>
    </xf>
    <xf numFmtId="0" fontId="226" fillId="0" borderId="29" xfId="3" applyFont="1" applyBorder="1" applyAlignment="1">
      <alignment horizontal="centerContinuous"/>
    </xf>
    <xf numFmtId="0" fontId="221" fillId="0" borderId="29" xfId="3" applyFont="1" applyBorder="1" applyAlignment="1">
      <alignment horizontal="centerContinuous"/>
    </xf>
    <xf numFmtId="2" fontId="221" fillId="0" borderId="45" xfId="3" applyNumberFormat="1" applyFont="1" applyBorder="1" applyAlignment="1">
      <alignment horizontal="center"/>
    </xf>
    <xf numFmtId="167" fontId="221" fillId="0" borderId="45" xfId="3" applyNumberFormat="1" applyFont="1" applyBorder="1" applyAlignment="1">
      <alignment horizontal="center"/>
    </xf>
    <xf numFmtId="2" fontId="226" fillId="0" borderId="43" xfId="3" applyNumberFormat="1" applyFont="1" applyBorder="1" applyAlignment="1" applyProtection="1">
      <alignment horizontal="right"/>
      <protection locked="0"/>
    </xf>
    <xf numFmtId="167" fontId="226" fillId="0" borderId="43" xfId="3" applyNumberFormat="1" applyFont="1" applyBorder="1" applyAlignment="1">
      <alignment horizontal="right"/>
    </xf>
    <xf numFmtId="166" fontId="221" fillId="0" borderId="43" xfId="3" applyNumberFormat="1" applyFont="1" applyBorder="1" applyAlignment="1">
      <alignment horizontal="right"/>
    </xf>
    <xf numFmtId="2" fontId="221" fillId="0" borderId="37" xfId="3" applyNumberFormat="1" applyFont="1" applyBorder="1" applyAlignment="1">
      <alignment horizontal="center"/>
    </xf>
    <xf numFmtId="165" fontId="221" fillId="0" borderId="37" xfId="3" applyNumberFormat="1" applyFont="1" applyBorder="1" applyAlignment="1">
      <alignment horizontal="center"/>
    </xf>
    <xf numFmtId="2" fontId="226" fillId="0" borderId="35" xfId="3" applyNumberFormat="1" applyFont="1" applyBorder="1" applyAlignment="1" applyProtection="1">
      <alignment horizontal="right"/>
      <protection locked="0"/>
    </xf>
    <xf numFmtId="167" fontId="226" fillId="0" borderId="35" xfId="3" applyNumberFormat="1" applyFont="1" applyBorder="1" applyAlignment="1">
      <alignment horizontal="right"/>
    </xf>
    <xf numFmtId="166" fontId="221" fillId="0" borderId="35" xfId="3" applyNumberFormat="1" applyFont="1" applyBorder="1" applyAlignment="1">
      <alignment horizontal="right"/>
    </xf>
    <xf numFmtId="0" fontId="222" fillId="0" borderId="0" xfId="3" applyFont="1" applyAlignment="1">
      <alignment horizontal="center"/>
    </xf>
    <xf numFmtId="165" fontId="221" fillId="0" borderId="0" xfId="3" applyNumberFormat="1" applyFont="1"/>
    <xf numFmtId="166" fontId="221" fillId="59" borderId="0" xfId="3" applyNumberFormat="1" applyFont="1" applyFill="1"/>
    <xf numFmtId="2" fontId="221" fillId="0" borderId="0" xfId="3" applyNumberFormat="1" applyFont="1" applyAlignment="1" applyProtection="1">
      <alignment horizontal="right"/>
      <protection locked="0"/>
    </xf>
    <xf numFmtId="2" fontId="221" fillId="0" borderId="0" xfId="3" applyNumberFormat="1" applyFont="1" applyAlignment="1">
      <alignment horizontal="right"/>
    </xf>
    <xf numFmtId="165" fontId="221" fillId="0" borderId="0" xfId="3" applyNumberFormat="1" applyFont="1" applyAlignment="1">
      <alignment horizontal="right"/>
    </xf>
    <xf numFmtId="165" fontId="221" fillId="0" borderId="28" xfId="3" applyNumberFormat="1" applyFont="1" applyBorder="1" applyAlignment="1">
      <alignment horizontal="right"/>
    </xf>
    <xf numFmtId="0" fontId="221" fillId="59" borderId="0" xfId="3" applyFont="1" applyFill="1"/>
    <xf numFmtId="167" fontId="226" fillId="0" borderId="43" xfId="3" applyNumberFormat="1" applyFont="1" applyBorder="1" applyAlignment="1" applyProtection="1">
      <alignment horizontal="center" vertical="center"/>
      <protection locked="0"/>
    </xf>
    <xf numFmtId="167" fontId="221" fillId="0" borderId="43" xfId="3" applyNumberFormat="1" applyFont="1" applyBorder="1" applyAlignment="1">
      <alignment horizontal="center" vertical="center"/>
    </xf>
    <xf numFmtId="166" fontId="13" fillId="0" borderId="45" xfId="3" applyNumberFormat="1" applyFont="1" applyBorder="1" applyAlignment="1">
      <alignment horizontal="center" vertical="center"/>
    </xf>
    <xf numFmtId="166" fontId="13" fillId="0" borderId="37" xfId="3" applyNumberFormat="1" applyFont="1" applyBorder="1" applyAlignment="1">
      <alignment horizontal="center" vertical="center"/>
    </xf>
    <xf numFmtId="2" fontId="221" fillId="7" borderId="0" xfId="3" applyNumberFormat="1" applyFont="1" applyFill="1"/>
    <xf numFmtId="2" fontId="221" fillId="0" borderId="32" xfId="3" applyNumberFormat="1" applyFont="1" applyBorder="1" applyAlignment="1">
      <alignment horizontal="center"/>
    </xf>
    <xf numFmtId="165" fontId="221" fillId="0" borderId="32" xfId="3" applyNumberFormat="1" applyFont="1" applyBorder="1" applyAlignment="1">
      <alignment horizontal="center"/>
    </xf>
    <xf numFmtId="2" fontId="226" fillId="0" borderId="31" xfId="3" applyNumberFormat="1" applyFont="1" applyBorder="1" applyAlignment="1" applyProtection="1">
      <alignment horizontal="right"/>
      <protection locked="0"/>
    </xf>
    <xf numFmtId="166" fontId="221" fillId="0" borderId="31" xfId="3" applyNumberFormat="1" applyFont="1" applyBorder="1" applyAlignment="1">
      <alignment horizontal="right"/>
    </xf>
    <xf numFmtId="167" fontId="221" fillId="0" borderId="26" xfId="3" applyNumberFormat="1" applyFont="1" applyBorder="1" applyAlignment="1">
      <alignment horizontal="center"/>
    </xf>
    <xf numFmtId="2" fontId="221" fillId="0" borderId="26" xfId="3" applyNumberFormat="1" applyFont="1" applyBorder="1" applyAlignment="1" applyProtection="1">
      <alignment horizontal="right"/>
      <protection locked="0"/>
    </xf>
    <xf numFmtId="167" fontId="221" fillId="0" borderId="26" xfId="3" applyNumberFormat="1" applyFont="1" applyBorder="1" applyAlignment="1">
      <alignment horizontal="right"/>
    </xf>
    <xf numFmtId="166" fontId="221" fillId="0" borderId="26" xfId="3" applyNumberFormat="1" applyFont="1" applyBorder="1" applyAlignment="1">
      <alignment horizontal="right"/>
    </xf>
    <xf numFmtId="0" fontId="226" fillId="0" borderId="0" xfId="3" applyFont="1"/>
    <xf numFmtId="1" fontId="226" fillId="0" borderId="0" xfId="3" applyNumberFormat="1" applyFont="1"/>
    <xf numFmtId="166" fontId="226" fillId="0" borderId="0" xfId="3" applyNumberFormat="1" applyFont="1"/>
    <xf numFmtId="0" fontId="222" fillId="0" borderId="15" xfId="3" applyFont="1" applyBorder="1"/>
    <xf numFmtId="0" fontId="222" fillId="0" borderId="26" xfId="3" applyFont="1" applyBorder="1"/>
    <xf numFmtId="0" fontId="221" fillId="0" borderId="6" xfId="3" applyFont="1" applyBorder="1" applyAlignment="1">
      <alignment horizontal="centerContinuous"/>
    </xf>
    <xf numFmtId="0" fontId="221" fillId="0" borderId="7" xfId="3" applyFont="1" applyBorder="1" applyAlignment="1">
      <alignment horizontal="centerContinuous"/>
    </xf>
    <xf numFmtId="2" fontId="221" fillId="0" borderId="41" xfId="3" applyNumberFormat="1" applyFont="1" applyBorder="1" applyAlignment="1">
      <alignment horizontal="left"/>
    </xf>
    <xf numFmtId="2" fontId="221" fillId="0" borderId="44" xfId="3" applyNumberFormat="1" applyFont="1" applyBorder="1" applyAlignment="1">
      <alignment horizontal="left"/>
    </xf>
    <xf numFmtId="2" fontId="226" fillId="0" borderId="45" xfId="3" applyNumberFormat="1" applyFont="1" applyBorder="1" applyAlignment="1" applyProtection="1">
      <alignment horizontal="right"/>
      <protection locked="0"/>
    </xf>
    <xf numFmtId="0" fontId="221" fillId="0" borderId="40" xfId="3" applyFont="1" applyBorder="1" applyAlignment="1">
      <alignment horizontal="left"/>
    </xf>
    <xf numFmtId="0" fontId="221" fillId="0" borderId="38" xfId="3" applyFont="1" applyBorder="1" applyAlignment="1">
      <alignment horizontal="left"/>
    </xf>
    <xf numFmtId="2" fontId="226" fillId="0" borderId="37" xfId="3" applyNumberFormat="1" applyFont="1" applyBorder="1" applyAlignment="1" applyProtection="1">
      <alignment horizontal="right"/>
      <protection locked="0"/>
    </xf>
    <xf numFmtId="167" fontId="226" fillId="0" borderId="31" xfId="3" applyNumberFormat="1" applyFont="1" applyBorder="1" applyAlignment="1" applyProtection="1">
      <alignment horizontal="center" vertical="center"/>
      <protection locked="0"/>
    </xf>
    <xf numFmtId="166" fontId="13" fillId="0" borderId="32" xfId="3" applyNumberFormat="1" applyFont="1" applyBorder="1" applyAlignment="1">
      <alignment horizontal="center" vertical="center"/>
    </xf>
    <xf numFmtId="2" fontId="226" fillId="0" borderId="37" xfId="3" applyNumberFormat="1" applyFont="1" applyBorder="1" applyAlignment="1">
      <alignment horizontal="right"/>
    </xf>
    <xf numFmtId="2" fontId="221" fillId="0" borderId="0" xfId="3" applyNumberFormat="1" applyFont="1" applyAlignment="1" applyProtection="1">
      <alignment horizontal="center"/>
      <protection locked="0"/>
    </xf>
    <xf numFmtId="0" fontId="221" fillId="0" borderId="46" xfId="3" applyFont="1" applyBorder="1" applyAlignment="1">
      <alignment horizontal="left"/>
    </xf>
    <xf numFmtId="0" fontId="221" fillId="0" borderId="47" xfId="3" applyFont="1" applyBorder="1" applyAlignment="1">
      <alignment horizontal="left"/>
    </xf>
    <xf numFmtId="2" fontId="221" fillId="0" borderId="32" xfId="3" applyNumberFormat="1" applyFont="1" applyBorder="1" applyAlignment="1">
      <alignment horizontal="right"/>
    </xf>
    <xf numFmtId="167" fontId="226" fillId="0" borderId="45" xfId="3" applyNumberFormat="1" applyFont="1" applyBorder="1" applyAlignment="1" applyProtection="1">
      <alignment horizontal="center" vertical="center"/>
      <protection locked="0"/>
    </xf>
    <xf numFmtId="167" fontId="226" fillId="0" borderId="37" xfId="3" applyNumberFormat="1" applyFont="1" applyBorder="1" applyAlignment="1" applyProtection="1">
      <alignment horizontal="center" vertical="center"/>
      <protection locked="0"/>
    </xf>
    <xf numFmtId="167" fontId="226" fillId="0" borderId="37" xfId="3" applyNumberFormat="1" applyFont="1" applyBorder="1" applyAlignment="1">
      <alignment horizontal="center" vertical="center"/>
    </xf>
    <xf numFmtId="167" fontId="221" fillId="0" borderId="37" xfId="3" applyNumberFormat="1" applyFont="1" applyBorder="1" applyAlignment="1">
      <alignment horizontal="center" vertical="center"/>
    </xf>
    <xf numFmtId="166" fontId="221" fillId="0" borderId="0" xfId="3" applyNumberFormat="1" applyFont="1" applyAlignment="1">
      <alignment horizontal="center"/>
    </xf>
    <xf numFmtId="167" fontId="13" fillId="0" borderId="32" xfId="3" applyNumberFormat="1" applyFont="1" applyBorder="1" applyAlignment="1">
      <alignment horizontal="center" vertical="center"/>
    </xf>
    <xf numFmtId="0" fontId="221" fillId="0" borderId="127" xfId="3" applyFont="1" applyBorder="1" applyAlignment="1">
      <alignment horizontal="center"/>
    </xf>
    <xf numFmtId="1" fontId="221" fillId="0" borderId="45" xfId="3" applyNumberFormat="1" applyFont="1" applyBorder="1" applyAlignment="1">
      <alignment horizontal="center"/>
    </xf>
    <xf numFmtId="0" fontId="226" fillId="0" borderId="45" xfId="3" applyFont="1" applyBorder="1" applyAlignment="1">
      <alignment horizontal="center"/>
    </xf>
    <xf numFmtId="166" fontId="221" fillId="0" borderId="45" xfId="3" applyNumberFormat="1" applyFont="1" applyBorder="1" applyAlignment="1">
      <alignment horizontal="center"/>
    </xf>
    <xf numFmtId="1" fontId="221" fillId="0" borderId="32" xfId="3" applyNumberFormat="1" applyFont="1" applyBorder="1" applyAlignment="1">
      <alignment horizontal="center"/>
    </xf>
    <xf numFmtId="1" fontId="226" fillId="0" borderId="32" xfId="3" applyNumberFormat="1" applyFont="1" applyBorder="1" applyAlignment="1">
      <alignment horizontal="center"/>
    </xf>
    <xf numFmtId="166" fontId="221" fillId="0" borderId="32" xfId="3" applyNumberFormat="1" applyFont="1" applyBorder="1" applyAlignment="1">
      <alignment horizontal="center"/>
    </xf>
    <xf numFmtId="2" fontId="221" fillId="0" borderId="28" xfId="3" applyNumberFormat="1" applyFont="1" applyBorder="1" applyAlignment="1" applyProtection="1">
      <alignment horizontal="right"/>
      <protection locked="0"/>
    </xf>
    <xf numFmtId="2" fontId="221" fillId="0" borderId="28" xfId="3" applyNumberFormat="1" applyFont="1" applyBorder="1" applyAlignment="1">
      <alignment horizontal="right"/>
    </xf>
    <xf numFmtId="2" fontId="221" fillId="0" borderId="21" xfId="3" applyNumberFormat="1" applyFont="1" applyBorder="1" applyAlignment="1" applyProtection="1">
      <alignment horizontal="right"/>
      <protection locked="0"/>
    </xf>
    <xf numFmtId="0" fontId="221" fillId="0" borderId="21" xfId="3" applyFont="1" applyBorder="1" applyAlignment="1">
      <alignment horizontal="right"/>
    </xf>
    <xf numFmtId="2" fontId="221" fillId="0" borderId="29" xfId="3" applyNumberFormat="1" applyFont="1" applyBorder="1" applyAlignment="1" applyProtection="1">
      <alignment horizontal="right"/>
      <protection locked="0"/>
    </xf>
    <xf numFmtId="1" fontId="221" fillId="0" borderId="45" xfId="3" applyNumberFormat="1" applyFont="1" applyBorder="1" applyAlignment="1">
      <alignment horizontal="center" vertical="center"/>
    </xf>
    <xf numFmtId="0" fontId="13" fillId="0" borderId="45" xfId="3" applyFont="1" applyBorder="1" applyAlignment="1">
      <alignment horizontal="center" vertical="center"/>
    </xf>
    <xf numFmtId="1" fontId="221" fillId="0" borderId="32" xfId="3" applyNumberFormat="1" applyFont="1" applyBorder="1" applyAlignment="1">
      <alignment horizontal="center" vertical="center"/>
    </xf>
    <xf numFmtId="1" fontId="13" fillId="0" borderId="32" xfId="3" applyNumberFormat="1" applyFont="1" applyBorder="1" applyAlignment="1">
      <alignment horizontal="center" vertical="center"/>
    </xf>
    <xf numFmtId="0" fontId="221" fillId="0" borderId="126" xfId="3" applyFont="1" applyBorder="1"/>
    <xf numFmtId="0" fontId="221" fillId="0" borderId="29" xfId="3" applyFont="1" applyBorder="1" applyAlignment="1">
      <alignment horizontal="right"/>
    </xf>
    <xf numFmtId="9" fontId="221" fillId="0" borderId="0" xfId="3" applyNumberFormat="1" applyFont="1" applyAlignment="1">
      <alignment horizontal="center"/>
    </xf>
    <xf numFmtId="0" fontId="221" fillId="0" borderId="13" xfId="3" applyFont="1" applyBorder="1"/>
    <xf numFmtId="0" fontId="221" fillId="0" borderId="29" xfId="3" applyFont="1" applyBorder="1"/>
    <xf numFmtId="0" fontId="221" fillId="0" borderId="1" xfId="3" applyFont="1" applyBorder="1"/>
    <xf numFmtId="0" fontId="31" fillId="0" borderId="0" xfId="19" applyFont="1" applyAlignment="1">
      <alignment horizontal="left" vertical="center"/>
    </xf>
    <xf numFmtId="0" fontId="226" fillId="0" borderId="14" xfId="3" applyFont="1" applyBorder="1" applyAlignment="1">
      <alignment horizontal="center"/>
    </xf>
    <xf numFmtId="0" fontId="226" fillId="0" borderId="14" xfId="3" applyFont="1" applyBorder="1" applyAlignment="1">
      <alignment horizontal="centerContinuous"/>
    </xf>
    <xf numFmtId="1" fontId="221" fillId="0" borderId="35" xfId="3" applyNumberFormat="1" applyFont="1" applyBorder="1" applyAlignment="1">
      <alignment horizontal="right"/>
    </xf>
    <xf numFmtId="1" fontId="221" fillId="0" borderId="35" xfId="3" applyNumberFormat="1" applyFont="1" applyBorder="1" applyAlignment="1" applyProtection="1">
      <alignment horizontal="right"/>
      <protection locked="0"/>
    </xf>
    <xf numFmtId="167" fontId="221" fillId="0" borderId="35" xfId="3" applyNumberFormat="1" applyFont="1" applyBorder="1" applyAlignment="1" applyProtection="1">
      <alignment horizontal="right"/>
      <protection locked="0"/>
    </xf>
    <xf numFmtId="1" fontId="226" fillId="0" borderId="43" xfId="3" applyNumberFormat="1" applyFont="1" applyBorder="1" applyAlignment="1" applyProtection="1">
      <alignment horizontal="center" vertical="center"/>
      <protection locked="0"/>
    </xf>
    <xf numFmtId="167" fontId="221" fillId="0" borderId="35" xfId="3" applyNumberFormat="1" applyFont="1" applyBorder="1" applyAlignment="1">
      <alignment horizontal="center"/>
    </xf>
    <xf numFmtId="1" fontId="226" fillId="0" borderId="35" xfId="3" applyNumberFormat="1" applyFont="1" applyBorder="1" applyAlignment="1" applyProtection="1">
      <alignment horizontal="center" vertical="center"/>
      <protection locked="0"/>
    </xf>
    <xf numFmtId="1" fontId="221" fillId="0" borderId="35" xfId="3" applyNumberFormat="1" applyFont="1" applyBorder="1" applyAlignment="1">
      <alignment horizontal="center" vertical="center"/>
    </xf>
    <xf numFmtId="167" fontId="221" fillId="0" borderId="31" xfId="3" applyNumberFormat="1" applyFont="1" applyBorder="1" applyAlignment="1">
      <alignment horizontal="center"/>
    </xf>
    <xf numFmtId="1" fontId="221" fillId="0" borderId="35" xfId="3" applyNumberFormat="1" applyFont="1" applyBorder="1" applyAlignment="1" applyProtection="1">
      <alignment horizontal="center" vertical="center"/>
      <protection locked="0"/>
    </xf>
    <xf numFmtId="167" fontId="221" fillId="0" borderId="35" xfId="3" applyNumberFormat="1" applyFont="1" applyBorder="1" applyAlignment="1" applyProtection="1">
      <alignment horizontal="center" vertical="center"/>
      <protection locked="0"/>
    </xf>
    <xf numFmtId="167" fontId="221" fillId="0" borderId="43" xfId="3" applyNumberFormat="1" applyFont="1" applyBorder="1" applyAlignment="1">
      <alignment horizontal="right"/>
    </xf>
    <xf numFmtId="167" fontId="221" fillId="0" borderId="35" xfId="3" applyNumberFormat="1" applyFont="1" applyBorder="1" applyAlignment="1">
      <alignment horizontal="right"/>
    </xf>
    <xf numFmtId="0" fontId="226" fillId="0" borderId="6" xfId="3" applyFont="1" applyBorder="1" applyAlignment="1">
      <alignment horizontal="centerContinuous"/>
    </xf>
    <xf numFmtId="0" fontId="226" fillId="0" borderId="7" xfId="3" applyFont="1" applyBorder="1" applyAlignment="1">
      <alignment horizontal="centerContinuous"/>
    </xf>
    <xf numFmtId="2" fontId="221" fillId="0" borderId="45" xfId="3" applyNumberFormat="1" applyFont="1" applyBorder="1" applyAlignment="1" applyProtection="1">
      <alignment horizontal="right"/>
      <protection locked="0"/>
    </xf>
    <xf numFmtId="2" fontId="221" fillId="0" borderId="37" xfId="3" applyNumberFormat="1" applyFont="1" applyBorder="1" applyAlignment="1" applyProtection="1">
      <alignment horizontal="right"/>
      <protection locked="0"/>
    </xf>
    <xf numFmtId="167" fontId="221" fillId="0" borderId="31" xfId="3" applyNumberFormat="1" applyFont="1" applyBorder="1" applyAlignment="1">
      <alignment horizontal="center" vertical="center"/>
    </xf>
    <xf numFmtId="167" fontId="221" fillId="0" borderId="45" xfId="3" applyNumberFormat="1" applyFont="1" applyBorder="1" applyAlignment="1" applyProtection="1">
      <alignment horizontal="center" vertical="center"/>
      <protection locked="0"/>
    </xf>
    <xf numFmtId="167" fontId="221" fillId="0" borderId="37" xfId="3" applyNumberFormat="1" applyFont="1" applyBorder="1" applyAlignment="1" applyProtection="1">
      <alignment horizontal="center" vertical="center"/>
      <protection locked="0"/>
    </xf>
    <xf numFmtId="0" fontId="221" fillId="0" borderId="45" xfId="3" applyFont="1" applyBorder="1" applyAlignment="1">
      <alignment horizontal="center"/>
    </xf>
    <xf numFmtId="0" fontId="10" fillId="0" borderId="0" xfId="3" applyFont="1"/>
    <xf numFmtId="0" fontId="59" fillId="0" borderId="41" xfId="3" applyFont="1" applyBorder="1"/>
    <xf numFmtId="0" fontId="59" fillId="0" borderId="40" xfId="3" applyFont="1" applyBorder="1"/>
    <xf numFmtId="0" fontId="40" fillId="0" borderId="40" xfId="3" applyFont="1" applyBorder="1"/>
    <xf numFmtId="49" fontId="40" fillId="0" borderId="38" xfId="3" applyNumberFormat="1" applyFont="1" applyBorder="1"/>
    <xf numFmtId="14" fontId="40" fillId="0" borderId="35" xfId="3" applyNumberFormat="1" applyFont="1" applyBorder="1" applyAlignment="1">
      <alignment horizontal="centerContinuous"/>
    </xf>
    <xf numFmtId="0" fontId="40" fillId="0" borderId="46" xfId="3" applyFont="1" applyBorder="1"/>
    <xf numFmtId="0" fontId="40" fillId="0" borderId="47" xfId="3" applyFont="1" applyBorder="1" applyProtection="1">
      <protection locked="0"/>
    </xf>
    <xf numFmtId="0" fontId="40" fillId="0" borderId="31" xfId="3" applyFont="1" applyBorder="1" applyAlignment="1">
      <alignment horizontal="centerContinuous"/>
    </xf>
    <xf numFmtId="0" fontId="173" fillId="0" borderId="126" xfId="3" applyFont="1" applyBorder="1" applyAlignment="1">
      <alignment horizontal="centerContinuous"/>
    </xf>
    <xf numFmtId="0" fontId="34" fillId="0" borderId="0" xfId="3" applyFont="1" applyAlignment="1">
      <alignment horizontal="centerContinuous"/>
    </xf>
    <xf numFmtId="0" fontId="34" fillId="0" borderId="28" xfId="3" applyFont="1" applyBorder="1" applyAlignment="1">
      <alignment horizontal="centerContinuous"/>
    </xf>
    <xf numFmtId="0" fontId="40" fillId="0" borderId="5" xfId="3" applyFont="1" applyBorder="1" applyAlignment="1">
      <alignment horizontal="centerContinuous"/>
    </xf>
    <xf numFmtId="0" fontId="59" fillId="0" borderId="126" xfId="3" applyFont="1" applyBorder="1" applyAlignment="1">
      <alignment horizontal="centerContinuous"/>
    </xf>
    <xf numFmtId="0" fontId="59" fillId="0" borderId="0" xfId="3" applyFont="1" applyAlignment="1">
      <alignment horizontal="centerContinuous"/>
    </xf>
    <xf numFmtId="0" fontId="59" fillId="0" borderId="28" xfId="3" applyFont="1" applyBorder="1" applyAlignment="1">
      <alignment horizontal="centerContinuous"/>
    </xf>
    <xf numFmtId="0" fontId="26" fillId="0" borderId="0" xfId="3" applyFont="1"/>
    <xf numFmtId="0" fontId="40" fillId="0" borderId="0" xfId="3" applyFont="1" applyProtection="1">
      <protection locked="0"/>
    </xf>
    <xf numFmtId="0" fontId="26" fillId="0" borderId="0" xfId="3" applyFont="1" applyAlignment="1">
      <alignment horizontal="left"/>
    </xf>
    <xf numFmtId="167" fontId="40" fillId="0" borderId="0" xfId="3" applyNumberFormat="1" applyFont="1" applyAlignment="1">
      <alignment horizontal="left"/>
    </xf>
    <xf numFmtId="166" fontId="40" fillId="0" borderId="0" xfId="3" applyNumberFormat="1" applyFont="1" applyAlignment="1">
      <alignment horizontal="right"/>
    </xf>
    <xf numFmtId="2" fontId="26" fillId="0" borderId="0" xfId="3" applyNumberFormat="1" applyFont="1"/>
    <xf numFmtId="1" fontId="40" fillId="0" borderId="0" xfId="3" applyNumberFormat="1" applyFont="1" applyAlignment="1">
      <alignment horizontal="left"/>
    </xf>
    <xf numFmtId="167" fontId="40" fillId="0" borderId="0" xfId="3" applyNumberFormat="1" applyFont="1" applyAlignment="1">
      <alignment horizontal="centerContinuous"/>
    </xf>
    <xf numFmtId="167" fontId="40" fillId="7" borderId="0" xfId="3" applyNumberFormat="1" applyFont="1" applyFill="1"/>
    <xf numFmtId="0" fontId="40" fillId="7" borderId="0" xfId="3" applyFont="1" applyFill="1"/>
    <xf numFmtId="167" fontId="20" fillId="0" borderId="0" xfId="25" applyNumberFormat="1" applyFont="1" applyAlignment="1">
      <alignment horizontal="center" vertical="center"/>
    </xf>
    <xf numFmtId="0" fontId="59" fillId="0" borderId="126" xfId="3" applyFont="1" applyBorder="1"/>
    <xf numFmtId="0" fontId="40" fillId="0" borderId="41" xfId="3" applyFont="1" applyBorder="1"/>
    <xf numFmtId="0" fontId="40" fillId="0" borderId="43" xfId="3" applyFont="1" applyBorder="1" applyAlignment="1">
      <alignment horizontal="center"/>
    </xf>
    <xf numFmtId="0" fontId="40" fillId="0" borderId="41" xfId="3" applyFont="1" applyBorder="1" applyAlignment="1">
      <alignment horizontal="center"/>
    </xf>
    <xf numFmtId="0" fontId="134" fillId="0" borderId="43" xfId="3" applyFont="1" applyBorder="1" applyAlignment="1">
      <alignment horizontal="center"/>
    </xf>
    <xf numFmtId="0" fontId="40" fillId="0" borderId="35" xfId="3" applyFont="1" applyBorder="1" applyAlignment="1">
      <alignment horizontal="right"/>
    </xf>
    <xf numFmtId="167" fontId="26" fillId="0" borderId="35" xfId="3" applyNumberFormat="1" applyFont="1" applyBorder="1" applyAlignment="1">
      <alignment horizontal="center"/>
    </xf>
    <xf numFmtId="167" fontId="26" fillId="0" borderId="40" xfId="3" applyNumberFormat="1" applyFont="1" applyBorder="1" applyAlignment="1">
      <alignment horizontal="center"/>
    </xf>
    <xf numFmtId="167" fontId="134" fillId="0" borderId="35" xfId="3" applyNumberFormat="1" applyFont="1" applyBorder="1" applyAlignment="1">
      <alignment horizontal="center"/>
    </xf>
    <xf numFmtId="0" fontId="40" fillId="0" borderId="38" xfId="3" applyFont="1" applyBorder="1" applyAlignment="1">
      <alignment horizontal="centerContinuous"/>
    </xf>
    <xf numFmtId="1" fontId="40" fillId="7" borderId="0" xfId="3" applyNumberFormat="1" applyFont="1" applyFill="1"/>
    <xf numFmtId="0" fontId="40" fillId="0" borderId="40" xfId="3" applyFont="1" applyBorder="1" applyAlignment="1">
      <alignment horizontal="left"/>
    </xf>
    <xf numFmtId="2" fontId="26" fillId="0" borderId="35" xfId="3" applyNumberFormat="1" applyFont="1" applyBorder="1" applyAlignment="1">
      <alignment horizontal="center"/>
    </xf>
    <xf numFmtId="2" fontId="26" fillId="0" borderId="40" xfId="3" applyNumberFormat="1" applyFont="1" applyBorder="1" applyAlignment="1">
      <alignment horizontal="center"/>
    </xf>
    <xf numFmtId="2" fontId="134" fillId="0" borderId="35" xfId="3" applyNumberFormat="1" applyFont="1" applyBorder="1" applyAlignment="1">
      <alignment horizontal="center"/>
    </xf>
    <xf numFmtId="0" fontId="31" fillId="11" borderId="6" xfId="25" applyFont="1" applyFill="1" applyBorder="1" applyAlignment="1">
      <alignment horizontal="center" vertical="center"/>
    </xf>
    <xf numFmtId="0" fontId="20" fillId="0" borderId="6" xfId="25" applyFont="1" applyBorder="1" applyAlignment="1">
      <alignment horizontal="center" vertical="center"/>
    </xf>
    <xf numFmtId="167" fontId="13" fillId="0" borderId="6" xfId="28" applyNumberFormat="1" applyFont="1" applyBorder="1" applyAlignment="1" applyProtection="1">
      <alignment horizontal="center" vertical="center"/>
      <protection locked="0"/>
    </xf>
    <xf numFmtId="0" fontId="40" fillId="0" borderId="48" xfId="3" applyFont="1" applyBorder="1"/>
    <xf numFmtId="0" fontId="40" fillId="0" borderId="34" xfId="3" applyFont="1" applyBorder="1"/>
    <xf numFmtId="0" fontId="40" fillId="0" borderId="33" xfId="3" applyFont="1" applyBorder="1" applyAlignment="1">
      <alignment horizontal="right"/>
    </xf>
    <xf numFmtId="167" fontId="26" fillId="0" borderId="33" xfId="3" applyNumberFormat="1" applyFont="1" applyBorder="1" applyAlignment="1">
      <alignment horizontal="center"/>
    </xf>
    <xf numFmtId="167" fontId="26" fillId="0" borderId="48" xfId="3" applyNumberFormat="1" applyFont="1" applyBorder="1" applyAlignment="1">
      <alignment horizontal="center"/>
    </xf>
    <xf numFmtId="167" fontId="134" fillId="0" borderId="33" xfId="3" applyNumberFormat="1" applyFont="1" applyBorder="1" applyAlignment="1">
      <alignment horizontal="center"/>
    </xf>
    <xf numFmtId="167" fontId="20" fillId="0" borderId="6" xfId="28" applyNumberFormat="1" applyFont="1" applyBorder="1" applyAlignment="1">
      <alignment horizontal="center" vertical="center"/>
    </xf>
    <xf numFmtId="0" fontId="40" fillId="0" borderId="41" xfId="3" applyFont="1" applyBorder="1" applyAlignment="1">
      <alignment horizontal="left"/>
    </xf>
    <xf numFmtId="0" fontId="40" fillId="0" borderId="44" xfId="3" applyFont="1" applyBorder="1" applyAlignment="1">
      <alignment horizontal="left"/>
    </xf>
    <xf numFmtId="0" fontId="40" fillId="0" borderId="43" xfId="3" applyFont="1" applyBorder="1" applyAlignment="1">
      <alignment horizontal="right"/>
    </xf>
    <xf numFmtId="0" fontId="40" fillId="0" borderId="44" xfId="3" applyFont="1" applyBorder="1" applyAlignment="1">
      <alignment horizontal="centerContinuous"/>
    </xf>
    <xf numFmtId="2" fontId="40" fillId="0" borderId="44" xfId="3" applyNumberFormat="1" applyFont="1" applyBorder="1" applyAlignment="1">
      <alignment horizontal="centerContinuous"/>
    </xf>
    <xf numFmtId="166" fontId="164" fillId="0" borderId="44" xfId="3" applyNumberFormat="1" applyFont="1" applyBorder="1" applyAlignment="1">
      <alignment horizontal="centerContinuous"/>
    </xf>
    <xf numFmtId="2" fontId="40" fillId="0" borderId="43" xfId="3" applyNumberFormat="1" applyFont="1" applyBorder="1" applyAlignment="1">
      <alignment horizontal="centerContinuous"/>
    </xf>
    <xf numFmtId="167" fontId="40" fillId="0" borderId="38" xfId="3" applyNumberFormat="1" applyFont="1" applyBorder="1" applyAlignment="1">
      <alignment horizontal="centerContinuous"/>
    </xf>
    <xf numFmtId="2" fontId="131" fillId="0" borderId="38" xfId="3" applyNumberFormat="1" applyFont="1" applyBorder="1" applyAlignment="1">
      <alignment horizontal="centerContinuous"/>
    </xf>
    <xf numFmtId="2" fontId="164" fillId="0" borderId="38" xfId="3" applyNumberFormat="1" applyFont="1" applyBorder="1" applyAlignment="1">
      <alignment horizontal="centerContinuous"/>
    </xf>
    <xf numFmtId="2" fontId="40" fillId="0" borderId="35" xfId="3" applyNumberFormat="1" applyFont="1" applyBorder="1" applyAlignment="1">
      <alignment horizontal="centerContinuous"/>
    </xf>
    <xf numFmtId="0" fontId="40" fillId="0" borderId="46" xfId="3" applyFont="1" applyBorder="1" applyAlignment="1">
      <alignment horizontal="left"/>
    </xf>
    <xf numFmtId="0" fontId="40" fillId="0" borderId="47" xfId="3" applyFont="1" applyBorder="1" applyAlignment="1">
      <alignment horizontal="left"/>
    </xf>
    <xf numFmtId="0" fontId="40" fillId="0" borderId="31" xfId="3" applyFont="1" applyBorder="1" applyAlignment="1">
      <alignment horizontal="right"/>
    </xf>
    <xf numFmtId="167" fontId="40" fillId="0" borderId="47" xfId="3" applyNumberFormat="1" applyFont="1" applyBorder="1" applyAlignment="1">
      <alignment horizontal="centerContinuous"/>
    </xf>
    <xf numFmtId="0" fontId="40" fillId="0" borderId="47" xfId="3" applyFont="1" applyBorder="1" applyAlignment="1">
      <alignment horizontal="centerContinuous"/>
    </xf>
    <xf numFmtId="2" fontId="40" fillId="0" borderId="47" xfId="3" applyNumberFormat="1" applyFont="1" applyBorder="1" applyAlignment="1">
      <alignment horizontal="centerContinuous"/>
    </xf>
    <xf numFmtId="2" fontId="20" fillId="0" borderId="47" xfId="3" applyNumberFormat="1" applyFont="1" applyBorder="1" applyAlignment="1">
      <alignment horizontal="centerContinuous"/>
    </xf>
    <xf numFmtId="2" fontId="40" fillId="0" borderId="31" xfId="3" applyNumberFormat="1" applyFont="1" applyBorder="1" applyAlignment="1">
      <alignment horizontal="centerContinuous"/>
    </xf>
    <xf numFmtId="0" fontId="40" fillId="0" borderId="126" xfId="3" applyFont="1" applyBorder="1" applyAlignment="1">
      <alignment horizontal="left"/>
    </xf>
    <xf numFmtId="0" fontId="61" fillId="0" borderId="0" xfId="3" applyFont="1" applyAlignment="1">
      <alignment horizontal="left"/>
    </xf>
    <xf numFmtId="0" fontId="131" fillId="0" borderId="0" xfId="3" applyFont="1" applyAlignment="1">
      <alignment horizontal="center"/>
    </xf>
    <xf numFmtId="0" fontId="131" fillId="0" borderId="0" xfId="3" applyFont="1" applyAlignment="1">
      <alignment horizontal="centerContinuous"/>
    </xf>
    <xf numFmtId="167" fontId="20" fillId="0" borderId="6" xfId="25" applyNumberFormat="1" applyFont="1" applyBorder="1" applyAlignment="1">
      <alignment horizontal="center" vertical="center"/>
    </xf>
    <xf numFmtId="2" fontId="131" fillId="0" borderId="0" xfId="3" applyNumberFormat="1" applyFont="1" applyAlignment="1">
      <alignment horizontal="center"/>
    </xf>
    <xf numFmtId="165" fontId="40" fillId="0" borderId="0" xfId="3" applyNumberFormat="1" applyFont="1" applyAlignment="1">
      <alignment horizontal="center"/>
    </xf>
    <xf numFmtId="9" fontId="40" fillId="0" borderId="0" xfId="3" applyNumberFormat="1" applyFont="1"/>
    <xf numFmtId="2" fontId="131" fillId="0" borderId="0" xfId="3" applyNumberFormat="1" applyFont="1" applyAlignment="1">
      <alignment horizontal="left"/>
    </xf>
    <xf numFmtId="0" fontId="128" fillId="7" borderId="0" xfId="3" applyFont="1" applyFill="1" applyProtection="1">
      <protection locked="0"/>
    </xf>
    <xf numFmtId="0" fontId="40" fillId="7" borderId="0" xfId="3" applyFont="1" applyFill="1" applyProtection="1">
      <protection locked="0"/>
    </xf>
    <xf numFmtId="2" fontId="40" fillId="7" borderId="0" xfId="3" applyNumberFormat="1" applyFont="1" applyFill="1"/>
    <xf numFmtId="1" fontId="128" fillId="7" borderId="0" xfId="3" applyNumberFormat="1" applyFont="1" applyFill="1" applyProtection="1">
      <protection locked="0"/>
    </xf>
    <xf numFmtId="0" fontId="40" fillId="0" borderId="0" xfId="3" applyFont="1" applyAlignment="1">
      <alignment horizontal="left" vertical="center" textRotation="90"/>
    </xf>
    <xf numFmtId="166" fontId="40" fillId="7" borderId="0" xfId="3" applyNumberFormat="1" applyFont="1" applyFill="1"/>
    <xf numFmtId="0" fontId="40" fillId="7" borderId="0" xfId="3" applyFont="1" applyFill="1" applyAlignment="1">
      <alignment horizontal="center"/>
    </xf>
    <xf numFmtId="167" fontId="40" fillId="7" borderId="0" xfId="3" applyNumberFormat="1" applyFont="1" applyFill="1" applyAlignment="1">
      <alignment horizontal="center"/>
    </xf>
    <xf numFmtId="0" fontId="128" fillId="7" borderId="0" xfId="3" applyFont="1" applyFill="1" applyAlignment="1" applyProtection="1">
      <alignment horizontal="center"/>
      <protection locked="0"/>
    </xf>
    <xf numFmtId="0" fontId="130" fillId="0" borderId="0" xfId="3" applyFont="1"/>
    <xf numFmtId="0" fontId="128" fillId="0" borderId="0" xfId="3" applyFont="1" applyProtection="1">
      <protection locked="0"/>
    </xf>
    <xf numFmtId="0" fontId="40" fillId="0" borderId="0" xfId="3" quotePrefix="1" applyFont="1"/>
    <xf numFmtId="0" fontId="40" fillId="0" borderId="11" xfId="3" applyFont="1" applyBorder="1" applyAlignment="1">
      <alignment horizontal="centerContinuous" vertical="center"/>
    </xf>
    <xf numFmtId="0" fontId="40" fillId="0" borderId="36" xfId="3" applyFont="1" applyBorder="1" applyAlignment="1">
      <alignment vertical="center"/>
    </xf>
    <xf numFmtId="0" fontId="40" fillId="0" borderId="101" xfId="3" applyFont="1" applyBorder="1" applyAlignment="1">
      <alignment horizontal="center" vertical="center"/>
    </xf>
    <xf numFmtId="0" fontId="40" fillId="0" borderId="101" xfId="3" applyFont="1" applyBorder="1" applyAlignment="1">
      <alignment vertical="center"/>
    </xf>
    <xf numFmtId="2" fontId="26" fillId="0" borderId="101" xfId="3" applyNumberFormat="1" applyFont="1" applyBorder="1" applyAlignment="1">
      <alignment horizontal="center" vertical="center"/>
    </xf>
    <xf numFmtId="0" fontId="128" fillId="0" borderId="39" xfId="3" applyFont="1" applyBorder="1" applyAlignment="1">
      <alignment vertical="center"/>
    </xf>
    <xf numFmtId="0" fontId="128" fillId="0" borderId="101" xfId="3" applyFont="1" applyBorder="1" applyAlignment="1">
      <alignment vertical="center"/>
    </xf>
    <xf numFmtId="166" fontId="26" fillId="0" borderId="101" xfId="3" applyNumberFormat="1" applyFont="1" applyBorder="1" applyAlignment="1">
      <alignment horizontal="center" vertical="center"/>
    </xf>
    <xf numFmtId="0" fontId="40" fillId="0" borderId="39" xfId="3" applyFont="1" applyBorder="1" applyAlignment="1">
      <alignment vertical="center"/>
    </xf>
    <xf numFmtId="0" fontId="40" fillId="0" borderId="40" xfId="3" applyFont="1" applyBorder="1" applyAlignment="1">
      <alignment vertical="center"/>
    </xf>
    <xf numFmtId="0" fontId="40" fillId="0" borderId="38" xfId="3" applyFont="1" applyBorder="1" applyAlignment="1">
      <alignment horizontal="center" vertical="center"/>
    </xf>
    <xf numFmtId="0" fontId="40" fillId="0" borderId="38" xfId="3" applyFont="1" applyBorder="1" applyAlignment="1">
      <alignment vertical="center"/>
    </xf>
    <xf numFmtId="2" fontId="26" fillId="0" borderId="38" xfId="3" applyNumberFormat="1" applyFont="1" applyBorder="1" applyAlignment="1">
      <alignment horizontal="center" vertical="center"/>
    </xf>
    <xf numFmtId="0" fontId="128" fillId="0" borderId="35" xfId="3" applyFont="1" applyBorder="1" applyAlignment="1">
      <alignment vertical="center"/>
    </xf>
    <xf numFmtId="0" fontId="128" fillId="0" borderId="38" xfId="3" applyFont="1" applyBorder="1" applyAlignment="1">
      <alignment vertical="center"/>
    </xf>
    <xf numFmtId="166" fontId="26" fillId="0" borderId="38" xfId="3" applyNumberFormat="1" applyFont="1" applyBorder="1" applyAlignment="1">
      <alignment horizontal="center" vertical="center"/>
    </xf>
    <xf numFmtId="0" fontId="40" fillId="0" borderId="35" xfId="3" applyFont="1" applyBorder="1" applyAlignment="1">
      <alignment vertical="center"/>
    </xf>
    <xf numFmtId="2" fontId="20" fillId="0" borderId="28" xfId="25" applyNumberFormat="1" applyFont="1" applyBorder="1" applyAlignment="1">
      <alignment horizontal="center" vertical="center"/>
    </xf>
    <xf numFmtId="2" fontId="128" fillId="60" borderId="6" xfId="3" applyNumberFormat="1" applyFont="1" applyFill="1" applyBorder="1" applyAlignment="1">
      <alignment horizontal="center" vertical="center"/>
    </xf>
    <xf numFmtId="167" fontId="40" fillId="60" borderId="6" xfId="3" applyNumberFormat="1" applyFont="1" applyFill="1" applyBorder="1" applyAlignment="1">
      <alignment horizontal="center" vertical="center"/>
    </xf>
    <xf numFmtId="0" fontId="40" fillId="0" borderId="40" xfId="3" applyFont="1" applyBorder="1" applyAlignment="1">
      <alignment horizontal="left" vertical="center"/>
    </xf>
    <xf numFmtId="0" fontId="40" fillId="0" borderId="38" xfId="3" applyFont="1" applyBorder="1" applyAlignment="1">
      <alignment horizontal="right" vertical="center"/>
    </xf>
    <xf numFmtId="0" fontId="11" fillId="0" borderId="38" xfId="3" applyFont="1" applyBorder="1" applyAlignment="1">
      <alignment vertical="center"/>
    </xf>
    <xf numFmtId="1" fontId="11" fillId="0" borderId="38" xfId="3" applyNumberFormat="1" applyFont="1" applyBorder="1" applyAlignment="1" applyProtection="1">
      <alignment horizontal="center" vertical="center"/>
      <protection locked="0"/>
    </xf>
    <xf numFmtId="2" fontId="40" fillId="60" borderId="6" xfId="3" applyNumberFormat="1" applyFont="1" applyFill="1" applyBorder="1" applyAlignment="1">
      <alignment horizontal="center" vertical="center"/>
    </xf>
    <xf numFmtId="0" fontId="40" fillId="0" borderId="36" xfId="3" applyFont="1" applyBorder="1" applyAlignment="1">
      <alignment horizontal="centerContinuous" vertical="center"/>
    </xf>
    <xf numFmtId="0" fontId="40" fillId="0" borderId="101" xfId="3" applyFont="1" applyBorder="1" applyAlignment="1">
      <alignment horizontal="centerContinuous" vertical="center"/>
    </xf>
    <xf numFmtId="0" fontId="40" fillId="0" borderId="39" xfId="3" applyFont="1" applyBorder="1" applyAlignment="1">
      <alignment horizontal="centerContinuous" vertical="center"/>
    </xf>
    <xf numFmtId="2" fontId="40" fillId="0" borderId="36" xfId="3" applyNumberFormat="1" applyFont="1" applyBorder="1" applyAlignment="1">
      <alignment vertical="center"/>
    </xf>
    <xf numFmtId="167" fontId="26" fillId="0" borderId="101" xfId="3" applyNumberFormat="1" applyFont="1" applyBorder="1" applyAlignment="1">
      <alignment horizontal="center" vertical="center"/>
    </xf>
    <xf numFmtId="0" fontId="40" fillId="0" borderId="31" xfId="3" applyFont="1" applyBorder="1" applyAlignment="1">
      <alignment vertical="center"/>
    </xf>
    <xf numFmtId="0" fontId="40" fillId="0" borderId="40" xfId="3" applyFont="1" applyBorder="1" applyAlignment="1">
      <alignment horizontal="centerContinuous" vertical="center"/>
    </xf>
    <xf numFmtId="0" fontId="40" fillId="0" borderId="38" xfId="3" applyFont="1" applyBorder="1" applyAlignment="1">
      <alignment horizontal="centerContinuous" vertical="center"/>
    </xf>
    <xf numFmtId="0" fontId="40" fillId="0" borderId="35" xfId="3" applyFont="1" applyBorder="1" applyAlignment="1">
      <alignment horizontal="centerContinuous" vertical="center"/>
    </xf>
    <xf numFmtId="2" fontId="40" fillId="0" borderId="40" xfId="3" applyNumberFormat="1" applyFont="1" applyBorder="1" applyAlignment="1">
      <alignment vertical="center"/>
    </xf>
    <xf numFmtId="167" fontId="26" fillId="0" borderId="38" xfId="3" applyNumberFormat="1" applyFont="1" applyBorder="1" applyAlignment="1">
      <alignment horizontal="center" vertical="center"/>
    </xf>
    <xf numFmtId="0" fontId="40" fillId="0" borderId="46" xfId="3" applyFont="1" applyBorder="1" applyAlignment="1">
      <alignment horizontal="centerContinuous" vertical="center"/>
    </xf>
    <xf numFmtId="0" fontId="40" fillId="0" borderId="47" xfId="3" applyFont="1" applyBorder="1" applyAlignment="1">
      <alignment horizontal="centerContinuous" vertical="center"/>
    </xf>
    <xf numFmtId="0" fontId="40" fillId="0" borderId="31" xfId="3" applyFont="1" applyBorder="1" applyAlignment="1">
      <alignment horizontal="centerContinuous" vertical="center"/>
    </xf>
    <xf numFmtId="2" fontId="40" fillId="0" borderId="46" xfId="3" applyNumberFormat="1" applyFont="1" applyBorder="1" applyAlignment="1">
      <alignment vertical="center"/>
    </xf>
    <xf numFmtId="167" fontId="40" fillId="0" borderId="47" xfId="3" applyNumberFormat="1" applyFont="1" applyBorder="1" applyAlignment="1">
      <alignment horizontal="center" vertical="center"/>
    </xf>
    <xf numFmtId="0" fontId="11" fillId="0" borderId="127" xfId="17" applyFont="1" applyBorder="1" applyAlignment="1">
      <alignment vertical="center"/>
    </xf>
    <xf numFmtId="0" fontId="20" fillId="0" borderId="6" xfId="25" applyFont="1" applyBorder="1" applyAlignment="1">
      <alignment vertical="center"/>
    </xf>
    <xf numFmtId="196" fontId="13" fillId="0" borderId="6" xfId="28" applyNumberFormat="1" applyFont="1" applyBorder="1" applyAlignment="1" applyProtection="1">
      <alignment vertical="center"/>
      <protection locked="0"/>
    </xf>
    <xf numFmtId="167" fontId="72" fillId="0" borderId="0" xfId="25" applyNumberFormat="1" applyFont="1" applyAlignment="1">
      <alignment vertical="center"/>
    </xf>
    <xf numFmtId="188" fontId="20" fillId="0" borderId="6" xfId="28" applyNumberFormat="1" applyFont="1" applyBorder="1" applyAlignment="1">
      <alignment vertical="center"/>
    </xf>
    <xf numFmtId="197" fontId="20" fillId="0" borderId="6" xfId="28" applyNumberFormat="1" applyFont="1" applyBorder="1" applyAlignment="1">
      <alignment vertical="center"/>
    </xf>
    <xf numFmtId="167" fontId="13" fillId="0" borderId="6" xfId="25" applyNumberFormat="1" applyFont="1" applyBorder="1" applyAlignment="1">
      <alignment horizontal="center" vertical="center"/>
    </xf>
    <xf numFmtId="167" fontId="20" fillId="0" borderId="0" xfId="25" applyNumberFormat="1" applyFont="1" applyAlignment="1">
      <alignment horizontal="center" vertical="center" wrapText="1"/>
    </xf>
    <xf numFmtId="0" fontId="31" fillId="0" borderId="0" xfId="3" applyFont="1"/>
    <xf numFmtId="0" fontId="20" fillId="0" borderId="0" xfId="3" applyFont="1" applyAlignment="1">
      <alignment horizontal="left"/>
    </xf>
    <xf numFmtId="0" fontId="20" fillId="0" borderId="0" xfId="3" applyFont="1"/>
    <xf numFmtId="0" fontId="20" fillId="0" borderId="0" xfId="3" applyFont="1" applyAlignment="1">
      <alignment horizontal="right"/>
    </xf>
    <xf numFmtId="167" fontId="20" fillId="0" borderId="0" xfId="3" applyNumberFormat="1" applyFont="1" applyAlignment="1">
      <alignment horizontal="centerContinuous"/>
    </xf>
    <xf numFmtId="2" fontId="20" fillId="0" borderId="0" xfId="3" applyNumberFormat="1" applyFont="1" applyAlignment="1">
      <alignment horizontal="centerContinuous"/>
    </xf>
    <xf numFmtId="2" fontId="59" fillId="0" borderId="0" xfId="3" applyNumberFormat="1" applyFont="1" applyAlignment="1">
      <alignment horizontal="left"/>
    </xf>
    <xf numFmtId="0" fontId="20" fillId="0" borderId="13" xfId="25" applyFont="1" applyBorder="1" applyAlignment="1">
      <alignment vertical="center"/>
    </xf>
    <xf numFmtId="0" fontId="20" fillId="0" borderId="21" xfId="25" applyFont="1" applyBorder="1" applyAlignment="1">
      <alignment vertical="center"/>
    </xf>
    <xf numFmtId="0" fontId="40" fillId="0" borderId="21" xfId="3" applyFont="1" applyBorder="1" applyAlignment="1">
      <alignment horizontal="left"/>
    </xf>
    <xf numFmtId="0" fontId="40" fillId="0" borderId="21" xfId="3" applyFont="1" applyBorder="1" applyAlignment="1">
      <alignment horizontal="right"/>
    </xf>
    <xf numFmtId="167" fontId="40" fillId="0" borderId="21" xfId="3" applyNumberFormat="1" applyFont="1" applyBorder="1" applyAlignment="1">
      <alignment horizontal="center"/>
    </xf>
    <xf numFmtId="2" fontId="20" fillId="0" borderId="29" xfId="25" applyNumberFormat="1" applyFont="1" applyBorder="1" applyAlignment="1">
      <alignment horizontal="centerContinuous" vertical="center"/>
    </xf>
    <xf numFmtId="0" fontId="12" fillId="0" borderId="0" xfId="3" applyFont="1"/>
    <xf numFmtId="0" fontId="12" fillId="0" borderId="28" xfId="3" applyFont="1" applyBorder="1"/>
    <xf numFmtId="0" fontId="12" fillId="0" borderId="126" xfId="3" applyFont="1" applyBorder="1"/>
    <xf numFmtId="0" fontId="12" fillId="0" borderId="13" xfId="3" applyFont="1" applyBorder="1"/>
    <xf numFmtId="0" fontId="12" fillId="0" borderId="21" xfId="3" applyFont="1" applyBorder="1"/>
    <xf numFmtId="0" fontId="12" fillId="0" borderId="27" xfId="3" applyFont="1" applyBorder="1"/>
    <xf numFmtId="0" fontId="12" fillId="0" borderId="29" xfId="3" applyFont="1" applyBorder="1"/>
    <xf numFmtId="0" fontId="20" fillId="0" borderId="11" xfId="25" applyFont="1" applyBorder="1" applyAlignment="1">
      <alignment horizontal="left" vertical="center"/>
    </xf>
    <xf numFmtId="0" fontId="20" fillId="0" borderId="30" xfId="25" applyFont="1" applyBorder="1" applyAlignment="1">
      <alignment horizontal="left" vertical="center"/>
    </xf>
    <xf numFmtId="0" fontId="24" fillId="0" borderId="48" xfId="3" applyFont="1" applyBorder="1"/>
    <xf numFmtId="0" fontId="24" fillId="0" borderId="34" xfId="3" applyFont="1" applyBorder="1" applyAlignment="1">
      <alignment horizontal="right"/>
    </xf>
    <xf numFmtId="0" fontId="24" fillId="0" borderId="34" xfId="3" applyFont="1" applyBorder="1"/>
    <xf numFmtId="49" fontId="24" fillId="0" borderId="34" xfId="3" applyNumberFormat="1" applyFont="1" applyBorder="1" applyAlignment="1" applyProtection="1">
      <alignment horizontal="left"/>
      <protection locked="0"/>
    </xf>
    <xf numFmtId="49" fontId="24" fillId="0" borderId="33" xfId="3" applyNumberFormat="1" applyFont="1" applyBorder="1" applyAlignment="1" applyProtection="1">
      <alignment horizontal="right"/>
      <protection locked="0"/>
    </xf>
    <xf numFmtId="0" fontId="145" fillId="0" borderId="26" xfId="20" applyFont="1" applyBorder="1"/>
    <xf numFmtId="0" fontId="145" fillId="0" borderId="27" xfId="20" applyFont="1" applyBorder="1"/>
    <xf numFmtId="0" fontId="11" fillId="0" borderId="28" xfId="20" applyFont="1" applyBorder="1"/>
    <xf numFmtId="0" fontId="11" fillId="0" borderId="21" xfId="20" applyFont="1" applyBorder="1"/>
    <xf numFmtId="0" fontId="11" fillId="0" borderId="29" xfId="20" applyFont="1" applyBorder="1"/>
    <xf numFmtId="0" fontId="24" fillId="0" borderId="44" xfId="3" applyFont="1" applyBorder="1" applyAlignment="1">
      <alignment vertical="center"/>
    </xf>
    <xf numFmtId="1" fontId="61" fillId="0" borderId="43" xfId="3" applyNumberFormat="1" applyFont="1" applyBorder="1" applyAlignment="1" applyProtection="1">
      <alignment horizontal="center" vertical="center"/>
      <protection locked="0"/>
    </xf>
    <xf numFmtId="1" fontId="24" fillId="0" borderId="0" xfId="3" applyNumberFormat="1" applyFont="1" applyAlignment="1" applyProtection="1">
      <alignment horizontal="right" vertical="center"/>
      <protection locked="0"/>
    </xf>
    <xf numFmtId="0" fontId="24" fillId="0" borderId="40" xfId="3" applyFont="1" applyBorder="1" applyAlignment="1">
      <alignment vertical="center"/>
    </xf>
    <xf numFmtId="0" fontId="24" fillId="0" borderId="38" xfId="3" applyFont="1" applyBorder="1" applyAlignment="1">
      <alignment horizontal="right" vertical="center"/>
    </xf>
    <xf numFmtId="0" fontId="24" fillId="0" borderId="35" xfId="3" applyFont="1" applyBorder="1" applyAlignment="1">
      <alignment horizontal="right" vertical="center"/>
    </xf>
    <xf numFmtId="2" fontId="24" fillId="0" borderId="37" xfId="3" applyNumberFormat="1" applyFont="1" applyBorder="1" applyAlignment="1">
      <alignment horizontal="right" vertical="center"/>
    </xf>
    <xf numFmtId="0" fontId="24" fillId="0" borderId="0" xfId="3" applyFont="1" applyAlignment="1">
      <alignment horizontal="centerContinuous" vertical="center"/>
    </xf>
    <xf numFmtId="0" fontId="24" fillId="0" borderId="38" xfId="3" applyFont="1" applyBorder="1" applyAlignment="1">
      <alignment vertical="center"/>
    </xf>
    <xf numFmtId="1" fontId="61" fillId="0" borderId="35" xfId="3" applyNumberFormat="1" applyFont="1" applyBorder="1" applyAlignment="1" applyProtection="1">
      <alignment horizontal="center" vertical="center"/>
      <protection locked="0"/>
    </xf>
    <xf numFmtId="0" fontId="24" fillId="0" borderId="46" xfId="3" applyFont="1" applyBorder="1" applyAlignment="1">
      <alignment vertical="center"/>
    </xf>
    <xf numFmtId="0" fontId="24" fillId="0" borderId="47" xfId="3" applyFont="1" applyBorder="1" applyAlignment="1">
      <alignment horizontal="right" vertical="center"/>
    </xf>
    <xf numFmtId="0" fontId="24" fillId="0" borderId="31" xfId="3" applyFont="1" applyBorder="1" applyAlignment="1">
      <alignment horizontal="right" vertical="center"/>
    </xf>
    <xf numFmtId="2" fontId="219" fillId="0" borderId="32" xfId="3" applyNumberFormat="1" applyFont="1" applyBorder="1" applyAlignment="1">
      <alignment horizontal="right" vertical="center"/>
    </xf>
    <xf numFmtId="0" fontId="110" fillId="0" borderId="126" xfId="3" applyFont="1" applyBorder="1" applyAlignment="1">
      <alignment horizontal="left"/>
    </xf>
    <xf numFmtId="0" fontId="11" fillId="0" borderId="28" xfId="20" applyFont="1" applyBorder="1" applyAlignment="1">
      <alignment vertical="center"/>
    </xf>
    <xf numFmtId="0" fontId="145" fillId="0" borderId="127" xfId="20" applyFont="1" applyBorder="1" applyAlignment="1">
      <alignment vertical="center"/>
    </xf>
    <xf numFmtId="0" fontId="11" fillId="0" borderId="127" xfId="20" applyFont="1" applyBorder="1" applyAlignment="1">
      <alignment vertical="center"/>
    </xf>
    <xf numFmtId="14" fontId="40" fillId="0" borderId="83" xfId="7" applyNumberFormat="1" applyFont="1" applyBorder="1" applyAlignment="1">
      <alignment horizontal="left"/>
    </xf>
    <xf numFmtId="0" fontId="216" fillId="0" borderId="0" xfId="3" applyFont="1" applyAlignment="1">
      <alignment horizontal="left" vertical="center"/>
    </xf>
    <xf numFmtId="0" fontId="13" fillId="0" borderId="0" xfId="3" applyFont="1" applyAlignment="1" applyProtection="1">
      <alignment horizontal="center" vertical="center"/>
      <protection locked="0"/>
    </xf>
    <xf numFmtId="167" fontId="13" fillId="0" borderId="0" xfId="3" applyNumberFormat="1" applyFont="1" applyAlignment="1" applyProtection="1">
      <alignment horizontal="center" vertical="center"/>
      <protection locked="0"/>
    </xf>
    <xf numFmtId="166" fontId="13" fillId="0" borderId="0" xfId="3" applyNumberFormat="1" applyFont="1" applyAlignment="1">
      <alignment horizontal="center" vertical="center"/>
    </xf>
    <xf numFmtId="1" fontId="13" fillId="0" borderId="0" xfId="3" applyNumberFormat="1" applyFont="1" applyAlignment="1">
      <alignment horizontal="center" vertical="center"/>
    </xf>
    <xf numFmtId="0" fontId="13" fillId="0" borderId="6" xfId="28" applyNumberFormat="1" applyFont="1" applyBorder="1" applyAlignment="1">
      <alignment horizontal="center" vertical="center"/>
    </xf>
    <xf numFmtId="0" fontId="221" fillId="0" borderId="48" xfId="3" applyFont="1" applyBorder="1"/>
    <xf numFmtId="0" fontId="221" fillId="0" borderId="34" xfId="3" applyFont="1" applyBorder="1" applyAlignment="1">
      <alignment horizontal="right"/>
    </xf>
    <xf numFmtId="0" fontId="221" fillId="0" borderId="34" xfId="3" applyFont="1" applyBorder="1"/>
    <xf numFmtId="49" fontId="221" fillId="0" borderId="34" xfId="3" applyNumberFormat="1" applyFont="1" applyBorder="1" applyAlignment="1" applyProtection="1">
      <alignment horizontal="left"/>
      <protection locked="0"/>
    </xf>
    <xf numFmtId="49" fontId="221" fillId="0" borderId="33" xfId="3" applyNumberFormat="1" applyFont="1" applyBorder="1" applyAlignment="1" applyProtection="1">
      <alignment horizontal="right"/>
      <protection locked="0"/>
    </xf>
    <xf numFmtId="167" fontId="13" fillId="3" borderId="31" xfId="3" applyNumberFormat="1" applyFont="1" applyFill="1" applyBorder="1" applyAlignment="1">
      <alignment horizontal="center" vertical="center"/>
    </xf>
    <xf numFmtId="0" fontId="20" fillId="3" borderId="6" xfId="28" applyNumberFormat="1" applyFont="1" applyFill="1" applyBorder="1" applyAlignment="1" applyProtection="1">
      <alignment horizontal="center" vertical="center"/>
      <protection locked="0"/>
    </xf>
    <xf numFmtId="167" fontId="13" fillId="15" borderId="6" xfId="3" applyNumberFormat="1" applyFont="1" applyFill="1" applyBorder="1" applyAlignment="1">
      <alignment horizontal="center" vertical="center"/>
    </xf>
    <xf numFmtId="167" fontId="13" fillId="61" borderId="6" xfId="3" applyNumberFormat="1" applyFont="1" applyFill="1" applyBorder="1" applyAlignment="1">
      <alignment horizontal="center" vertical="center"/>
    </xf>
    <xf numFmtId="167" fontId="13" fillId="0" borderId="6" xfId="3" applyNumberFormat="1" applyFont="1" applyBorder="1" applyAlignment="1">
      <alignment horizontal="center" vertical="center"/>
    </xf>
    <xf numFmtId="0" fontId="11" fillId="0" borderId="0" xfId="19" applyFont="1" applyAlignment="1">
      <alignment horizontal="left" vertical="center"/>
    </xf>
    <xf numFmtId="0" fontId="18" fillId="0" borderId="0" xfId="19" applyFont="1" applyAlignment="1">
      <alignment horizontal="left" vertical="center"/>
    </xf>
    <xf numFmtId="0" fontId="216" fillId="0" borderId="0" xfId="3" applyFont="1" applyAlignment="1">
      <alignment horizontal="left" vertical="top"/>
    </xf>
    <xf numFmtId="0" fontId="11" fillId="0" borderId="0" xfId="19" applyFont="1" applyAlignment="1">
      <alignment horizontal="right" vertical="center"/>
    </xf>
    <xf numFmtId="0" fontId="20" fillId="0" borderId="0" xfId="19" applyFont="1" applyAlignment="1">
      <alignment horizontal="right" vertical="center"/>
    </xf>
    <xf numFmtId="0" fontId="31" fillId="0" borderId="0" xfId="19" applyFont="1" applyAlignment="1">
      <alignment horizontal="right" vertical="center"/>
    </xf>
    <xf numFmtId="0" fontId="11" fillId="0" borderId="0" xfId="19" applyFont="1" applyAlignment="1">
      <alignment horizontal="center" vertical="center"/>
    </xf>
    <xf numFmtId="0" fontId="13" fillId="0" borderId="0" xfId="19" applyFont="1" applyAlignment="1">
      <alignment horizontal="center" vertical="center"/>
    </xf>
    <xf numFmtId="0" fontId="40" fillId="3" borderId="129" xfId="7" applyFont="1" applyFill="1" applyBorder="1" applyAlignment="1">
      <alignment horizontal="center" vertical="center"/>
    </xf>
    <xf numFmtId="14" fontId="40" fillId="0" borderId="95" xfId="7" applyNumberFormat="1" applyFont="1" applyBorder="1" applyAlignment="1">
      <alignment horizontal="left"/>
    </xf>
    <xf numFmtId="0" fontId="59" fillId="3" borderId="0" xfId="25" applyFont="1" applyFill="1" applyAlignment="1">
      <alignment horizontal="center" vertical="center"/>
    </xf>
    <xf numFmtId="0" fontId="20" fillId="0" borderId="6" xfId="28" applyNumberFormat="1" applyFont="1" applyBorder="1" applyAlignment="1">
      <alignment vertical="center"/>
    </xf>
    <xf numFmtId="0" fontId="20" fillId="6" borderId="6" xfId="28" applyNumberFormat="1" applyFont="1" applyFill="1" applyBorder="1" applyAlignment="1" applyProtection="1">
      <alignment horizontal="center" vertical="center"/>
      <protection locked="0"/>
    </xf>
    <xf numFmtId="2" fontId="13" fillId="6" borderId="6" xfId="28" applyNumberFormat="1" applyFont="1" applyFill="1" applyBorder="1" applyAlignment="1" applyProtection="1">
      <alignment horizontal="center" vertical="center"/>
      <protection locked="0"/>
    </xf>
    <xf numFmtId="2" fontId="13" fillId="6" borderId="6" xfId="3" applyNumberFormat="1" applyFont="1" applyFill="1" applyBorder="1" applyAlignment="1" applyProtection="1">
      <alignment horizontal="center" vertical="center"/>
      <protection locked="0"/>
    </xf>
    <xf numFmtId="0" fontId="24" fillId="15" borderId="0" xfId="3" applyFont="1" applyFill="1" applyAlignment="1">
      <alignment horizontal="left" vertical="center"/>
    </xf>
    <xf numFmtId="0" fontId="24" fillId="15" borderId="6" xfId="3" applyFont="1" applyFill="1" applyBorder="1" applyAlignment="1">
      <alignment horizontal="left" vertical="center"/>
    </xf>
    <xf numFmtId="167" fontId="24" fillId="15" borderId="6" xfId="3" applyNumberFormat="1" applyFont="1" applyFill="1" applyBorder="1" applyAlignment="1">
      <alignment horizontal="left" vertical="center"/>
    </xf>
    <xf numFmtId="167" fontId="24" fillId="15" borderId="0" xfId="3" applyNumberFormat="1" applyFont="1" applyFill="1" applyAlignment="1">
      <alignment horizontal="left" vertical="center"/>
    </xf>
    <xf numFmtId="167" fontId="216" fillId="15" borderId="0" xfId="3" applyNumberFormat="1" applyFont="1" applyFill="1" applyAlignment="1">
      <alignment horizontal="left" vertical="center"/>
    </xf>
    <xf numFmtId="2" fontId="24" fillId="15" borderId="0" xfId="3" applyNumberFormat="1" applyFont="1" applyFill="1" applyAlignment="1">
      <alignment horizontal="left" vertical="center"/>
    </xf>
    <xf numFmtId="165" fontId="24" fillId="15" borderId="0" xfId="3" applyNumberFormat="1" applyFont="1" applyFill="1" applyAlignment="1">
      <alignment horizontal="left" vertical="center"/>
    </xf>
    <xf numFmtId="167" fontId="13" fillId="3" borderId="45" xfId="3" applyNumberFormat="1" applyFont="1" applyFill="1" applyBorder="1" applyAlignment="1" applyProtection="1">
      <alignment horizontal="center" vertical="center"/>
      <protection locked="0"/>
    </xf>
    <xf numFmtId="167" fontId="13" fillId="3" borderId="37" xfId="3" applyNumberFormat="1" applyFont="1" applyFill="1" applyBorder="1" applyAlignment="1" applyProtection="1">
      <alignment horizontal="center" vertical="center"/>
      <protection locked="0"/>
    </xf>
    <xf numFmtId="167" fontId="13" fillId="0" borderId="37" xfId="3" applyNumberFormat="1" applyFont="1" applyBorder="1" applyAlignment="1">
      <alignment horizontal="center" vertical="center"/>
    </xf>
    <xf numFmtId="187" fontId="20" fillId="0" borderId="0" xfId="25" applyNumberFormat="1" applyFont="1" applyAlignment="1">
      <alignment vertical="center"/>
    </xf>
    <xf numFmtId="9" fontId="40" fillId="15" borderId="0" xfId="3" applyNumberFormat="1" applyFont="1" applyFill="1"/>
    <xf numFmtId="0" fontId="40" fillId="15" borderId="0" xfId="3" applyFont="1" applyFill="1"/>
    <xf numFmtId="0" fontId="40" fillId="0" borderId="48" xfId="3" applyFont="1" applyBorder="1" applyAlignment="1">
      <alignment horizontal="left" vertical="center"/>
    </xf>
    <xf numFmtId="0" fontId="40" fillId="0" borderId="34" xfId="3" applyFont="1" applyBorder="1" applyAlignment="1">
      <alignment vertical="center"/>
    </xf>
    <xf numFmtId="0" fontId="40" fillId="0" borderId="48" xfId="3" applyFont="1" applyBorder="1" applyAlignment="1">
      <alignment vertical="center"/>
    </xf>
    <xf numFmtId="2" fontId="40" fillId="0" borderId="34" xfId="3" applyNumberFormat="1" applyFont="1" applyBorder="1" applyAlignment="1">
      <alignment horizontal="center" vertical="center"/>
    </xf>
    <xf numFmtId="0" fontId="40" fillId="0" borderId="33" xfId="3" applyFont="1" applyBorder="1" applyAlignment="1">
      <alignment vertical="center"/>
    </xf>
    <xf numFmtId="0" fontId="11" fillId="0" borderId="34" xfId="3" applyFont="1" applyBorder="1" applyAlignment="1">
      <alignment vertical="center"/>
    </xf>
    <xf numFmtId="1" fontId="11" fillId="0" borderId="34" xfId="3" applyNumberFormat="1" applyFont="1" applyBorder="1" applyAlignment="1" applyProtection="1">
      <alignment horizontal="center" vertical="center"/>
      <protection locked="0"/>
    </xf>
    <xf numFmtId="0" fontId="141" fillId="0" borderId="0" xfId="3" applyFont="1" applyAlignment="1">
      <alignment vertical="center"/>
    </xf>
    <xf numFmtId="0" fontId="38" fillId="0" borderId="0" xfId="3" applyFont="1" applyAlignment="1">
      <alignment horizontal="right" vertical="center"/>
    </xf>
    <xf numFmtId="167" fontId="40" fillId="60" borderId="0" xfId="3" applyNumberFormat="1" applyFont="1" applyFill="1" applyAlignment="1">
      <alignment horizontal="center" vertical="center"/>
    </xf>
    <xf numFmtId="2" fontId="40" fillId="60" borderId="0" xfId="3" applyNumberFormat="1" applyFont="1" applyFill="1" applyAlignment="1">
      <alignment horizontal="center" vertical="center"/>
    </xf>
    <xf numFmtId="2" fontId="128" fillId="60" borderId="0" xfId="3" applyNumberFormat="1" applyFont="1" applyFill="1" applyAlignment="1">
      <alignment horizontal="center" vertical="center"/>
    </xf>
    <xf numFmtId="2" fontId="128" fillId="60" borderId="0" xfId="3" applyNumberFormat="1" applyFont="1" applyFill="1" applyAlignment="1">
      <alignment horizontal="center"/>
    </xf>
    <xf numFmtId="167" fontId="40" fillId="60" borderId="0" xfId="3" applyNumberFormat="1" applyFont="1" applyFill="1" applyAlignment="1">
      <alignment horizontal="center"/>
    </xf>
    <xf numFmtId="2" fontId="40" fillId="60" borderId="0" xfId="3" applyNumberFormat="1" applyFont="1" applyFill="1" applyAlignment="1">
      <alignment horizontal="center"/>
    </xf>
    <xf numFmtId="0" fontId="172" fillId="0" borderId="27" xfId="19" applyFont="1" applyBorder="1" applyAlignment="1">
      <alignment vertical="center"/>
    </xf>
    <xf numFmtId="0" fontId="29" fillId="0" borderId="29" xfId="19" applyFont="1" applyBorder="1" applyAlignment="1">
      <alignment vertical="center"/>
    </xf>
    <xf numFmtId="0" fontId="13" fillId="0" borderId="0" xfId="3" applyFont="1" applyAlignment="1">
      <alignment horizontal="left" vertical="top"/>
    </xf>
    <xf numFmtId="0" fontId="13" fillId="0" borderId="0" xfId="3" applyFont="1" applyAlignment="1" applyProtection="1">
      <alignment horizontal="left" vertical="center"/>
      <protection locked="0"/>
    </xf>
    <xf numFmtId="167" fontId="13" fillId="0" borderId="0" xfId="3" applyNumberFormat="1" applyFont="1" applyAlignment="1" applyProtection="1">
      <alignment horizontal="left" vertical="center"/>
      <protection locked="0"/>
    </xf>
    <xf numFmtId="0" fontId="216" fillId="0" borderId="0" xfId="3" applyFont="1" applyAlignment="1">
      <alignment horizontal="right" vertical="top"/>
    </xf>
    <xf numFmtId="166" fontId="13" fillId="0" borderId="0" xfId="3" applyNumberFormat="1" applyFont="1" applyAlignment="1">
      <alignment horizontal="left" vertical="center"/>
    </xf>
    <xf numFmtId="0" fontId="11" fillId="0" borderId="126" xfId="20" applyFont="1" applyBorder="1" applyAlignment="1">
      <alignment vertical="center"/>
    </xf>
    <xf numFmtId="0" fontId="11" fillId="0" borderId="13" xfId="20" applyFont="1" applyBorder="1" applyAlignment="1">
      <alignment vertical="center"/>
    </xf>
    <xf numFmtId="0" fontId="11" fillId="0" borderId="21" xfId="20" applyFont="1" applyBorder="1" applyAlignment="1">
      <alignment vertical="center"/>
    </xf>
    <xf numFmtId="0" fontId="145" fillId="0" borderId="15" xfId="20" applyFont="1" applyBorder="1" applyAlignment="1">
      <alignment vertical="center"/>
    </xf>
    <xf numFmtId="0" fontId="145" fillId="0" borderId="26" xfId="20" applyFont="1" applyBorder="1" applyAlignment="1">
      <alignment vertical="center"/>
    </xf>
    <xf numFmtId="0" fontId="11" fillId="0" borderId="0" xfId="20" applyFont="1" applyAlignment="1">
      <alignment vertical="center"/>
    </xf>
    <xf numFmtId="0" fontId="10" fillId="0" borderId="30" xfId="3" applyFont="1" applyBorder="1"/>
    <xf numFmtId="0" fontId="145" fillId="0" borderId="26" xfId="0" applyFont="1" applyBorder="1" applyAlignment="1">
      <alignment horizontal="center" vertical="center"/>
    </xf>
    <xf numFmtId="0" fontId="145" fillId="0" borderId="27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12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187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/>
    </xf>
    <xf numFmtId="0" fontId="20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175" fontId="13" fillId="0" borderId="0" xfId="0" applyNumberFormat="1" applyFont="1" applyAlignment="1">
      <alignment horizontal="left" vertical="center"/>
    </xf>
    <xf numFmtId="0" fontId="11" fillId="0" borderId="11" xfId="11" applyFont="1" applyBorder="1" applyAlignment="1">
      <alignment horizontal="center" vertical="center"/>
    </xf>
    <xf numFmtId="0" fontId="11" fillId="0" borderId="15" xfId="11" applyFont="1" applyBorder="1" applyAlignment="1">
      <alignment vertical="center"/>
    </xf>
    <xf numFmtId="0" fontId="11" fillId="0" borderId="26" xfId="11" applyFont="1" applyBorder="1" applyAlignment="1">
      <alignment vertical="center"/>
    </xf>
    <xf numFmtId="0" fontId="11" fillId="0" borderId="27" xfId="11" applyFont="1" applyBorder="1" applyAlignment="1">
      <alignment vertical="center"/>
    </xf>
    <xf numFmtId="0" fontId="11" fillId="0" borderId="14" xfId="11" applyFont="1" applyBorder="1" applyAlignment="1">
      <alignment horizontal="center" vertical="center"/>
    </xf>
    <xf numFmtId="0" fontId="11" fillId="0" borderId="12" xfId="11" applyFont="1" applyBorder="1" applyAlignment="1">
      <alignment horizontal="center" vertical="center"/>
    </xf>
    <xf numFmtId="0" fontId="10" fillId="0" borderId="14" xfId="11" applyFont="1" applyBorder="1" applyAlignment="1">
      <alignment horizontal="center" vertical="center"/>
    </xf>
    <xf numFmtId="0" fontId="10" fillId="0" borderId="12" xfId="11" applyFont="1" applyBorder="1" applyAlignment="1">
      <alignment horizontal="center" vertical="center"/>
    </xf>
    <xf numFmtId="0" fontId="108" fillId="0" borderId="13" xfId="11" applyFont="1" applyBorder="1" applyAlignment="1">
      <alignment vertical="center"/>
    </xf>
    <xf numFmtId="0" fontId="19" fillId="0" borderId="21" xfId="11" applyFont="1" applyBorder="1" applyAlignment="1">
      <alignment vertical="center"/>
    </xf>
    <xf numFmtId="0" fontId="19" fillId="0" borderId="29" xfId="11" applyFont="1" applyBorder="1" applyAlignment="1">
      <alignment vertical="center"/>
    </xf>
    <xf numFmtId="0" fontId="11" fillId="0" borderId="16" xfId="11" applyFont="1" applyBorder="1" applyAlignment="1">
      <alignment vertical="center"/>
    </xf>
    <xf numFmtId="0" fontId="11" fillId="0" borderId="0" xfId="11" applyFont="1" applyAlignment="1">
      <alignment vertical="center"/>
    </xf>
    <xf numFmtId="0" fontId="11" fillId="0" borderId="28" xfId="11" applyFont="1" applyBorder="1" applyAlignment="1">
      <alignment vertical="center"/>
    </xf>
    <xf numFmtId="0" fontId="11" fillId="0" borderId="14" xfId="11" applyFont="1" applyBorder="1" applyAlignment="1">
      <alignment horizontal="center" vertical="center" wrapText="1"/>
    </xf>
    <xf numFmtId="0" fontId="50" fillId="0" borderId="14" xfId="11" applyFont="1" applyBorder="1" applyAlignment="1">
      <alignment horizontal="center" vertical="center"/>
    </xf>
    <xf numFmtId="0" fontId="50" fillId="0" borderId="12" xfId="11" applyFont="1" applyBorder="1" applyAlignment="1">
      <alignment horizontal="center" vertical="center"/>
    </xf>
    <xf numFmtId="0" fontId="111" fillId="0" borderId="14" xfId="11" applyFont="1" applyBorder="1" applyAlignment="1">
      <alignment horizontal="center" vertical="top"/>
    </xf>
    <xf numFmtId="0" fontId="111" fillId="0" borderId="12" xfId="11" applyFont="1" applyBorder="1" applyAlignment="1">
      <alignment horizontal="center" vertical="top"/>
    </xf>
    <xf numFmtId="0" fontId="16" fillId="0" borderId="11" xfId="11" applyFont="1" applyBorder="1" applyAlignment="1">
      <alignment horizontal="center" vertical="center"/>
    </xf>
    <xf numFmtId="0" fontId="16" fillId="0" borderId="30" xfId="11" applyFont="1" applyBorder="1" applyAlignment="1">
      <alignment horizontal="center" vertical="center"/>
    </xf>
    <xf numFmtId="0" fontId="16" fillId="0" borderId="7" xfId="11" applyFont="1" applyBorder="1" applyAlignment="1">
      <alignment horizontal="center" vertical="center"/>
    </xf>
    <xf numFmtId="0" fontId="11" fillId="0" borderId="15" xfId="11" applyFont="1" applyBorder="1" applyAlignment="1">
      <alignment horizontal="center" vertical="center"/>
    </xf>
    <xf numFmtId="0" fontId="11" fillId="0" borderId="27" xfId="11" applyFont="1" applyBorder="1" applyAlignment="1">
      <alignment horizontal="center" vertical="center"/>
    </xf>
    <xf numFmtId="0" fontId="11" fillId="0" borderId="13" xfId="11" applyFont="1" applyBorder="1" applyAlignment="1">
      <alignment horizontal="center" vertical="center"/>
    </xf>
    <xf numFmtId="0" fontId="11" fillId="0" borderId="29" xfId="11" applyFont="1" applyBorder="1" applyAlignment="1">
      <alignment horizontal="center" vertical="center"/>
    </xf>
    <xf numFmtId="175" fontId="51" fillId="0" borderId="0" xfId="11" applyNumberFormat="1" applyFont="1" applyAlignment="1">
      <alignment vertical="center"/>
    </xf>
    <xf numFmtId="0" fontId="147" fillId="0" borderId="0" xfId="11" applyFont="1" applyAlignment="1">
      <alignment horizontal="center" vertical="center"/>
    </xf>
    <xf numFmtId="0" fontId="13" fillId="0" borderId="0" xfId="11" applyFont="1" applyAlignment="1">
      <alignment horizontal="center" vertical="center"/>
    </xf>
    <xf numFmtId="0" fontId="20" fillId="0" borderId="0" xfId="11" applyFont="1" applyAlignment="1">
      <alignment horizontal="center" vertical="center"/>
    </xf>
    <xf numFmtId="0" fontId="11" fillId="0" borderId="0" xfId="11" applyFont="1" applyAlignment="1">
      <alignment horizontal="center" vertical="top"/>
    </xf>
    <xf numFmtId="0" fontId="19" fillId="0" borderId="15" xfId="11" applyFont="1" applyBorder="1" applyAlignment="1">
      <alignment vertical="center"/>
    </xf>
    <xf numFmtId="0" fontId="19" fillId="0" borderId="26" xfId="11" applyFont="1" applyBorder="1" applyAlignment="1">
      <alignment vertical="center"/>
    </xf>
    <xf numFmtId="0" fontId="19" fillId="0" borderId="27" xfId="11" applyFont="1" applyBorder="1" applyAlignment="1">
      <alignment vertical="center"/>
    </xf>
    <xf numFmtId="0" fontId="11" fillId="0" borderId="6" xfId="11" applyFont="1" applyBorder="1" applyAlignment="1">
      <alignment horizontal="center" vertical="center"/>
    </xf>
    <xf numFmtId="0" fontId="108" fillId="0" borderId="21" xfId="11" applyFont="1" applyBorder="1" applyAlignment="1">
      <alignment vertical="center"/>
    </xf>
    <xf numFmtId="0" fontId="108" fillId="0" borderId="29" xfId="11" applyFont="1" applyBorder="1" applyAlignment="1">
      <alignment vertical="center"/>
    </xf>
    <xf numFmtId="0" fontId="59" fillId="0" borderId="0" xfId="11" applyFont="1" applyAlignment="1">
      <alignment horizontal="left" vertical="top"/>
    </xf>
    <xf numFmtId="175" fontId="11" fillId="0" borderId="0" xfId="11" applyNumberFormat="1" applyFont="1" applyAlignment="1">
      <alignment horizontal="left" vertical="top"/>
    </xf>
    <xf numFmtId="0" fontId="105" fillId="0" borderId="0" xfId="11" applyFont="1" applyAlignment="1">
      <alignment horizontal="center"/>
    </xf>
    <xf numFmtId="0" fontId="19" fillId="0" borderId="6" xfId="11" applyFont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11" fontId="11" fillId="0" borderId="15" xfId="11" applyNumberFormat="1" applyFont="1" applyBorder="1" applyAlignment="1">
      <alignment horizontal="center" vertical="center"/>
    </xf>
    <xf numFmtId="11" fontId="11" fillId="0" borderId="26" xfId="11" applyNumberFormat="1" applyFont="1" applyBorder="1" applyAlignment="1">
      <alignment horizontal="center" vertical="center"/>
    </xf>
    <xf numFmtId="11" fontId="11" fillId="0" borderId="13" xfId="11" applyNumberFormat="1" applyFont="1" applyBorder="1" applyAlignment="1">
      <alignment horizontal="center" vertical="center"/>
    </xf>
    <xf numFmtId="11" fontId="11" fillId="0" borderId="21" xfId="11" applyNumberFormat="1" applyFont="1" applyBorder="1" applyAlignment="1">
      <alignment horizontal="center" vertical="center"/>
    </xf>
    <xf numFmtId="167" fontId="11" fillId="0" borderId="15" xfId="11" applyNumberFormat="1" applyFont="1" applyBorder="1" applyAlignment="1">
      <alignment horizontal="center" vertical="center"/>
    </xf>
    <xf numFmtId="167" fontId="11" fillId="0" borderId="26" xfId="11" applyNumberFormat="1" applyFont="1" applyBorder="1" applyAlignment="1">
      <alignment horizontal="center" vertical="center"/>
    </xf>
    <xf numFmtId="167" fontId="11" fillId="0" borderId="13" xfId="11" applyNumberFormat="1" applyFont="1" applyBorder="1" applyAlignment="1">
      <alignment horizontal="center" vertical="center"/>
    </xf>
    <xf numFmtId="167" fontId="11" fillId="0" borderId="21" xfId="11" applyNumberFormat="1" applyFont="1" applyBorder="1" applyAlignment="1">
      <alignment horizontal="center" vertical="center"/>
    </xf>
    <xf numFmtId="2" fontId="11" fillId="0" borderId="15" xfId="11" applyNumberFormat="1" applyFont="1" applyBorder="1" applyAlignment="1">
      <alignment horizontal="center" vertical="center"/>
    </xf>
    <xf numFmtId="2" fontId="11" fillId="0" borderId="26" xfId="11" applyNumberFormat="1" applyFont="1" applyBorder="1" applyAlignment="1">
      <alignment horizontal="center" vertical="center"/>
    </xf>
    <xf numFmtId="2" fontId="11" fillId="0" borderId="13" xfId="11" applyNumberFormat="1" applyFont="1" applyBorder="1" applyAlignment="1">
      <alignment horizontal="center" vertical="center"/>
    </xf>
    <xf numFmtId="2" fontId="11" fillId="0" borderId="21" xfId="11" applyNumberFormat="1" applyFont="1" applyBorder="1" applyAlignment="1">
      <alignment horizontal="center" vertical="center"/>
    </xf>
    <xf numFmtId="0" fontId="109" fillId="0" borderId="15" xfId="11" applyFont="1" applyBorder="1" applyAlignment="1">
      <alignment horizontal="center" vertical="center"/>
    </xf>
    <xf numFmtId="0" fontId="109" fillId="0" borderId="27" xfId="11" applyFont="1" applyBorder="1" applyAlignment="1">
      <alignment horizontal="center" vertical="center"/>
    </xf>
    <xf numFmtId="0" fontId="109" fillId="0" borderId="13" xfId="11" applyFont="1" applyBorder="1" applyAlignment="1">
      <alignment horizontal="center" vertical="center"/>
    </xf>
    <xf numFmtId="0" fontId="109" fillId="0" borderId="29" xfId="11" applyFont="1" applyBorder="1" applyAlignment="1">
      <alignment horizontal="center" vertical="center"/>
    </xf>
    <xf numFmtId="0" fontId="110" fillId="0" borderId="0" xfId="11" applyFont="1" applyAlignment="1">
      <alignment horizontal="center" vertical="center"/>
    </xf>
    <xf numFmtId="176" fontId="11" fillId="0" borderId="0" xfId="11" applyNumberFormat="1" applyFont="1" applyAlignment="1">
      <alignment horizontal="center"/>
    </xf>
    <xf numFmtId="0" fontId="136" fillId="0" borderId="14" xfId="11" applyFont="1" applyBorder="1" applyAlignment="1">
      <alignment horizontal="center" vertical="center"/>
    </xf>
    <xf numFmtId="0" fontId="136" fillId="0" borderId="12" xfId="11" applyFont="1" applyBorder="1" applyAlignment="1">
      <alignment horizontal="center" vertical="center"/>
    </xf>
    <xf numFmtId="0" fontId="11" fillId="0" borderId="9" xfId="11" applyFont="1" applyBorder="1" applyAlignment="1">
      <alignment horizontal="center" vertical="center"/>
    </xf>
    <xf numFmtId="0" fontId="19" fillId="0" borderId="0" xfId="11" applyFont="1" applyAlignment="1">
      <alignment horizontal="center" vertical="top"/>
    </xf>
    <xf numFmtId="0" fontId="16" fillId="0" borderId="6" xfId="11" applyFont="1" applyBorder="1" applyAlignment="1">
      <alignment horizontal="center" vertical="center"/>
    </xf>
    <xf numFmtId="0" fontId="16" fillId="0" borderId="15" xfId="11" applyFont="1" applyBorder="1" applyAlignment="1">
      <alignment horizontal="center" vertical="center"/>
    </xf>
    <xf numFmtId="0" fontId="16" fillId="0" borderId="26" xfId="11" applyFont="1" applyBorder="1" applyAlignment="1">
      <alignment horizontal="center" vertical="center"/>
    </xf>
    <xf numFmtId="0" fontId="16" fillId="0" borderId="27" xfId="11" applyFont="1" applyBorder="1" applyAlignment="1">
      <alignment horizontal="center" vertical="center"/>
    </xf>
    <xf numFmtId="0" fontId="16" fillId="0" borderId="13" xfId="11" applyFont="1" applyBorder="1" applyAlignment="1">
      <alignment horizontal="center" vertical="center"/>
    </xf>
    <xf numFmtId="0" fontId="16" fillId="0" borderId="21" xfId="11" applyFont="1" applyBorder="1" applyAlignment="1">
      <alignment horizontal="center" vertical="center"/>
    </xf>
    <xf numFmtId="0" fontId="16" fillId="0" borderId="29" xfId="11" applyFont="1" applyBorder="1" applyAlignment="1">
      <alignment horizontal="center" vertical="center"/>
    </xf>
    <xf numFmtId="0" fontId="16" fillId="0" borderId="14" xfId="11" applyFont="1" applyBorder="1" applyAlignment="1">
      <alignment horizontal="center" vertical="center"/>
    </xf>
    <xf numFmtId="0" fontId="16" fillId="0" borderId="12" xfId="11" applyFont="1" applyBorder="1" applyAlignment="1">
      <alignment horizontal="center" vertical="center"/>
    </xf>
    <xf numFmtId="0" fontId="11" fillId="0" borderId="7" xfId="11" applyFont="1" applyBorder="1" applyAlignment="1">
      <alignment horizontal="center" vertical="center"/>
    </xf>
    <xf numFmtId="0" fontId="40" fillId="0" borderId="0" xfId="11" applyFont="1" applyAlignment="1">
      <alignment horizontal="left" vertical="top" wrapText="1"/>
    </xf>
    <xf numFmtId="0" fontId="16" fillId="0" borderId="0" xfId="11" applyFont="1" applyAlignment="1">
      <alignment horizontal="left" vertical="top" wrapText="1"/>
    </xf>
    <xf numFmtId="0" fontId="11" fillId="0" borderId="0" xfId="11" applyFont="1" applyAlignment="1">
      <alignment horizontal="left" vertical="top" wrapText="1"/>
    </xf>
    <xf numFmtId="175" fontId="40" fillId="0" borderId="0" xfId="11" applyNumberFormat="1" applyFont="1" applyAlignment="1">
      <alignment horizontal="left" vertical="top"/>
    </xf>
    <xf numFmtId="176" fontId="11" fillId="0" borderId="0" xfId="11" applyNumberFormat="1" applyFont="1" applyAlignment="1">
      <alignment horizontal="left" vertical="top"/>
    </xf>
    <xf numFmtId="0" fontId="108" fillId="0" borderId="16" xfId="11" applyFont="1" applyBorder="1" applyAlignment="1">
      <alignment vertical="center"/>
    </xf>
    <xf numFmtId="0" fontId="19" fillId="0" borderId="0" xfId="11" applyFont="1" applyAlignment="1">
      <alignment vertical="center"/>
    </xf>
    <xf numFmtId="0" fontId="19" fillId="0" borderId="28" xfId="11" applyFont="1" applyBorder="1" applyAlignment="1">
      <alignment vertical="center"/>
    </xf>
    <xf numFmtId="0" fontId="11" fillId="0" borderId="30" xfId="11" applyFont="1" applyBorder="1" applyAlignment="1">
      <alignment horizontal="center" vertical="center"/>
    </xf>
    <xf numFmtId="0" fontId="11" fillId="0" borderId="11" xfId="24" applyFont="1" applyBorder="1" applyAlignment="1">
      <alignment horizontal="center" vertical="center"/>
    </xf>
    <xf numFmtId="0" fontId="11" fillId="0" borderId="15" xfId="24" applyFont="1" applyBorder="1" applyAlignment="1">
      <alignment vertical="center"/>
    </xf>
    <xf numFmtId="0" fontId="11" fillId="0" borderId="26" xfId="24" applyFont="1" applyBorder="1" applyAlignment="1">
      <alignment vertical="center"/>
    </xf>
    <xf numFmtId="0" fontId="11" fillId="0" borderId="27" xfId="24" applyFont="1" applyBorder="1" applyAlignment="1">
      <alignment vertical="center"/>
    </xf>
    <xf numFmtId="0" fontId="11" fillId="0" borderId="14" xfId="24" applyFont="1" applyBorder="1" applyAlignment="1">
      <alignment horizontal="center" vertical="center" wrapText="1"/>
    </xf>
    <xf numFmtId="0" fontId="11" fillId="0" borderId="12" xfId="24" applyFont="1" applyBorder="1" applyAlignment="1">
      <alignment horizontal="center" vertical="center"/>
    </xf>
    <xf numFmtId="0" fontId="11" fillId="0" borderId="14" xfId="24" applyFont="1" applyBorder="1" applyAlignment="1">
      <alignment horizontal="center" vertical="center"/>
    </xf>
    <xf numFmtId="0" fontId="108" fillId="0" borderId="13" xfId="24" applyFont="1" applyBorder="1" applyAlignment="1">
      <alignment vertical="center"/>
    </xf>
    <xf numFmtId="0" fontId="19" fillId="0" borderId="21" xfId="24" applyFont="1" applyBorder="1" applyAlignment="1">
      <alignment vertical="center"/>
    </xf>
    <xf numFmtId="0" fontId="19" fillId="0" borderId="29" xfId="24" applyFont="1" applyBorder="1" applyAlignment="1">
      <alignment vertical="center"/>
    </xf>
    <xf numFmtId="0" fontId="111" fillId="0" borderId="14" xfId="24" applyFont="1" applyBorder="1" applyAlignment="1">
      <alignment horizontal="center" vertical="top"/>
    </xf>
    <xf numFmtId="0" fontId="111" fillId="0" borderId="12" xfId="24" applyFont="1" applyBorder="1" applyAlignment="1">
      <alignment horizontal="center" vertical="top"/>
    </xf>
    <xf numFmtId="167" fontId="11" fillId="0" borderId="6" xfId="24" applyNumberFormat="1" applyFont="1" applyBorder="1" applyAlignment="1">
      <alignment horizontal="center" vertical="center"/>
    </xf>
    <xf numFmtId="0" fontId="11" fillId="0" borderId="126" xfId="24" applyFont="1" applyBorder="1" applyAlignment="1">
      <alignment vertical="center"/>
    </xf>
    <xf numFmtId="0" fontId="11" fillId="0" borderId="0" xfId="24" applyFont="1" applyAlignment="1">
      <alignment vertical="center"/>
    </xf>
    <xf numFmtId="0" fontId="11" fillId="0" borderId="28" xfId="24" applyFont="1" applyBorder="1" applyAlignment="1">
      <alignment vertical="center"/>
    </xf>
    <xf numFmtId="0" fontId="11" fillId="0" borderId="15" xfId="24" applyFont="1" applyBorder="1" applyAlignment="1">
      <alignment horizontal="center" vertical="center"/>
    </xf>
    <xf numFmtId="0" fontId="11" fillId="0" borderId="27" xfId="24" applyFont="1" applyBorder="1" applyAlignment="1">
      <alignment horizontal="center" vertical="center"/>
    </xf>
    <xf numFmtId="0" fontId="11" fillId="0" borderId="13" xfId="24" applyFont="1" applyBorder="1" applyAlignment="1">
      <alignment horizontal="center" vertical="center"/>
    </xf>
    <xf numFmtId="0" fontId="11" fillId="0" borderId="29" xfId="24" applyFont="1" applyBorder="1" applyAlignment="1">
      <alignment horizontal="center" vertical="center"/>
    </xf>
    <xf numFmtId="0" fontId="109" fillId="0" borderId="15" xfId="24" applyFont="1" applyBorder="1" applyAlignment="1">
      <alignment horizontal="center" vertical="center"/>
    </xf>
    <xf numFmtId="0" fontId="109" fillId="0" borderId="27" xfId="24" applyFont="1" applyBorder="1" applyAlignment="1">
      <alignment horizontal="center" vertical="center"/>
    </xf>
    <xf numFmtId="0" fontId="109" fillId="0" borderId="13" xfId="24" applyFont="1" applyBorder="1" applyAlignment="1">
      <alignment horizontal="center" vertical="center"/>
    </xf>
    <xf numFmtId="0" fontId="109" fillId="0" borderId="29" xfId="24" applyFont="1" applyBorder="1" applyAlignment="1">
      <alignment horizontal="center" vertical="center"/>
    </xf>
    <xf numFmtId="0" fontId="11" fillId="0" borderId="6" xfId="24" applyFont="1" applyBorder="1" applyAlignment="1">
      <alignment horizontal="center" vertical="center"/>
    </xf>
    <xf numFmtId="0" fontId="109" fillId="0" borderId="6" xfId="24" applyFont="1" applyBorder="1" applyAlignment="1">
      <alignment horizontal="center" vertical="center"/>
    </xf>
    <xf numFmtId="0" fontId="141" fillId="0" borderId="79" xfId="3" applyFont="1" applyBorder="1" applyAlignment="1">
      <alignment horizontal="center"/>
    </xf>
    <xf numFmtId="0" fontId="141" fillId="0" borderId="81" xfId="3" applyFont="1" applyBorder="1" applyAlignment="1">
      <alignment horizontal="center"/>
    </xf>
    <xf numFmtId="174" fontId="124" fillId="0" borderId="0" xfId="3" applyNumberFormat="1" applyFont="1" applyAlignment="1">
      <alignment horizontal="left"/>
    </xf>
    <xf numFmtId="0" fontId="141" fillId="0" borderId="78" xfId="3" applyFont="1" applyBorder="1" applyAlignment="1">
      <alignment horizontal="center"/>
    </xf>
    <xf numFmtId="0" fontId="141" fillId="0" borderId="80" xfId="3" applyFont="1" applyBorder="1" applyAlignment="1">
      <alignment horizontal="center"/>
    </xf>
    <xf numFmtId="0" fontId="141" fillId="0" borderId="10" xfId="3" applyFont="1" applyBorder="1" applyAlignment="1">
      <alignment horizontal="center"/>
    </xf>
    <xf numFmtId="0" fontId="141" fillId="0" borderId="9" xfId="3" applyFont="1" applyBorder="1" applyAlignment="1">
      <alignment horizontal="center"/>
    </xf>
    <xf numFmtId="167" fontId="73" fillId="0" borderId="46" xfId="8" applyNumberFormat="1" applyFont="1" applyBorder="1" applyAlignment="1">
      <alignment horizontal="center"/>
    </xf>
    <xf numFmtId="167" fontId="73" fillId="0" borderId="31" xfId="8" applyNumberFormat="1" applyFont="1" applyBorder="1" applyAlignment="1">
      <alignment horizontal="center"/>
    </xf>
    <xf numFmtId="167" fontId="73" fillId="6" borderId="46" xfId="8" applyNumberFormat="1" applyFont="1" applyFill="1" applyBorder="1" applyAlignment="1">
      <alignment horizontal="center"/>
    </xf>
    <xf numFmtId="167" fontId="73" fillId="6" borderId="31" xfId="8" applyNumberFormat="1" applyFont="1" applyFill="1" applyBorder="1" applyAlignment="1">
      <alignment horizontal="center"/>
    </xf>
    <xf numFmtId="2" fontId="73" fillId="0" borderId="46" xfId="8" applyNumberFormat="1" applyFont="1" applyBorder="1" applyAlignment="1">
      <alignment horizontal="center"/>
    </xf>
    <xf numFmtId="2" fontId="73" fillId="0" borderId="31" xfId="8" applyNumberFormat="1" applyFont="1" applyBorder="1" applyAlignment="1">
      <alignment horizontal="center"/>
    </xf>
    <xf numFmtId="2" fontId="73" fillId="6" borderId="46" xfId="8" applyNumberFormat="1" applyFont="1" applyFill="1" applyBorder="1" applyAlignment="1">
      <alignment horizontal="center"/>
    </xf>
    <xf numFmtId="2" fontId="73" fillId="6" borderId="31" xfId="8" applyNumberFormat="1" applyFont="1" applyFill="1" applyBorder="1" applyAlignment="1">
      <alignment horizontal="center"/>
    </xf>
    <xf numFmtId="0" fontId="66" fillId="0" borderId="15" xfId="2" applyFont="1" applyBorder="1" applyAlignment="1">
      <alignment horizontal="left" vertical="center"/>
    </xf>
    <xf numFmtId="0" fontId="66" fillId="0" borderId="26" xfId="2" applyFont="1" applyBorder="1" applyAlignment="1">
      <alignment horizontal="left" vertical="center"/>
    </xf>
    <xf numFmtId="0" fontId="66" fillId="0" borderId="54" xfId="2" applyFont="1" applyBorder="1" applyAlignment="1">
      <alignment horizontal="left" vertical="center"/>
    </xf>
    <xf numFmtId="0" fontId="66" fillId="0" borderId="13" xfId="2" applyFont="1" applyBorder="1" applyAlignment="1">
      <alignment horizontal="left" vertical="center"/>
    </xf>
    <xf numFmtId="0" fontId="66" fillId="0" borderId="21" xfId="2" applyFont="1" applyBorder="1" applyAlignment="1">
      <alignment horizontal="left" vertical="center"/>
    </xf>
    <xf numFmtId="0" fontId="66" fillId="0" borderId="58" xfId="2" applyFont="1" applyBorder="1" applyAlignment="1">
      <alignment horizontal="left" vertical="center"/>
    </xf>
    <xf numFmtId="0" fontId="73" fillId="0" borderId="15" xfId="2" applyFont="1" applyBorder="1" applyAlignment="1" applyProtection="1">
      <alignment horizontal="center" vertical="center" wrapText="1"/>
      <protection locked="0"/>
    </xf>
    <xf numFmtId="0" fontId="73" fillId="0" borderId="27" xfId="2" applyFont="1" applyBorder="1" applyAlignment="1" applyProtection="1">
      <alignment horizontal="center" vertical="center" wrapText="1"/>
      <protection locked="0"/>
    </xf>
    <xf numFmtId="0" fontId="73" fillId="0" borderId="13" xfId="2" applyFont="1" applyBorder="1" applyAlignment="1" applyProtection="1">
      <alignment horizontal="center" vertical="center" wrapText="1"/>
      <protection locked="0"/>
    </xf>
    <xf numFmtId="0" fontId="73" fillId="0" borderId="29" xfId="2" applyFont="1" applyBorder="1" applyAlignment="1" applyProtection="1">
      <alignment horizontal="center" vertical="center" wrapText="1"/>
      <protection locked="0"/>
    </xf>
    <xf numFmtId="0" fontId="66" fillId="0" borderId="15" xfId="2" applyFont="1" applyBorder="1" applyAlignment="1" applyProtection="1">
      <alignment horizontal="center" vertical="center" wrapText="1"/>
      <protection locked="0"/>
    </xf>
    <xf numFmtId="0" fontId="66" fillId="0" borderId="27" xfId="2" applyFont="1" applyBorder="1" applyAlignment="1" applyProtection="1">
      <alignment horizontal="center" vertical="center" wrapText="1"/>
      <protection locked="0"/>
    </xf>
    <xf numFmtId="0" fontId="66" fillId="0" borderId="13" xfId="2" applyFont="1" applyBorder="1" applyAlignment="1" applyProtection="1">
      <alignment horizontal="center" vertical="center" wrapText="1"/>
      <protection locked="0"/>
    </xf>
    <xf numFmtId="0" fontId="66" fillId="0" borderId="29" xfId="2" applyFont="1" applyBorder="1" applyAlignment="1" applyProtection="1">
      <alignment horizontal="center" vertical="center" wrapText="1"/>
      <protection locked="0"/>
    </xf>
    <xf numFmtId="0" fontId="66" fillId="6" borderId="15" xfId="2" applyFont="1" applyFill="1" applyBorder="1" applyAlignment="1" applyProtection="1">
      <alignment horizontal="center" vertical="center" wrapText="1"/>
      <protection locked="0"/>
    </xf>
    <xf numFmtId="0" fontId="66" fillId="6" borderId="27" xfId="2" applyFont="1" applyFill="1" applyBorder="1" applyAlignment="1" applyProtection="1">
      <alignment horizontal="center" vertical="center" wrapText="1"/>
      <protection locked="0"/>
    </xf>
    <xf numFmtId="0" fontId="66" fillId="6" borderId="13" xfId="2" applyFont="1" applyFill="1" applyBorder="1" applyAlignment="1" applyProtection="1">
      <alignment horizontal="center" vertical="center" wrapText="1"/>
      <protection locked="0"/>
    </xf>
    <xf numFmtId="0" fontId="66" fillId="6" borderId="29" xfId="2" applyFont="1" applyFill="1" applyBorder="1" applyAlignment="1" applyProtection="1">
      <alignment horizontal="center" vertical="center" wrapText="1"/>
      <protection locked="0"/>
    </xf>
    <xf numFmtId="0" fontId="66" fillId="0" borderId="40" xfId="2" applyFont="1" applyBorder="1" applyAlignment="1" applyProtection="1">
      <alignment horizontal="center" vertical="center" wrapText="1"/>
      <protection locked="0"/>
    </xf>
    <xf numFmtId="0" fontId="66" fillId="0" borderId="35" xfId="2" applyFont="1" applyBorder="1" applyAlignment="1" applyProtection="1">
      <alignment horizontal="center" vertical="center" wrapText="1"/>
      <protection locked="0"/>
    </xf>
    <xf numFmtId="0" fontId="66" fillId="6" borderId="40" xfId="2" applyFont="1" applyFill="1" applyBorder="1" applyAlignment="1" applyProtection="1">
      <alignment horizontal="center" vertical="center" wrapText="1"/>
      <protection locked="0"/>
    </xf>
    <xf numFmtId="0" fontId="66" fillId="6" borderId="35" xfId="2" applyFont="1" applyFill="1" applyBorder="1" applyAlignment="1" applyProtection="1">
      <alignment horizontal="center" vertical="center" wrapText="1"/>
      <protection locked="0"/>
    </xf>
    <xf numFmtId="0" fontId="66" fillId="6" borderId="41" xfId="2" applyFont="1" applyFill="1" applyBorder="1" applyAlignment="1">
      <alignment horizontal="center"/>
    </xf>
    <xf numFmtId="0" fontId="66" fillId="6" borderId="43" xfId="2" applyFont="1" applyFill="1" applyBorder="1" applyAlignment="1">
      <alignment horizontal="center"/>
    </xf>
    <xf numFmtId="187" fontId="66" fillId="6" borderId="6" xfId="2" applyNumberFormat="1" applyFont="1" applyFill="1" applyBorder="1" applyAlignment="1">
      <alignment horizontal="left"/>
    </xf>
    <xf numFmtId="0" fontId="101" fillId="0" borderId="6" xfId="2" applyFont="1" applyBorder="1" applyAlignment="1" applyProtection="1">
      <alignment horizontal="left" vertical="center"/>
      <protection locked="0"/>
    </xf>
    <xf numFmtId="0" fontId="66" fillId="0" borderId="6" xfId="2" applyFont="1" applyBorder="1" applyAlignment="1">
      <alignment vertical="center"/>
    </xf>
    <xf numFmtId="0" fontId="66" fillId="0" borderId="11" xfId="8" applyFont="1" applyBorder="1" applyAlignment="1" applyProtection="1">
      <alignment horizontal="left"/>
      <protection locked="0"/>
    </xf>
    <xf numFmtId="0" fontId="66" fillId="0" borderId="30" xfId="8" applyFont="1" applyBorder="1" applyAlignment="1" applyProtection="1">
      <alignment horizontal="left"/>
      <protection locked="0"/>
    </xf>
    <xf numFmtId="0" fontId="66" fillId="0" borderId="41" xfId="2" applyFont="1" applyBorder="1"/>
    <xf numFmtId="0" fontId="66" fillId="0" borderId="44" xfId="2" applyFont="1" applyBorder="1"/>
    <xf numFmtId="0" fontId="66" fillId="0" borderId="70" xfId="2" applyFont="1" applyBorder="1"/>
    <xf numFmtId="0" fontId="66" fillId="0" borderId="41" xfId="2" applyFont="1" applyBorder="1" applyAlignment="1">
      <alignment horizontal="center"/>
    </xf>
    <xf numFmtId="0" fontId="66" fillId="0" borderId="43" xfId="2" applyFont="1" applyBorder="1" applyAlignment="1">
      <alignment horizontal="center"/>
    </xf>
    <xf numFmtId="0" fontId="35" fillId="0" borderId="10" xfId="2" applyFont="1" applyBorder="1" applyAlignment="1">
      <alignment horizontal="left" vertical="center" wrapText="1"/>
    </xf>
    <xf numFmtId="0" fontId="35" fillId="0" borderId="12" xfId="2" applyFont="1" applyBorder="1" applyAlignment="1">
      <alignment horizontal="left" vertical="center" wrapText="1"/>
    </xf>
    <xf numFmtId="0" fontId="27" fillId="0" borderId="18" xfId="2" applyFont="1" applyBorder="1" applyAlignment="1" applyProtection="1">
      <alignment horizontal="center" vertical="center" wrapText="1"/>
      <protection locked="0"/>
    </xf>
    <xf numFmtId="0" fontId="27" fillId="0" borderId="24" xfId="2" applyFont="1" applyBorder="1" applyAlignment="1" applyProtection="1">
      <alignment horizontal="center" vertical="center" wrapText="1"/>
      <protection locked="0"/>
    </xf>
    <xf numFmtId="0" fontId="27" fillId="0" borderId="23" xfId="2" applyFont="1" applyBorder="1" applyAlignment="1" applyProtection="1">
      <alignment horizontal="center" vertical="center" wrapText="1"/>
      <protection locked="0"/>
    </xf>
    <xf numFmtId="0" fontId="27" fillId="0" borderId="13" xfId="2" applyFont="1" applyBorder="1" applyAlignment="1" applyProtection="1">
      <alignment horizontal="center" vertical="center" wrapText="1"/>
      <protection locked="0"/>
    </xf>
    <xf numFmtId="0" fontId="27" fillId="0" borderId="21" xfId="2" applyFont="1" applyBorder="1" applyAlignment="1" applyProtection="1">
      <alignment horizontal="center" vertical="center" wrapText="1"/>
      <protection locked="0"/>
    </xf>
    <xf numFmtId="0" fontId="27" fillId="0" borderId="22" xfId="2" applyFont="1" applyBorder="1" applyAlignment="1" applyProtection="1">
      <alignment horizontal="center" vertical="center" wrapText="1"/>
      <protection locked="0"/>
    </xf>
    <xf numFmtId="0" fontId="42" fillId="0" borderId="1" xfId="2" applyFont="1" applyBorder="1" applyAlignment="1">
      <alignment horizontal="center"/>
    </xf>
    <xf numFmtId="0" fontId="42" fillId="0" borderId="0" xfId="2" applyFont="1" applyAlignment="1">
      <alignment horizontal="center"/>
    </xf>
    <xf numFmtId="0" fontId="42" fillId="0" borderId="5" xfId="2" applyFont="1" applyBorder="1" applyAlignment="1">
      <alignment horizontal="center"/>
    </xf>
    <xf numFmtId="0" fontId="26" fillId="0" borderId="21" xfId="2" applyFont="1" applyBorder="1" applyAlignment="1">
      <alignment horizontal="center"/>
    </xf>
    <xf numFmtId="0" fontId="145" fillId="0" borderId="0" xfId="0" applyFont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26" xfId="0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167" fontId="13" fillId="0" borderId="11" xfId="0" applyNumberFormat="1" applyFont="1" applyBorder="1" applyAlignment="1">
      <alignment horizontal="center" vertical="center"/>
    </xf>
    <xf numFmtId="167" fontId="13" fillId="0" borderId="7" xfId="0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167" fontId="13" fillId="0" borderId="30" xfId="0" applyNumberFormat="1" applyFont="1" applyBorder="1" applyAlignment="1">
      <alignment horizontal="center" vertical="center"/>
    </xf>
    <xf numFmtId="0" fontId="13" fillId="0" borderId="0" xfId="0" applyFont="1" applyAlignment="1">
      <alignment horizontal="left" vertical="center" wrapText="1"/>
    </xf>
    <xf numFmtId="0" fontId="18" fillId="0" borderId="11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1" fontId="13" fillId="0" borderId="11" xfId="0" applyNumberFormat="1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65" fontId="13" fillId="0" borderId="11" xfId="0" applyNumberFormat="1" applyFont="1" applyBorder="1" applyAlignment="1">
      <alignment horizontal="center" vertical="center"/>
    </xf>
    <xf numFmtId="165" fontId="13" fillId="0" borderId="7" xfId="0" applyNumberFormat="1" applyFont="1" applyBorder="1" applyAlignment="1">
      <alignment horizontal="center" vertical="center"/>
    </xf>
    <xf numFmtId="167" fontId="13" fillId="0" borderId="6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167" fontId="13" fillId="0" borderId="0" xfId="0" applyNumberFormat="1" applyFont="1" applyAlignment="1">
      <alignment horizontal="left" vertical="center"/>
    </xf>
    <xf numFmtId="14" fontId="13" fillId="0" borderId="0" xfId="0" applyNumberFormat="1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1" fillId="0" borderId="11" xfId="0" applyFont="1" applyBorder="1" applyAlignment="1">
      <alignment vertical="center"/>
    </xf>
    <xf numFmtId="0" fontId="11" fillId="0" borderId="30" xfId="0" applyFont="1" applyBorder="1" applyAlignment="1">
      <alignment vertical="center"/>
    </xf>
    <xf numFmtId="167" fontId="11" fillId="0" borderId="11" xfId="0" applyNumberFormat="1" applyFont="1" applyBorder="1" applyAlignment="1">
      <alignment horizontal="center" vertical="center"/>
    </xf>
    <xf numFmtId="167" fontId="11" fillId="0" borderId="30" xfId="0" applyNumberFormat="1" applyFont="1" applyBorder="1" applyAlignment="1">
      <alignment horizontal="center" vertical="center"/>
    </xf>
    <xf numFmtId="167" fontId="11" fillId="0" borderId="7" xfId="0" applyNumberFormat="1" applyFont="1" applyBorder="1" applyAlignment="1">
      <alignment horizontal="center" vertical="center"/>
    </xf>
    <xf numFmtId="167" fontId="11" fillId="0" borderId="11" xfId="0" quotePrefix="1" applyNumberFormat="1" applyFont="1" applyBorder="1" applyAlignment="1">
      <alignment horizontal="center" vertical="center"/>
    </xf>
    <xf numFmtId="167" fontId="11" fillId="0" borderId="30" xfId="0" quotePrefix="1" applyNumberFormat="1" applyFont="1" applyBorder="1" applyAlignment="1">
      <alignment horizontal="center" vertical="center"/>
    </xf>
    <xf numFmtId="167" fontId="11" fillId="0" borderId="7" xfId="0" quotePrefix="1" applyNumberFormat="1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167" fontId="16" fillId="0" borderId="30" xfId="0" applyNumberFormat="1" applyFont="1" applyBorder="1" applyAlignment="1">
      <alignment horizontal="center" vertical="center"/>
    </xf>
    <xf numFmtId="167" fontId="16" fillId="0" borderId="7" xfId="0" applyNumberFormat="1" applyFont="1" applyBorder="1" applyAlignment="1">
      <alignment horizontal="center" vertical="center"/>
    </xf>
    <xf numFmtId="0" fontId="11" fillId="0" borderId="0" xfId="0" applyFont="1"/>
    <xf numFmtId="0" fontId="16" fillId="0" borderId="11" xfId="0" applyFont="1" applyBorder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16" fillId="9" borderId="11" xfId="0" applyFont="1" applyFill="1" applyBorder="1" applyAlignment="1">
      <alignment horizontal="center" vertical="center"/>
    </xf>
    <xf numFmtId="0" fontId="116" fillId="9" borderId="7" xfId="0" applyFont="1" applyFill="1" applyBorder="1" applyAlignment="1">
      <alignment horizontal="center" vertical="center"/>
    </xf>
    <xf numFmtId="0" fontId="116" fillId="9" borderId="30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16" xfId="0" applyFont="1" applyBorder="1" applyAlignment="1">
      <alignment horizontal="left"/>
    </xf>
    <xf numFmtId="0" fontId="11" fillId="0" borderId="0" xfId="0" applyFont="1" applyAlignment="1">
      <alignment horizontal="left"/>
    </xf>
    <xf numFmtId="2" fontId="6" fillId="0" borderId="0" xfId="10" applyNumberFormat="1" applyAlignment="1" applyProtection="1">
      <alignment horizontal="center" vertical="center"/>
      <protection locked="0"/>
    </xf>
    <xf numFmtId="1" fontId="11" fillId="0" borderId="11" xfId="0" applyNumberFormat="1" applyFont="1" applyBorder="1" applyAlignment="1">
      <alignment horizontal="center" vertical="center"/>
    </xf>
    <xf numFmtId="1" fontId="11" fillId="0" borderId="30" xfId="0" applyNumberFormat="1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175" fontId="11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right"/>
    </xf>
    <xf numFmtId="0" fontId="11" fillId="0" borderId="0" xfId="0" applyFont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40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167" fontId="11" fillId="0" borderId="0" xfId="0" applyNumberFormat="1" applyFont="1" applyAlignment="1">
      <alignment horizontal="left" vertical="center"/>
    </xf>
    <xf numFmtId="0" fontId="13" fillId="0" borderId="15" xfId="3" quotePrefix="1" applyFont="1" applyBorder="1" applyAlignment="1">
      <alignment horizontal="center" vertical="center"/>
    </xf>
    <xf numFmtId="0" fontId="13" fillId="0" borderId="26" xfId="3" quotePrefix="1" applyFont="1" applyBorder="1" applyAlignment="1">
      <alignment horizontal="center" vertical="center"/>
    </xf>
    <xf numFmtId="0" fontId="13" fillId="0" borderId="27" xfId="3" quotePrefix="1" applyFont="1" applyBorder="1" applyAlignment="1">
      <alignment horizontal="center" vertical="center"/>
    </xf>
    <xf numFmtId="0" fontId="13" fillId="0" borderId="13" xfId="3" quotePrefix="1" applyFont="1" applyBorder="1" applyAlignment="1">
      <alignment horizontal="center" vertical="center"/>
    </xf>
    <xf numFmtId="0" fontId="13" fillId="0" borderId="21" xfId="3" quotePrefix="1" applyFont="1" applyBorder="1" applyAlignment="1">
      <alignment horizontal="center" vertical="center"/>
    </xf>
    <xf numFmtId="0" fontId="13" fillId="0" borderId="29" xfId="3" quotePrefix="1" applyFont="1" applyBorder="1" applyAlignment="1">
      <alignment horizontal="center" vertical="center"/>
    </xf>
    <xf numFmtId="0" fontId="61" fillId="0" borderId="6" xfId="3" applyFont="1" applyBorder="1" applyAlignment="1">
      <alignment horizontal="center" vertical="center"/>
    </xf>
    <xf numFmtId="0" fontId="71" fillId="5" borderId="49" xfId="3" applyFont="1" applyFill="1" applyBorder="1" applyAlignment="1">
      <alignment horizontal="center" vertical="center"/>
    </xf>
    <xf numFmtId="0" fontId="71" fillId="5" borderId="0" xfId="3" applyFont="1" applyFill="1" applyAlignment="1">
      <alignment horizontal="center" vertical="center"/>
    </xf>
    <xf numFmtId="0" fontId="71" fillId="5" borderId="28" xfId="3" applyFont="1" applyFill="1" applyBorder="1" applyAlignment="1">
      <alignment horizontal="center" vertical="center"/>
    </xf>
    <xf numFmtId="173" fontId="55" fillId="3" borderId="41" xfId="3" applyNumberFormat="1" applyFont="1" applyFill="1" applyBorder="1" applyAlignment="1">
      <alignment horizontal="left" vertical="center"/>
    </xf>
    <xf numFmtId="173" fontId="55" fillId="3" borderId="44" xfId="3" applyNumberFormat="1" applyFont="1" applyFill="1" applyBorder="1" applyAlignment="1">
      <alignment horizontal="left" vertical="center"/>
    </xf>
    <xf numFmtId="176" fontId="55" fillId="0" borderId="40" xfId="3" applyNumberFormat="1" applyFont="1" applyBorder="1" applyAlignment="1">
      <alignment horizontal="left" vertical="center"/>
    </xf>
    <xf numFmtId="176" fontId="55" fillId="0" borderId="38" xfId="3" applyNumberFormat="1" applyFont="1" applyBorder="1" applyAlignment="1">
      <alignment horizontal="left" vertical="center"/>
    </xf>
    <xf numFmtId="2" fontId="61" fillId="0" borderId="46" xfId="6" applyNumberFormat="1" applyFont="1" applyBorder="1" applyAlignment="1">
      <alignment horizontal="center" vertical="center"/>
    </xf>
    <xf numFmtId="2" fontId="61" fillId="0" borderId="31" xfId="6" applyNumberFormat="1" applyFont="1" applyBorder="1" applyAlignment="1">
      <alignment horizontal="center" vertical="center"/>
    </xf>
    <xf numFmtId="2" fontId="61" fillId="0" borderId="47" xfId="6" applyNumberFormat="1" applyFont="1" applyBorder="1" applyAlignment="1">
      <alignment horizontal="center" vertical="center"/>
    </xf>
    <xf numFmtId="0" fontId="31" fillId="0" borderId="0" xfId="6" applyFont="1" applyAlignment="1">
      <alignment horizontal="center"/>
    </xf>
    <xf numFmtId="0" fontId="31" fillId="0" borderId="28" xfId="6" applyFont="1" applyBorder="1" applyAlignment="1">
      <alignment horizontal="center"/>
    </xf>
    <xf numFmtId="0" fontId="57" fillId="0" borderId="26" xfId="3" applyFont="1" applyBorder="1" applyAlignment="1">
      <alignment horizontal="center" readingOrder="1"/>
    </xf>
    <xf numFmtId="0" fontId="57" fillId="0" borderId="27" xfId="3" applyFont="1" applyBorder="1" applyAlignment="1">
      <alignment horizontal="center" readingOrder="1"/>
    </xf>
    <xf numFmtId="0" fontId="57" fillId="0" borderId="0" xfId="3" applyFont="1" applyAlignment="1">
      <alignment horizontal="center" readingOrder="1"/>
    </xf>
    <xf numFmtId="0" fontId="57" fillId="0" borderId="28" xfId="3" applyFont="1" applyBorder="1" applyAlignment="1">
      <alignment horizontal="center" readingOrder="1"/>
    </xf>
    <xf numFmtId="0" fontId="58" fillId="0" borderId="0" xfId="3" applyFont="1" applyAlignment="1">
      <alignment horizontal="center" vertical="center"/>
    </xf>
    <xf numFmtId="173" fontId="20" fillId="0" borderId="41" xfId="3" applyNumberFormat="1" applyFont="1" applyBorder="1" applyAlignment="1">
      <alignment horizontal="left" vertical="center"/>
    </xf>
    <xf numFmtId="173" fontId="20" fillId="0" borderId="44" xfId="3" applyNumberFormat="1" applyFont="1" applyBorder="1" applyAlignment="1">
      <alignment horizontal="left" vertical="center"/>
    </xf>
    <xf numFmtId="0" fontId="60" fillId="0" borderId="15" xfId="3" applyFont="1" applyBorder="1" applyAlignment="1">
      <alignment horizontal="center" vertical="center" readingOrder="1"/>
    </xf>
    <xf numFmtId="0" fontId="60" fillId="0" borderId="26" xfId="3" applyFont="1" applyBorder="1" applyAlignment="1">
      <alignment horizontal="center" vertical="center" readingOrder="1"/>
    </xf>
    <xf numFmtId="0" fontId="60" fillId="0" borderId="27" xfId="3" applyFont="1" applyBorder="1" applyAlignment="1">
      <alignment horizontal="center" vertical="center" readingOrder="1"/>
    </xf>
    <xf numFmtId="0" fontId="60" fillId="0" borderId="16" xfId="3" applyFont="1" applyBorder="1" applyAlignment="1">
      <alignment horizontal="center" vertical="center" readingOrder="1"/>
    </xf>
    <xf numFmtId="0" fontId="60" fillId="0" borderId="0" xfId="3" applyFont="1" applyAlignment="1">
      <alignment horizontal="center" vertical="center" readingOrder="1"/>
    </xf>
    <xf numFmtId="0" fontId="60" fillId="0" borderId="28" xfId="3" applyFont="1" applyBorder="1" applyAlignment="1">
      <alignment horizontal="center" vertical="center" readingOrder="1"/>
    </xf>
    <xf numFmtId="0" fontId="145" fillId="0" borderId="28" xfId="0" applyFont="1" applyBorder="1" applyAlignment="1">
      <alignment horizontal="center" vertical="center"/>
    </xf>
    <xf numFmtId="2" fontId="31" fillId="0" borderId="6" xfId="3" applyNumberFormat="1" applyFont="1" applyBorder="1" applyAlignment="1">
      <alignment horizontal="center" vertical="center"/>
    </xf>
    <xf numFmtId="0" fontId="20" fillId="0" borderId="6" xfId="3" applyFont="1" applyBorder="1" applyAlignment="1">
      <alignment vertical="center"/>
    </xf>
    <xf numFmtId="167" fontId="31" fillId="0" borderId="6" xfId="3" applyNumberFormat="1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/>
    </xf>
    <xf numFmtId="0" fontId="108" fillId="0" borderId="0" xfId="0" applyFont="1" applyAlignment="1">
      <alignment horizontal="left" vertical="top" wrapText="1"/>
    </xf>
    <xf numFmtId="0" fontId="31" fillId="16" borderId="6" xfId="3" applyFont="1" applyFill="1" applyBorder="1" applyAlignment="1">
      <alignment vertical="center"/>
    </xf>
    <xf numFmtId="0" fontId="31" fillId="0" borderId="6" xfId="3" applyFont="1" applyBorder="1" applyAlignment="1">
      <alignment horizontal="center" vertical="center"/>
    </xf>
    <xf numFmtId="0" fontId="40" fillId="0" borderId="14" xfId="3" applyFont="1" applyBorder="1" applyAlignment="1">
      <alignment horizontal="center" vertical="center" wrapText="1"/>
    </xf>
    <xf numFmtId="0" fontId="40" fillId="0" borderId="12" xfId="3" applyFont="1" applyBorder="1" applyAlignment="1">
      <alignment horizontal="center" vertical="center" wrapText="1"/>
    </xf>
    <xf numFmtId="0" fontId="40" fillId="0" borderId="15" xfId="3" applyFont="1" applyBorder="1" applyAlignment="1">
      <alignment horizontal="center" vertical="center" wrapText="1"/>
    </xf>
    <xf numFmtId="0" fontId="40" fillId="0" borderId="27" xfId="3" applyFont="1" applyBorder="1" applyAlignment="1">
      <alignment horizontal="center" vertical="center" wrapText="1"/>
    </xf>
    <xf numFmtId="0" fontId="40" fillId="0" borderId="13" xfId="3" applyFont="1" applyBorder="1" applyAlignment="1">
      <alignment horizontal="center" vertical="center" wrapText="1"/>
    </xf>
    <xf numFmtId="0" fontId="40" fillId="0" borderId="29" xfId="3" applyFont="1" applyBorder="1" applyAlignment="1">
      <alignment horizontal="center" vertical="center" wrapText="1"/>
    </xf>
    <xf numFmtId="0" fontId="40" fillId="0" borderId="15" xfId="3" applyFont="1" applyBorder="1" applyAlignment="1">
      <alignment horizontal="center" vertical="center"/>
    </xf>
    <xf numFmtId="0" fontId="40" fillId="0" borderId="26" xfId="3" applyFont="1" applyBorder="1" applyAlignment="1">
      <alignment horizontal="center" vertical="center"/>
    </xf>
    <xf numFmtId="0" fontId="40" fillId="0" borderId="27" xfId="3" applyFont="1" applyBorder="1" applyAlignment="1">
      <alignment horizontal="center" vertical="center"/>
    </xf>
    <xf numFmtId="0" fontId="40" fillId="0" borderId="16" xfId="3" applyFont="1" applyBorder="1" applyAlignment="1">
      <alignment horizontal="center" vertical="center"/>
    </xf>
    <xf numFmtId="0" fontId="40" fillId="0" borderId="0" xfId="3" applyFont="1" applyAlignment="1">
      <alignment horizontal="center" vertical="center"/>
    </xf>
    <xf numFmtId="0" fontId="40" fillId="0" borderId="28" xfId="3" applyFont="1" applyBorder="1" applyAlignment="1">
      <alignment horizontal="center" vertical="center"/>
    </xf>
    <xf numFmtId="0" fontId="40" fillId="0" borderId="13" xfId="3" applyFont="1" applyBorder="1" applyAlignment="1">
      <alignment horizontal="center" vertical="center"/>
    </xf>
    <xf numFmtId="0" fontId="40" fillId="0" borderId="21" xfId="3" applyFont="1" applyBorder="1" applyAlignment="1">
      <alignment horizontal="center" vertical="center"/>
    </xf>
    <xf numFmtId="0" fontId="40" fillId="0" borderId="29" xfId="3" applyFont="1" applyBorder="1" applyAlignment="1">
      <alignment horizontal="center" vertical="center"/>
    </xf>
    <xf numFmtId="0" fontId="59" fillId="0" borderId="11" xfId="3" applyFont="1" applyBorder="1" applyAlignment="1">
      <alignment horizontal="center" vertical="center"/>
    </xf>
    <xf numFmtId="0" fontId="59" fillId="0" borderId="30" xfId="3" applyFont="1" applyBorder="1" applyAlignment="1">
      <alignment horizontal="center" vertical="center"/>
    </xf>
    <xf numFmtId="0" fontId="59" fillId="0" borderId="7" xfId="3" applyFont="1" applyBorder="1" applyAlignment="1">
      <alignment horizontal="center" vertical="center"/>
    </xf>
    <xf numFmtId="0" fontId="59" fillId="0" borderId="0" xfId="3" applyFont="1" applyAlignment="1">
      <alignment horizontal="left" vertical="center"/>
    </xf>
    <xf numFmtId="0" fontId="59" fillId="0" borderId="28" xfId="3" applyFont="1" applyBorder="1" applyAlignment="1">
      <alignment horizontal="left" vertical="center"/>
    </xf>
    <xf numFmtId="0" fontId="40" fillId="0" borderId="0" xfId="3" applyFont="1" applyAlignment="1">
      <alignment horizontal="left" vertical="center"/>
    </xf>
    <xf numFmtId="0" fontId="40" fillId="0" borderId="28" xfId="3" applyFont="1" applyBorder="1" applyAlignment="1">
      <alignment horizontal="left" vertical="center"/>
    </xf>
    <xf numFmtId="175" fontId="40" fillId="0" borderId="0" xfId="3" applyNumberFormat="1" applyFont="1" applyAlignment="1">
      <alignment horizontal="left" vertical="center"/>
    </xf>
    <xf numFmtId="175" fontId="40" fillId="0" borderId="28" xfId="3" applyNumberFormat="1" applyFont="1" applyBorder="1" applyAlignment="1">
      <alignment horizontal="left" vertical="center"/>
    </xf>
    <xf numFmtId="0" fontId="12" fillId="0" borderId="15" xfId="3" applyFont="1" applyBorder="1" applyAlignment="1">
      <alignment horizontal="center" vertical="center"/>
    </xf>
    <xf numFmtId="0" fontId="12" fillId="0" borderId="26" xfId="3" applyFont="1" applyBorder="1" applyAlignment="1">
      <alignment horizontal="center" vertical="center"/>
    </xf>
    <xf numFmtId="0" fontId="12" fillId="0" borderId="27" xfId="3" applyFont="1" applyBorder="1" applyAlignment="1">
      <alignment horizontal="center" vertical="center"/>
    </xf>
    <xf numFmtId="0" fontId="12" fillId="0" borderId="13" xfId="3" applyFont="1" applyBorder="1" applyAlignment="1">
      <alignment horizontal="center" vertical="center"/>
    </xf>
    <xf numFmtId="0" fontId="12" fillId="0" borderId="21" xfId="3" applyFont="1" applyBorder="1" applyAlignment="1">
      <alignment horizontal="center" vertical="center"/>
    </xf>
    <xf numFmtId="0" fontId="12" fillId="0" borderId="29" xfId="3" applyFont="1" applyBorder="1" applyAlignment="1">
      <alignment horizontal="center" vertical="center"/>
    </xf>
    <xf numFmtId="0" fontId="34" fillId="0" borderId="0" xfId="3" applyFont="1" applyAlignment="1">
      <alignment horizontal="center" vertical="center"/>
    </xf>
    <xf numFmtId="167" fontId="130" fillId="0" borderId="0" xfId="3" applyNumberFormat="1" applyFont="1" applyAlignment="1">
      <alignment horizontal="center" vertical="center"/>
    </xf>
    <xf numFmtId="0" fontId="12" fillId="0" borderId="15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1" fillId="0" borderId="0" xfId="13" applyFont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3" fillId="0" borderId="0" xfId="13" applyFont="1" applyAlignment="1">
      <alignment horizontal="left" vertical="center"/>
    </xf>
    <xf numFmtId="0" fontId="16" fillId="0" borderId="11" xfId="13" applyFont="1" applyBorder="1" applyAlignment="1">
      <alignment horizontal="center" vertical="center"/>
    </xf>
    <xf numFmtId="0" fontId="16" fillId="0" borderId="30" xfId="13" applyFont="1" applyBorder="1" applyAlignment="1">
      <alignment horizontal="center" vertical="center"/>
    </xf>
    <xf numFmtId="0" fontId="16" fillId="0" borderId="7" xfId="13" applyFont="1" applyBorder="1" applyAlignment="1">
      <alignment horizontal="center" vertical="center"/>
    </xf>
    <xf numFmtId="0" fontId="40" fillId="0" borderId="0" xfId="13" applyFont="1" applyAlignment="1">
      <alignment horizontal="left" vertical="center"/>
    </xf>
    <xf numFmtId="0" fontId="16" fillId="0" borderId="0" xfId="13" applyFont="1" applyAlignment="1">
      <alignment horizontal="left" vertical="center"/>
    </xf>
    <xf numFmtId="0" fontId="11" fillId="0" borderId="0" xfId="13" applyFont="1" applyAlignment="1">
      <alignment horizontal="left" vertical="center"/>
    </xf>
    <xf numFmtId="14" fontId="40" fillId="0" borderId="0" xfId="13" applyNumberFormat="1" applyFont="1" applyAlignment="1">
      <alignment horizontal="left" vertical="center"/>
    </xf>
    <xf numFmtId="14" fontId="40" fillId="0" borderId="100" xfId="13" applyNumberFormat="1" applyFont="1" applyBorder="1" applyAlignment="1">
      <alignment horizontal="center" vertical="center"/>
    </xf>
    <xf numFmtId="14" fontId="40" fillId="0" borderId="6" xfId="13" applyNumberFormat="1" applyFont="1" applyBorder="1" applyAlignment="1">
      <alignment horizontal="center" vertical="center"/>
    </xf>
    <xf numFmtId="185" fontId="40" fillId="0" borderId="11" xfId="13" applyNumberFormat="1" applyFont="1" applyBorder="1" applyAlignment="1">
      <alignment horizontal="center" vertical="center"/>
    </xf>
    <xf numFmtId="185" fontId="40" fillId="0" borderId="7" xfId="13" applyNumberFormat="1" applyFont="1" applyBorder="1" applyAlignment="1">
      <alignment horizontal="center" vertical="center"/>
    </xf>
    <xf numFmtId="0" fontId="40" fillId="0" borderId="11" xfId="13" applyFont="1" applyBorder="1" applyAlignment="1">
      <alignment horizontal="center" vertical="center"/>
    </xf>
    <xf numFmtId="0" fontId="40" fillId="0" borderId="7" xfId="13" applyFont="1" applyBorder="1" applyAlignment="1">
      <alignment horizontal="center" vertical="center"/>
    </xf>
    <xf numFmtId="14" fontId="40" fillId="0" borderId="0" xfId="13" applyNumberFormat="1" applyFont="1" applyAlignment="1">
      <alignment horizontal="center" vertical="center"/>
    </xf>
    <xf numFmtId="0" fontId="40" fillId="0" borderId="84" xfId="13" applyFont="1" applyBorder="1" applyAlignment="1">
      <alignment horizontal="center" vertical="center"/>
    </xf>
    <xf numFmtId="0" fontId="40" fillId="0" borderId="30" xfId="13" applyFont="1" applyBorder="1" applyAlignment="1">
      <alignment horizontal="center" vertical="center"/>
    </xf>
    <xf numFmtId="0" fontId="40" fillId="0" borderId="30" xfId="13" applyFont="1" applyBorder="1" applyAlignment="1">
      <alignment vertical="center"/>
    </xf>
    <xf numFmtId="0" fontId="11" fillId="0" borderId="30" xfId="13" applyFont="1" applyBorder="1" applyAlignment="1">
      <alignment horizontal="center" vertical="center"/>
    </xf>
    <xf numFmtId="14" fontId="40" fillId="0" borderId="84" xfId="13" applyNumberFormat="1" applyFont="1" applyBorder="1" applyAlignment="1">
      <alignment horizontal="center" vertical="center"/>
    </xf>
    <xf numFmtId="14" fontId="40" fillId="0" borderId="30" xfId="13" applyNumberFormat="1" applyFont="1" applyBorder="1" applyAlignment="1">
      <alignment horizontal="center" vertical="center"/>
    </xf>
    <xf numFmtId="185" fontId="40" fillId="0" borderId="30" xfId="13" applyNumberFormat="1" applyFont="1" applyBorder="1" applyAlignment="1">
      <alignment horizontal="center" vertical="center"/>
    </xf>
    <xf numFmtId="0" fontId="59" fillId="0" borderId="86" xfId="13" applyFont="1" applyBorder="1" applyAlignment="1">
      <alignment horizontal="center" vertical="center"/>
    </xf>
    <xf numFmtId="0" fontId="59" fillId="0" borderId="87" xfId="13" applyFont="1" applyBorder="1" applyAlignment="1">
      <alignment horizontal="center" vertical="center"/>
    </xf>
    <xf numFmtId="0" fontId="59" fillId="0" borderId="88" xfId="13" applyFont="1" applyBorder="1" applyAlignment="1">
      <alignment horizontal="center" vertical="center"/>
    </xf>
    <xf numFmtId="0" fontId="59" fillId="0" borderId="96" xfId="13" applyFont="1" applyBorder="1" applyAlignment="1">
      <alignment horizontal="center" vertical="center"/>
    </xf>
    <xf numFmtId="0" fontId="59" fillId="0" borderId="89" xfId="13" applyFont="1" applyBorder="1" applyAlignment="1">
      <alignment horizontal="center" vertical="center"/>
    </xf>
    <xf numFmtId="0" fontId="59" fillId="0" borderId="98" xfId="13" applyFont="1" applyBorder="1" applyAlignment="1">
      <alignment horizontal="center" vertical="center"/>
    </xf>
    <xf numFmtId="0" fontId="59" fillId="0" borderId="94" xfId="13" applyFont="1" applyBorder="1" applyAlignment="1">
      <alignment horizontal="center" vertical="center"/>
    </xf>
    <xf numFmtId="0" fontId="59" fillId="0" borderId="18" xfId="13" applyFont="1" applyBorder="1" applyAlignment="1">
      <alignment horizontal="center" vertical="center"/>
    </xf>
    <xf numFmtId="0" fontId="59" fillId="0" borderId="97" xfId="13" applyFont="1" applyBorder="1" applyAlignment="1">
      <alignment horizontal="center" vertical="center"/>
    </xf>
    <xf numFmtId="0" fontId="59" fillId="0" borderId="17" xfId="13" applyFont="1" applyBorder="1" applyAlignment="1">
      <alignment horizontal="center" vertical="center"/>
    </xf>
    <xf numFmtId="0" fontId="59" fillId="0" borderId="99" xfId="13" applyFont="1" applyBorder="1" applyAlignment="1">
      <alignment horizontal="center" vertical="center"/>
    </xf>
    <xf numFmtId="0" fontId="59" fillId="0" borderId="10" xfId="13" applyFont="1" applyBorder="1" applyAlignment="1">
      <alignment horizontal="center" vertical="center"/>
    </xf>
    <xf numFmtId="0" fontId="59" fillId="0" borderId="8" xfId="13" applyFont="1" applyBorder="1" applyAlignment="1">
      <alignment horizontal="center" vertical="center"/>
    </xf>
    <xf numFmtId="0" fontId="145" fillId="0" borderId="15" xfId="17" applyFont="1" applyBorder="1" applyAlignment="1">
      <alignment horizontal="center" vertical="center"/>
    </xf>
    <xf numFmtId="0" fontId="145" fillId="0" borderId="26" xfId="17" applyFont="1" applyBorder="1" applyAlignment="1">
      <alignment horizontal="center" vertical="center"/>
    </xf>
    <xf numFmtId="0" fontId="145" fillId="0" borderId="27" xfId="17" applyFont="1" applyBorder="1" applyAlignment="1">
      <alignment horizontal="center" vertical="center"/>
    </xf>
    <xf numFmtId="0" fontId="11" fillId="0" borderId="16" xfId="17" applyFont="1" applyBorder="1" applyAlignment="1">
      <alignment horizontal="center" vertical="center"/>
    </xf>
    <xf numFmtId="0" fontId="11" fillId="0" borderId="0" xfId="17" applyFont="1" applyAlignment="1">
      <alignment horizontal="center" vertical="center"/>
    </xf>
    <xf numFmtId="0" fontId="11" fillId="0" borderId="28" xfId="17" applyFont="1" applyBorder="1" applyAlignment="1">
      <alignment horizontal="center" vertical="center"/>
    </xf>
    <xf numFmtId="0" fontId="11" fillId="0" borderId="13" xfId="17" applyFont="1" applyBorder="1" applyAlignment="1">
      <alignment horizontal="center" vertical="center"/>
    </xf>
    <xf numFmtId="0" fontId="11" fillId="0" borderId="21" xfId="17" applyFont="1" applyBorder="1" applyAlignment="1">
      <alignment horizontal="center" vertical="center"/>
    </xf>
    <xf numFmtId="0" fontId="11" fillId="0" borderId="29" xfId="17" applyFont="1" applyBorder="1" applyAlignment="1">
      <alignment horizontal="center" vertical="center"/>
    </xf>
    <xf numFmtId="0" fontId="11" fillId="0" borderId="0" xfId="17" applyFont="1" applyAlignment="1">
      <alignment horizontal="left" vertical="center"/>
    </xf>
    <xf numFmtId="0" fontId="12" fillId="0" borderId="15" xfId="17" applyFont="1" applyBorder="1" applyAlignment="1">
      <alignment horizontal="center" vertical="center" wrapText="1"/>
    </xf>
    <xf numFmtId="0" fontId="12" fillId="0" borderId="26" xfId="17" applyFont="1" applyBorder="1" applyAlignment="1">
      <alignment horizontal="center" vertical="center" wrapText="1"/>
    </xf>
    <xf numFmtId="0" fontId="12" fillId="0" borderId="27" xfId="17" applyFont="1" applyBorder="1" applyAlignment="1">
      <alignment horizontal="center" vertical="center" wrapText="1"/>
    </xf>
    <xf numFmtId="0" fontId="12" fillId="0" borderId="13" xfId="17" applyFont="1" applyBorder="1" applyAlignment="1">
      <alignment horizontal="center" vertical="center" wrapText="1"/>
    </xf>
    <xf numFmtId="0" fontId="12" fillId="0" borderId="21" xfId="17" applyFont="1" applyBorder="1" applyAlignment="1">
      <alignment horizontal="center" vertical="center" wrapText="1"/>
    </xf>
    <xf numFmtId="0" fontId="12" fillId="0" borderId="29" xfId="17" applyFont="1" applyBorder="1" applyAlignment="1">
      <alignment horizontal="center" vertical="center" wrapText="1"/>
    </xf>
    <xf numFmtId="187" fontId="128" fillId="0" borderId="104" xfId="18" applyNumberFormat="1" applyFont="1" applyBorder="1" applyAlignment="1" applyProtection="1">
      <alignment horizontal="left" vertical="center"/>
      <protection locked="0"/>
    </xf>
    <xf numFmtId="187" fontId="128" fillId="0" borderId="75" xfId="18" applyNumberFormat="1" applyFont="1" applyBorder="1" applyAlignment="1" applyProtection="1">
      <alignment horizontal="left" vertical="center"/>
      <protection locked="0"/>
    </xf>
    <xf numFmtId="0" fontId="132" fillId="0" borderId="71" xfId="18" applyFont="1" applyBorder="1" applyAlignment="1" applyProtection="1">
      <alignment vertical="center"/>
      <protection locked="0"/>
    </xf>
    <xf numFmtId="0" fontId="132" fillId="0" borderId="44" xfId="18" applyFont="1" applyBorder="1" applyAlignment="1" applyProtection="1">
      <alignment vertical="center"/>
      <protection locked="0"/>
    </xf>
    <xf numFmtId="0" fontId="132" fillId="0" borderId="43" xfId="18" applyFont="1" applyBorder="1" applyAlignment="1" applyProtection="1">
      <alignment vertical="center"/>
      <protection locked="0"/>
    </xf>
    <xf numFmtId="0" fontId="132" fillId="0" borderId="76" xfId="18" applyFont="1" applyBorder="1" applyAlignment="1" applyProtection="1">
      <alignment vertical="center"/>
      <protection locked="0"/>
    </xf>
    <xf numFmtId="0" fontId="132" fillId="0" borderId="38" xfId="18" applyFont="1" applyBorder="1" applyAlignment="1" applyProtection="1">
      <alignment vertical="center"/>
      <protection locked="0"/>
    </xf>
    <xf numFmtId="0" fontId="132" fillId="0" borderId="35" xfId="18" applyFont="1" applyBorder="1" applyAlignment="1" applyProtection="1">
      <alignment vertical="center"/>
      <protection locked="0"/>
    </xf>
    <xf numFmtId="0" fontId="128" fillId="0" borderId="76" xfId="18" applyFont="1" applyBorder="1" applyAlignment="1" applyProtection="1">
      <alignment horizontal="left" vertical="center"/>
      <protection locked="0"/>
    </xf>
    <xf numFmtId="0" fontId="128" fillId="0" borderId="38" xfId="18" applyFont="1" applyBorder="1" applyAlignment="1" applyProtection="1">
      <alignment horizontal="left" vertical="center"/>
      <protection locked="0"/>
    </xf>
    <xf numFmtId="0" fontId="128" fillId="0" borderId="72" xfId="18" applyFont="1" applyBorder="1" applyAlignment="1" applyProtection="1">
      <alignment horizontal="left" vertical="center"/>
      <protection locked="0"/>
    </xf>
    <xf numFmtId="0" fontId="128" fillId="0" borderId="77" xfId="18" applyFont="1" applyBorder="1" applyAlignment="1" applyProtection="1">
      <alignment vertical="center"/>
      <protection locked="0"/>
    </xf>
    <xf numFmtId="0" fontId="128" fillId="0" borderId="47" xfId="18" applyFont="1" applyBorder="1" applyAlignment="1" applyProtection="1">
      <alignment vertical="center"/>
      <protection locked="0"/>
    </xf>
    <xf numFmtId="0" fontId="128" fillId="0" borderId="50" xfId="18" applyFont="1" applyBorder="1" applyAlignment="1" applyProtection="1">
      <alignment vertical="center"/>
      <protection locked="0"/>
    </xf>
    <xf numFmtId="0" fontId="40" fillId="0" borderId="76" xfId="18" applyFont="1" applyBorder="1" applyAlignment="1">
      <alignment vertical="center"/>
    </xf>
    <xf numFmtId="0" fontId="40" fillId="0" borderId="72" xfId="18" applyFont="1" applyBorder="1" applyAlignment="1">
      <alignment vertical="center"/>
    </xf>
    <xf numFmtId="0" fontId="40" fillId="0" borderId="77" xfId="18" applyFont="1" applyBorder="1" applyAlignment="1">
      <alignment vertical="center"/>
    </xf>
    <xf numFmtId="0" fontId="40" fillId="0" borderId="50" xfId="18" applyFont="1" applyBorder="1" applyAlignment="1">
      <alignment vertical="center"/>
    </xf>
    <xf numFmtId="0" fontId="128" fillId="3" borderId="40" xfId="18" applyFont="1" applyFill="1" applyBorder="1" applyAlignment="1" applyProtection="1">
      <alignment horizontal="center" vertical="center"/>
      <protection locked="0"/>
    </xf>
    <xf numFmtId="0" fontId="128" fillId="3" borderId="38" xfId="18" applyFont="1" applyFill="1" applyBorder="1" applyAlignment="1" applyProtection="1">
      <alignment horizontal="center" vertical="center"/>
      <protection locked="0"/>
    </xf>
    <xf numFmtId="0" fontId="128" fillId="3" borderId="35" xfId="18" applyFont="1" applyFill="1" applyBorder="1" applyAlignment="1" applyProtection="1">
      <alignment horizontal="center" vertical="center"/>
      <protection locked="0"/>
    </xf>
    <xf numFmtId="0" fontId="40" fillId="0" borderId="11" xfId="18" applyFont="1" applyBorder="1" applyAlignment="1">
      <alignment horizontal="center" vertical="center"/>
    </xf>
    <xf numFmtId="0" fontId="40" fillId="0" borderId="30" xfId="18" applyFont="1" applyBorder="1" applyAlignment="1">
      <alignment horizontal="center" vertical="center"/>
    </xf>
    <xf numFmtId="0" fontId="40" fillId="0" borderId="7" xfId="18" applyFont="1" applyBorder="1" applyAlignment="1">
      <alignment horizontal="center" vertical="center"/>
    </xf>
    <xf numFmtId="0" fontId="128" fillId="3" borderId="41" xfId="18" applyFont="1" applyFill="1" applyBorder="1" applyAlignment="1" applyProtection="1">
      <alignment horizontal="center" vertical="center"/>
      <protection locked="0"/>
    </xf>
    <xf numFmtId="0" fontId="128" fillId="3" borderId="44" xfId="18" applyFont="1" applyFill="1" applyBorder="1" applyAlignment="1" applyProtection="1">
      <alignment horizontal="center" vertical="center"/>
      <protection locked="0"/>
    </xf>
    <xf numFmtId="0" fontId="128" fillId="3" borderId="43" xfId="18" applyFont="1" applyFill="1" applyBorder="1" applyAlignment="1" applyProtection="1">
      <alignment horizontal="center" vertical="center"/>
      <protection locked="0"/>
    </xf>
    <xf numFmtId="166" fontId="128" fillId="0" borderId="0" xfId="18" applyNumberFormat="1" applyFont="1" applyAlignment="1">
      <alignment horizontal="center" vertical="center"/>
    </xf>
    <xf numFmtId="0" fontId="128" fillId="0" borderId="0" xfId="18" applyFont="1" applyAlignment="1">
      <alignment horizontal="center" vertical="center"/>
    </xf>
    <xf numFmtId="0" fontId="40" fillId="0" borderId="14" xfId="18" applyFont="1" applyBorder="1" applyAlignment="1">
      <alignment horizontal="center" vertical="center" wrapText="1"/>
    </xf>
    <xf numFmtId="0" fontId="40" fillId="0" borderId="12" xfId="18" applyFont="1" applyBorder="1" applyAlignment="1">
      <alignment vertical="center"/>
    </xf>
    <xf numFmtId="0" fontId="40" fillId="0" borderId="11" xfId="18" applyFont="1" applyBorder="1" applyAlignment="1">
      <alignment horizontal="center" vertical="center" wrapText="1"/>
    </xf>
    <xf numFmtId="0" fontId="40" fillId="0" borderId="30" xfId="18" applyFont="1" applyBorder="1" applyAlignment="1">
      <alignment horizontal="center" vertical="center" wrapText="1"/>
    </xf>
    <xf numFmtId="0" fontId="40" fillId="0" borderId="7" xfId="18" applyFont="1" applyBorder="1" applyAlignment="1">
      <alignment horizontal="center" vertical="center" wrapText="1"/>
    </xf>
    <xf numFmtId="166" fontId="40" fillId="0" borderId="30" xfId="18" applyNumberFormat="1" applyFont="1" applyBorder="1" applyAlignment="1">
      <alignment horizontal="center" vertical="center" wrapText="1"/>
    </xf>
    <xf numFmtId="166" fontId="40" fillId="0" borderId="7" xfId="18" applyNumberFormat="1" applyFont="1" applyBorder="1" applyAlignment="1">
      <alignment horizontal="center" vertical="center" wrapText="1"/>
    </xf>
    <xf numFmtId="0" fontId="40" fillId="0" borderId="21" xfId="18" applyFont="1" applyBorder="1" applyAlignment="1">
      <alignment horizontal="center" vertical="center"/>
    </xf>
    <xf numFmtId="0" fontId="128" fillId="0" borderId="41" xfId="18" applyFont="1" applyBorder="1" applyAlignment="1" applyProtection="1">
      <alignment horizontal="center" vertical="center"/>
      <protection locked="0"/>
    </xf>
    <xf numFmtId="0" fontId="128" fillId="0" borderId="44" xfId="18" applyFont="1" applyBorder="1" applyAlignment="1" applyProtection="1">
      <alignment horizontal="center" vertical="center"/>
      <protection locked="0"/>
    </xf>
    <xf numFmtId="0" fontId="128" fillId="0" borderId="43" xfId="18" applyFont="1" applyBorder="1" applyAlignment="1" applyProtection="1">
      <alignment horizontal="center" vertical="center"/>
      <protection locked="0"/>
    </xf>
    <xf numFmtId="166" fontId="128" fillId="0" borderId="41" xfId="18" applyNumberFormat="1" applyFont="1" applyBorder="1" applyAlignment="1" applyProtection="1">
      <alignment horizontal="center" vertical="center"/>
      <protection locked="0"/>
    </xf>
    <xf numFmtId="166" fontId="128" fillId="0" borderId="43" xfId="18" applyNumberFormat="1" applyFont="1" applyBorder="1" applyAlignment="1" applyProtection="1">
      <alignment horizontal="center" vertical="center"/>
      <protection locked="0"/>
    </xf>
    <xf numFmtId="0" fontId="128" fillId="0" borderId="46" xfId="18" applyFont="1" applyBorder="1" applyAlignment="1">
      <alignment horizontal="center" vertical="center"/>
    </xf>
    <xf numFmtId="0" fontId="128" fillId="0" borderId="47" xfId="18" applyFont="1" applyBorder="1" applyAlignment="1">
      <alignment horizontal="center" vertical="center"/>
    </xf>
    <xf numFmtId="0" fontId="128" fillId="0" borderId="31" xfId="18" applyFont="1" applyBorder="1" applyAlignment="1">
      <alignment horizontal="center" vertical="center"/>
    </xf>
    <xf numFmtId="0" fontId="128" fillId="0" borderId="40" xfId="18" applyFont="1" applyBorder="1" applyAlignment="1" applyProtection="1">
      <alignment horizontal="center" vertical="center"/>
      <protection locked="0"/>
    </xf>
    <xf numFmtId="0" fontId="128" fillId="0" borderId="38" xfId="18" applyFont="1" applyBorder="1" applyAlignment="1" applyProtection="1">
      <alignment horizontal="center" vertical="center"/>
      <protection locked="0"/>
    </xf>
    <xf numFmtId="0" fontId="128" fillId="0" borderId="35" xfId="18" applyFont="1" applyBorder="1" applyAlignment="1" applyProtection="1">
      <alignment horizontal="center" vertical="center"/>
      <protection locked="0"/>
    </xf>
    <xf numFmtId="166" fontId="128" fillId="0" borderId="40" xfId="18" applyNumberFormat="1" applyFont="1" applyBorder="1" applyAlignment="1" applyProtection="1">
      <alignment horizontal="center" vertical="center"/>
      <protection locked="0"/>
    </xf>
    <xf numFmtId="166" fontId="128" fillId="0" borderId="35" xfId="18" applyNumberFormat="1" applyFont="1" applyBorder="1" applyAlignment="1" applyProtection="1">
      <alignment horizontal="center" vertical="center"/>
      <protection locked="0"/>
    </xf>
    <xf numFmtId="0" fontId="59" fillId="0" borderId="40" xfId="18" applyFont="1" applyBorder="1" applyAlignment="1">
      <alignment horizontal="left" vertical="center"/>
    </xf>
    <xf numFmtId="0" fontId="59" fillId="0" borderId="38" xfId="18" applyFont="1" applyBorder="1" applyAlignment="1">
      <alignment horizontal="left" vertical="center"/>
    </xf>
    <xf numFmtId="0" fontId="40" fillId="6" borderId="11" xfId="18" applyFont="1" applyFill="1" applyBorder="1" applyAlignment="1">
      <alignment horizontal="center" vertical="center"/>
    </xf>
    <xf numFmtId="0" fontId="40" fillId="6" borderId="7" xfId="18" applyFont="1" applyFill="1" applyBorder="1" applyAlignment="1">
      <alignment horizontal="center" vertical="center"/>
    </xf>
    <xf numFmtId="0" fontId="40" fillId="0" borderId="11" xfId="18" applyFont="1" applyBorder="1" applyAlignment="1">
      <alignment horizontal="center"/>
    </xf>
    <xf numFmtId="0" fontId="40" fillId="0" borderId="7" xfId="18" applyFont="1" applyBorder="1" applyAlignment="1">
      <alignment horizontal="center"/>
    </xf>
    <xf numFmtId="0" fontId="40" fillId="0" borderId="26" xfId="18" applyFont="1" applyBorder="1" applyAlignment="1">
      <alignment horizontal="center"/>
    </xf>
    <xf numFmtId="0" fontId="40" fillId="0" borderId="27" xfId="18" applyFont="1" applyBorder="1" applyAlignment="1">
      <alignment horizontal="center"/>
    </xf>
    <xf numFmtId="0" fontId="59" fillId="0" borderId="45" xfId="18" applyFont="1" applyBorder="1" applyAlignment="1" applyProtection="1">
      <alignment horizontal="left" vertical="center"/>
      <protection locked="0"/>
    </xf>
    <xf numFmtId="0" fontId="59" fillId="0" borderId="37" xfId="18" applyFont="1" applyBorder="1" applyAlignment="1" applyProtection="1">
      <alignment horizontal="left" vertical="center"/>
      <protection locked="0"/>
    </xf>
    <xf numFmtId="0" fontId="40" fillId="0" borderId="37" xfId="18" applyFont="1" applyBorder="1" applyAlignment="1" applyProtection="1">
      <alignment horizontal="left" vertical="center"/>
      <protection locked="0"/>
    </xf>
    <xf numFmtId="0" fontId="40" fillId="0" borderId="37" xfId="18" applyFont="1" applyBorder="1" applyAlignment="1">
      <alignment horizontal="left" vertical="center"/>
    </xf>
    <xf numFmtId="14" fontId="40" fillId="0" borderId="37" xfId="18" applyNumberFormat="1" applyFont="1" applyBorder="1" applyAlignment="1" applyProtection="1">
      <alignment horizontal="left" vertical="center"/>
      <protection locked="0"/>
    </xf>
    <xf numFmtId="0" fontId="40" fillId="0" borderId="32" xfId="18" applyFont="1" applyBorder="1" applyAlignment="1" applyProtection="1">
      <alignment horizontal="left" vertical="center"/>
      <protection locked="0"/>
    </xf>
    <xf numFmtId="0" fontId="40" fillId="0" borderId="32" xfId="18" applyFont="1" applyBorder="1" applyAlignment="1">
      <alignment horizontal="left" vertical="center"/>
    </xf>
    <xf numFmtId="14" fontId="40" fillId="0" borderId="32" xfId="18" applyNumberFormat="1" applyFont="1" applyBorder="1" applyAlignment="1" applyProtection="1">
      <alignment horizontal="left" vertical="center"/>
      <protection locked="0"/>
    </xf>
    <xf numFmtId="0" fontId="59" fillId="0" borderId="45" xfId="18" applyFont="1" applyBorder="1" applyProtection="1">
      <protection locked="0"/>
    </xf>
    <xf numFmtId="0" fontId="59" fillId="0" borderId="37" xfId="18" applyFont="1" applyBorder="1" applyProtection="1">
      <protection locked="0"/>
    </xf>
    <xf numFmtId="0" fontId="40" fillId="0" borderId="37" xfId="18" applyFont="1" applyBorder="1" applyAlignment="1" applyProtection="1">
      <alignment horizontal="left"/>
      <protection locked="0"/>
    </xf>
    <xf numFmtId="0" fontId="40" fillId="0" borderId="32" xfId="18" applyFont="1" applyBorder="1" applyProtection="1">
      <protection locked="0"/>
    </xf>
    <xf numFmtId="14" fontId="40" fillId="0" borderId="37" xfId="18" applyNumberFormat="1" applyFont="1" applyBorder="1" applyAlignment="1" applyProtection="1">
      <alignment horizontal="left"/>
      <protection locked="0"/>
    </xf>
    <xf numFmtId="0" fontId="40" fillId="0" borderId="37" xfId="18" applyFont="1" applyBorder="1"/>
    <xf numFmtId="0" fontId="40" fillId="0" borderId="32" xfId="18" applyFont="1" applyBorder="1"/>
    <xf numFmtId="0" fontId="40" fillId="0" borderId="6" xfId="18" applyFont="1" applyBorder="1" applyAlignment="1">
      <alignment horizontal="center" vertical="center" wrapText="1"/>
    </xf>
    <xf numFmtId="0" fontId="40" fillId="0" borderId="26" xfId="18" applyFont="1" applyBorder="1" applyAlignment="1">
      <alignment horizontal="center" vertical="center"/>
    </xf>
    <xf numFmtId="0" fontId="40" fillId="0" borderId="0" xfId="18" applyFont="1" applyAlignment="1">
      <alignment horizontal="center" vertical="center"/>
    </xf>
    <xf numFmtId="0" fontId="215" fillId="3" borderId="0" xfId="18" applyFont="1" applyFill="1" applyAlignment="1" applyProtection="1">
      <alignment horizontal="center" vertical="center"/>
      <protection locked="0"/>
    </xf>
    <xf numFmtId="0" fontId="59" fillId="0" borderId="0" xfId="18" applyFont="1" applyAlignment="1" applyProtection="1">
      <alignment horizontal="center" vertical="center"/>
      <protection locked="0"/>
    </xf>
    <xf numFmtId="0" fontId="12" fillId="0" borderId="15" xfId="19" applyFont="1" applyBorder="1" applyAlignment="1">
      <alignment horizontal="center" vertical="center"/>
    </xf>
    <xf numFmtId="0" fontId="12" fillId="0" borderId="26" xfId="19" applyFont="1" applyBorder="1" applyAlignment="1">
      <alignment horizontal="center" vertical="center"/>
    </xf>
    <xf numFmtId="0" fontId="12" fillId="0" borderId="27" xfId="19" applyFont="1" applyBorder="1" applyAlignment="1">
      <alignment horizontal="center" vertical="center"/>
    </xf>
    <xf numFmtId="1" fontId="20" fillId="0" borderId="0" xfId="18" applyNumberFormat="1" applyFont="1" applyAlignment="1">
      <alignment horizontal="center" vertical="center"/>
    </xf>
    <xf numFmtId="0" fontId="29" fillId="0" borderId="13" xfId="19" applyFont="1" applyBorder="1" applyAlignment="1">
      <alignment horizontal="center" vertical="center"/>
    </xf>
    <xf numFmtId="0" fontId="29" fillId="0" borderId="21" xfId="19" applyFont="1" applyBorder="1" applyAlignment="1">
      <alignment horizontal="center" vertical="center"/>
    </xf>
    <xf numFmtId="0" fontId="29" fillId="0" borderId="29" xfId="19" applyFont="1" applyBorder="1" applyAlignment="1">
      <alignment horizontal="center" vertical="center"/>
    </xf>
    <xf numFmtId="1" fontId="20" fillId="0" borderId="11" xfId="18" applyNumberFormat="1" applyFont="1" applyBorder="1" applyAlignment="1">
      <alignment horizontal="center" vertical="center"/>
    </xf>
    <xf numFmtId="1" fontId="20" fillId="0" borderId="30" xfId="18" applyNumberFormat="1" applyFont="1" applyBorder="1" applyAlignment="1">
      <alignment horizontal="center" vertical="center"/>
    </xf>
    <xf numFmtId="1" fontId="20" fillId="0" borderId="7" xfId="18" applyNumberFormat="1" applyFont="1" applyBorder="1" applyAlignment="1">
      <alignment horizontal="center" vertical="center"/>
    </xf>
    <xf numFmtId="0" fontId="20" fillId="0" borderId="0" xfId="18" applyFont="1" applyAlignment="1">
      <alignment horizontal="center" vertical="center"/>
    </xf>
    <xf numFmtId="0" fontId="31" fillId="0" borderId="11" xfId="18" applyFont="1" applyBorder="1" applyAlignment="1">
      <alignment horizontal="center" vertical="center"/>
    </xf>
    <xf numFmtId="0" fontId="31" fillId="0" borderId="30" xfId="18" applyFont="1" applyBorder="1" applyAlignment="1">
      <alignment horizontal="center" vertical="center"/>
    </xf>
    <xf numFmtId="0" fontId="31" fillId="0" borderId="7" xfId="18" applyFont="1" applyBorder="1" applyAlignment="1">
      <alignment horizontal="center" vertical="center"/>
    </xf>
    <xf numFmtId="167" fontId="20" fillId="0" borderId="11" xfId="18" applyNumberFormat="1" applyFont="1" applyBorder="1" applyAlignment="1">
      <alignment horizontal="center" vertical="center"/>
    </xf>
    <xf numFmtId="167" fontId="20" fillId="0" borderId="30" xfId="18" applyNumberFormat="1" applyFont="1" applyBorder="1" applyAlignment="1">
      <alignment horizontal="center" vertical="center"/>
    </xf>
    <xf numFmtId="167" fontId="20" fillId="0" borderId="7" xfId="18" applyNumberFormat="1" applyFont="1" applyBorder="1" applyAlignment="1">
      <alignment horizontal="center" vertical="center"/>
    </xf>
    <xf numFmtId="167" fontId="20" fillId="0" borderId="41" xfId="18" applyNumberFormat="1" applyFont="1" applyBorder="1" applyAlignment="1">
      <alignment horizontal="center" vertical="center"/>
    </xf>
    <xf numFmtId="167" fontId="20" fillId="0" borderId="44" xfId="18" applyNumberFormat="1" applyFont="1" applyBorder="1" applyAlignment="1">
      <alignment horizontal="center" vertical="center"/>
    </xf>
    <xf numFmtId="167" fontId="20" fillId="0" borderId="43" xfId="18" applyNumberFormat="1" applyFont="1" applyBorder="1" applyAlignment="1">
      <alignment horizontal="center" vertical="center"/>
    </xf>
    <xf numFmtId="167" fontId="20" fillId="0" borderId="46" xfId="18" applyNumberFormat="1" applyFont="1" applyBorder="1" applyAlignment="1">
      <alignment horizontal="center" vertical="center"/>
    </xf>
    <xf numFmtId="167" fontId="20" fillId="0" borderId="47" xfId="18" applyNumberFormat="1" applyFont="1" applyBorder="1" applyAlignment="1">
      <alignment horizontal="center" vertical="center"/>
    </xf>
    <xf numFmtId="167" fontId="20" fillId="0" borderId="31" xfId="18" applyNumberFormat="1" applyFont="1" applyBorder="1" applyAlignment="1">
      <alignment horizontal="center" vertical="center"/>
    </xf>
    <xf numFmtId="2" fontId="20" fillId="0" borderId="11" xfId="18" applyNumberFormat="1" applyFont="1" applyBorder="1" applyAlignment="1">
      <alignment horizontal="center" vertical="center"/>
    </xf>
    <xf numFmtId="2" fontId="20" fillId="0" borderId="30" xfId="18" applyNumberFormat="1" applyFont="1" applyBorder="1" applyAlignment="1">
      <alignment horizontal="center" vertical="center"/>
    </xf>
    <xf numFmtId="2" fontId="20" fillId="0" borderId="7" xfId="18" applyNumberFormat="1" applyFont="1" applyBorder="1" applyAlignment="1">
      <alignment horizontal="center" vertical="center"/>
    </xf>
    <xf numFmtId="0" fontId="13" fillId="0" borderId="0" xfId="19" applyFont="1" applyAlignment="1">
      <alignment horizontal="left" vertical="center"/>
    </xf>
    <xf numFmtId="0" fontId="18" fillId="0" borderId="0" xfId="19" quotePrefix="1" applyFont="1" applyAlignment="1">
      <alignment horizontal="left" vertical="center"/>
    </xf>
    <xf numFmtId="0" fontId="20" fillId="0" borderId="0" xfId="18" applyFont="1" applyAlignment="1">
      <alignment horizontal="left" vertical="center"/>
    </xf>
    <xf numFmtId="0" fontId="171" fillId="0" borderId="15" xfId="20" applyFont="1" applyBorder="1" applyAlignment="1">
      <alignment horizontal="center"/>
    </xf>
    <xf numFmtId="0" fontId="171" fillId="0" borderId="26" xfId="20" applyFont="1" applyBorder="1" applyAlignment="1">
      <alignment horizontal="center"/>
    </xf>
    <xf numFmtId="0" fontId="171" fillId="0" borderId="27" xfId="20" applyFont="1" applyBorder="1" applyAlignment="1">
      <alignment horizontal="center"/>
    </xf>
    <xf numFmtId="0" fontId="12" fillId="0" borderId="13" xfId="20" applyFont="1" applyBorder="1" applyAlignment="1">
      <alignment horizontal="center"/>
    </xf>
    <xf numFmtId="0" fontId="12" fillId="0" borderId="21" xfId="20" applyFont="1" applyBorder="1" applyAlignment="1">
      <alignment horizontal="center"/>
    </xf>
    <xf numFmtId="0" fontId="12" fillId="0" borderId="29" xfId="20" applyFont="1" applyBorder="1" applyAlignment="1">
      <alignment horizontal="center"/>
    </xf>
    <xf numFmtId="0" fontId="40" fillId="0" borderId="0" xfId="3" applyFont="1" applyAlignment="1">
      <alignment horizontal="left" wrapText="1"/>
    </xf>
    <xf numFmtId="0" fontId="16" fillId="0" borderId="6" xfId="20" applyFont="1" applyBorder="1" applyAlignment="1">
      <alignment horizontal="left"/>
    </xf>
    <xf numFmtId="0" fontId="11" fillId="0" borderId="6" xfId="20" applyFont="1" applyBorder="1" applyAlignment="1">
      <alignment horizontal="left"/>
    </xf>
    <xf numFmtId="0" fontId="16" fillId="0" borderId="0" xfId="20" applyFont="1" applyAlignment="1">
      <alignment horizontal="left"/>
    </xf>
    <xf numFmtId="167" fontId="11" fillId="0" borderId="11" xfId="20" applyNumberFormat="1" applyFont="1" applyBorder="1" applyAlignment="1">
      <alignment horizontal="center" vertical="center"/>
    </xf>
    <xf numFmtId="167" fontId="11" fillId="0" borderId="7" xfId="20" applyNumberFormat="1" applyFont="1" applyBorder="1" applyAlignment="1">
      <alignment horizontal="center" vertical="center"/>
    </xf>
    <xf numFmtId="0" fontId="16" fillId="0" borderId="0" xfId="20" applyFont="1" applyAlignment="1">
      <alignment horizontal="left" vertical="center"/>
    </xf>
    <xf numFmtId="0" fontId="11" fillId="0" borderId="0" xfId="20" applyFont="1" applyAlignment="1">
      <alignment horizontal="left" vertical="center"/>
    </xf>
    <xf numFmtId="0" fontId="145" fillId="0" borderId="15" xfId="20" applyFont="1" applyBorder="1" applyAlignment="1">
      <alignment horizontal="center"/>
    </xf>
    <xf numFmtId="0" fontId="145" fillId="0" borderId="26" xfId="20" applyFont="1" applyBorder="1" applyAlignment="1">
      <alignment horizontal="center"/>
    </xf>
    <xf numFmtId="0" fontId="145" fillId="0" borderId="27" xfId="20" applyFont="1" applyBorder="1" applyAlignment="1">
      <alignment horizontal="center"/>
    </xf>
    <xf numFmtId="0" fontId="11" fillId="0" borderId="126" xfId="20" applyFont="1" applyBorder="1" applyAlignment="1">
      <alignment horizontal="center"/>
    </xf>
    <xf numFmtId="0" fontId="11" fillId="0" borderId="0" xfId="20" applyFont="1" applyAlignment="1">
      <alignment horizontal="center"/>
    </xf>
    <xf numFmtId="0" fontId="11" fillId="0" borderId="28" xfId="20" applyFont="1" applyBorder="1" applyAlignment="1">
      <alignment horizontal="center"/>
    </xf>
    <xf numFmtId="0" fontId="11" fillId="0" borderId="13" xfId="20" applyFont="1" applyBorder="1" applyAlignment="1">
      <alignment horizontal="center"/>
    </xf>
    <xf numFmtId="0" fontId="11" fillId="0" borderId="21" xfId="20" applyFont="1" applyBorder="1" applyAlignment="1">
      <alignment horizontal="center"/>
    </xf>
    <xf numFmtId="0" fontId="11" fillId="0" borderId="29" xfId="20" applyFont="1" applyBorder="1" applyAlignment="1">
      <alignment horizontal="center"/>
    </xf>
    <xf numFmtId="187" fontId="11" fillId="0" borderId="0" xfId="20" applyNumberFormat="1" applyFont="1" applyAlignment="1">
      <alignment horizontal="left" vertical="center"/>
    </xf>
    <xf numFmtId="0" fontId="11" fillId="0" borderId="14" xfId="22" applyFont="1" applyBorder="1" applyAlignment="1" applyProtection="1">
      <alignment horizontal="center" vertical="center" wrapText="1"/>
      <protection locked="0"/>
    </xf>
    <xf numFmtId="0" fontId="11" fillId="0" borderId="12" xfId="22" applyFont="1" applyBorder="1" applyAlignment="1" applyProtection="1">
      <alignment horizontal="center" vertical="center" wrapText="1"/>
      <protection locked="0"/>
    </xf>
    <xf numFmtId="189" fontId="11" fillId="0" borderId="0" xfId="22" applyNumberFormat="1" applyFont="1" applyAlignment="1" applyProtection="1">
      <alignment horizontal="center" vertical="center"/>
      <protection locked="0"/>
    </xf>
    <xf numFmtId="0" fontId="110" fillId="0" borderId="0" xfId="22" applyFont="1" applyAlignment="1" applyProtection="1">
      <alignment horizontal="center" vertical="center"/>
      <protection locked="0"/>
    </xf>
    <xf numFmtId="0" fontId="16" fillId="0" borderId="0" xfId="22" applyFont="1" applyAlignment="1" applyProtection="1">
      <alignment horizontal="center" vertical="center"/>
      <protection locked="0"/>
    </xf>
    <xf numFmtId="0" fontId="11" fillId="0" borderId="0" xfId="22" applyFont="1" applyAlignment="1" applyProtection="1">
      <alignment horizontal="left" vertical="center"/>
      <protection locked="0"/>
    </xf>
    <xf numFmtId="166" fontId="40" fillId="0" borderId="40" xfId="22" applyNumberFormat="1" applyFont="1" applyBorder="1" applyAlignment="1" applyProtection="1">
      <alignment horizontal="center" vertical="center"/>
      <protection locked="0"/>
    </xf>
    <xf numFmtId="166" fontId="40" fillId="0" borderId="38" xfId="22" applyNumberFormat="1" applyFont="1" applyBorder="1" applyAlignment="1" applyProtection="1">
      <alignment horizontal="center" vertical="center"/>
      <protection locked="0"/>
    </xf>
    <xf numFmtId="166" fontId="40" fillId="0" borderId="35" xfId="22" applyNumberFormat="1" applyFont="1" applyBorder="1" applyAlignment="1" applyProtection="1">
      <alignment horizontal="center" vertical="center"/>
      <protection locked="0"/>
    </xf>
    <xf numFmtId="0" fontId="11" fillId="0" borderId="38" xfId="22" applyFont="1" applyBorder="1" applyAlignment="1" applyProtection="1">
      <alignment horizontal="center" vertical="center"/>
      <protection locked="0"/>
    </xf>
    <xf numFmtId="2" fontId="11" fillId="0" borderId="40" xfId="22" applyNumberFormat="1" applyFont="1" applyBorder="1" applyAlignment="1">
      <alignment horizontal="center" vertical="center"/>
    </xf>
    <xf numFmtId="2" fontId="11" fillId="0" borderId="38" xfId="22" applyNumberFormat="1" applyFont="1" applyBorder="1" applyAlignment="1">
      <alignment horizontal="center" vertical="center"/>
    </xf>
    <xf numFmtId="2" fontId="11" fillId="0" borderId="35" xfId="22" applyNumberFormat="1" applyFont="1" applyBorder="1" applyAlignment="1">
      <alignment horizontal="center" vertical="center"/>
    </xf>
    <xf numFmtId="0" fontId="40" fillId="0" borderId="16" xfId="22" applyFont="1" applyBorder="1" applyAlignment="1" applyProtection="1">
      <alignment horizontal="center" vertical="center" textRotation="90"/>
      <protection locked="0"/>
    </xf>
    <xf numFmtId="0" fontId="40" fillId="0" borderId="0" xfId="22" applyFont="1" applyAlignment="1" applyProtection="1">
      <alignment horizontal="center" vertical="center" textRotation="90"/>
      <protection locked="0"/>
    </xf>
    <xf numFmtId="0" fontId="11" fillId="0" borderId="11" xfId="22" applyFont="1" applyBorder="1" applyAlignment="1" applyProtection="1">
      <alignment horizontal="center" vertical="center"/>
      <protection locked="0"/>
    </xf>
    <xf numFmtId="0" fontId="11" fillId="0" borderId="30" xfId="22" applyFont="1" applyBorder="1" applyAlignment="1" applyProtection="1">
      <alignment horizontal="center" vertical="center"/>
      <protection locked="0"/>
    </xf>
    <xf numFmtId="0" fontId="11" fillId="0" borderId="7" xfId="22" applyFont="1" applyBorder="1" applyAlignment="1" applyProtection="1">
      <alignment horizontal="center" vertical="center"/>
      <protection locked="0"/>
    </xf>
    <xf numFmtId="2" fontId="11" fillId="0" borderId="41" xfId="22" applyNumberFormat="1" applyFont="1" applyBorder="1" applyAlignment="1" applyProtection="1">
      <alignment horizontal="center" vertical="center"/>
      <protection locked="0"/>
    </xf>
    <xf numFmtId="2" fontId="11" fillId="0" borderId="44" xfId="22" applyNumberFormat="1" applyFont="1" applyBorder="1" applyAlignment="1" applyProtection="1">
      <alignment horizontal="center" vertical="center"/>
      <protection locked="0"/>
    </xf>
    <xf numFmtId="2" fontId="11" fillId="0" borderId="43" xfId="22" applyNumberFormat="1" applyFont="1" applyBorder="1" applyAlignment="1" applyProtection="1">
      <alignment horizontal="center" vertical="center"/>
      <protection locked="0"/>
    </xf>
    <xf numFmtId="0" fontId="11" fillId="0" borderId="47" xfId="22" applyFont="1" applyBorder="1" applyAlignment="1" applyProtection="1">
      <alignment horizontal="center" vertical="center"/>
      <protection locked="0"/>
    </xf>
    <xf numFmtId="2" fontId="11" fillId="0" borderId="46" xfId="22" applyNumberFormat="1" applyFont="1" applyBorder="1" applyAlignment="1" applyProtection="1">
      <alignment horizontal="center" vertical="center"/>
      <protection locked="0"/>
    </xf>
    <xf numFmtId="2" fontId="11" fillId="0" borderId="47" xfId="22" applyNumberFormat="1" applyFont="1" applyBorder="1" applyAlignment="1" applyProtection="1">
      <alignment horizontal="center" vertical="center"/>
      <protection locked="0"/>
    </xf>
    <xf numFmtId="2" fontId="11" fillId="0" borderId="31" xfId="22" applyNumberFormat="1" applyFont="1" applyBorder="1" applyAlignment="1" applyProtection="1">
      <alignment horizontal="center" vertical="center"/>
      <protection locked="0"/>
    </xf>
    <xf numFmtId="0" fontId="40" fillId="0" borderId="16" xfId="22" applyFont="1" applyBorder="1" applyAlignment="1" applyProtection="1">
      <alignment horizontal="left" vertical="center" textRotation="90"/>
      <protection locked="0"/>
    </xf>
    <xf numFmtId="0" fontId="40" fillId="0" borderId="41" xfId="22" applyFont="1" applyBorder="1" applyAlignment="1" applyProtection="1">
      <alignment horizontal="center" vertical="center"/>
      <protection locked="0"/>
    </xf>
    <xf numFmtId="0" fontId="40" fillId="0" borderId="44" xfId="22" applyFont="1" applyBorder="1" applyAlignment="1" applyProtection="1">
      <alignment horizontal="center" vertical="center"/>
      <protection locked="0"/>
    </xf>
    <xf numFmtId="0" fontId="40" fillId="0" borderId="43" xfId="22" applyFont="1" applyBorder="1" applyAlignment="1" applyProtection="1">
      <alignment horizontal="center" vertical="center"/>
      <protection locked="0"/>
    </xf>
    <xf numFmtId="2" fontId="40" fillId="0" borderId="40" xfId="22" applyNumberFormat="1" applyFont="1" applyBorder="1" applyAlignment="1" applyProtection="1">
      <alignment horizontal="center" vertical="center"/>
      <protection locked="0"/>
    </xf>
    <xf numFmtId="2" fontId="40" fillId="0" borderId="38" xfId="22" applyNumberFormat="1" applyFont="1" applyBorder="1" applyAlignment="1" applyProtection="1">
      <alignment horizontal="center" vertical="center"/>
      <protection locked="0"/>
    </xf>
    <xf numFmtId="2" fontId="40" fillId="0" borderId="35" xfId="22" applyNumberFormat="1" applyFont="1" applyBorder="1" applyAlignment="1" applyProtection="1">
      <alignment horizontal="center" vertical="center"/>
      <protection locked="0"/>
    </xf>
    <xf numFmtId="2" fontId="40" fillId="6" borderId="40" xfId="22" applyNumberFormat="1" applyFont="1" applyFill="1" applyBorder="1" applyAlignment="1" applyProtection="1">
      <alignment horizontal="center" vertical="center"/>
      <protection locked="0"/>
    </xf>
    <xf numFmtId="2" fontId="40" fillId="6" borderId="38" xfId="22" applyNumberFormat="1" applyFont="1" applyFill="1" applyBorder="1" applyAlignment="1" applyProtection="1">
      <alignment horizontal="center" vertical="center"/>
      <protection locked="0"/>
    </xf>
    <xf numFmtId="2" fontId="40" fillId="6" borderId="35" xfId="22" applyNumberFormat="1" applyFont="1" applyFill="1" applyBorder="1" applyAlignment="1" applyProtection="1">
      <alignment horizontal="center" vertical="center"/>
      <protection locked="0"/>
    </xf>
    <xf numFmtId="167" fontId="11" fillId="0" borderId="46" xfId="22" applyNumberFormat="1" applyFont="1" applyBorder="1" applyAlignment="1">
      <alignment horizontal="center" vertical="center"/>
    </xf>
    <xf numFmtId="167" fontId="11" fillId="0" borderId="47" xfId="22" applyNumberFormat="1" applyFont="1" applyBorder="1" applyAlignment="1">
      <alignment horizontal="center" vertical="center"/>
    </xf>
    <xf numFmtId="167" fontId="11" fillId="0" borderId="31" xfId="22" applyNumberFormat="1" applyFont="1" applyBorder="1" applyAlignment="1">
      <alignment horizontal="center" vertical="center"/>
    </xf>
    <xf numFmtId="0" fontId="11" fillId="0" borderId="15" xfId="22" applyFont="1" applyBorder="1" applyAlignment="1" applyProtection="1">
      <alignment horizontal="center" vertical="center" wrapText="1"/>
      <protection locked="0"/>
    </xf>
    <xf numFmtId="0" fontId="11" fillId="0" borderId="26" xfId="22" applyFont="1" applyBorder="1" applyAlignment="1" applyProtection="1">
      <alignment horizontal="center" vertical="center" wrapText="1"/>
      <protection locked="0"/>
    </xf>
    <xf numFmtId="0" fontId="11" fillId="0" borderId="27" xfId="22" applyFont="1" applyBorder="1" applyAlignment="1" applyProtection="1">
      <alignment horizontal="center" vertical="center" wrapText="1"/>
      <protection locked="0"/>
    </xf>
    <xf numFmtId="0" fontId="11" fillId="0" borderId="16" xfId="22" applyFont="1" applyBorder="1" applyAlignment="1" applyProtection="1">
      <alignment horizontal="center" vertical="center" wrapText="1"/>
      <protection locked="0"/>
    </xf>
    <xf numFmtId="0" fontId="11" fillId="0" borderId="0" xfId="22" applyFont="1" applyAlignment="1" applyProtection="1">
      <alignment horizontal="center" vertical="center" wrapText="1"/>
      <protection locked="0"/>
    </xf>
    <xf numFmtId="0" fontId="11" fillId="0" borderId="28" xfId="22" applyFont="1" applyBorder="1" applyAlignment="1" applyProtection="1">
      <alignment horizontal="center" vertical="center" wrapText="1"/>
      <protection locked="0"/>
    </xf>
    <xf numFmtId="189" fontId="11" fillId="0" borderId="0" xfId="22" applyNumberFormat="1" applyFont="1" applyAlignment="1">
      <alignment horizontal="center" vertical="center" textRotation="90"/>
    </xf>
    <xf numFmtId="0" fontId="11" fillId="0" borderId="13" xfId="22" applyFont="1" applyBorder="1" applyAlignment="1" applyProtection="1">
      <alignment horizontal="center" vertical="center"/>
      <protection locked="0"/>
    </xf>
    <xf numFmtId="0" fontId="11" fillId="0" borderId="21" xfId="22" applyFont="1" applyBorder="1" applyAlignment="1" applyProtection="1">
      <alignment horizontal="center" vertical="center"/>
      <protection locked="0"/>
    </xf>
    <xf numFmtId="0" fontId="11" fillId="0" borderId="29" xfId="22" applyFont="1" applyBorder="1" applyAlignment="1" applyProtection="1">
      <alignment horizontal="center" vertical="center"/>
      <protection locked="0"/>
    </xf>
    <xf numFmtId="0" fontId="11" fillId="0" borderId="45" xfId="22" applyFont="1" applyBorder="1" applyAlignment="1" applyProtection="1">
      <alignment horizontal="center" vertical="center"/>
      <protection locked="0"/>
    </xf>
    <xf numFmtId="166" fontId="40" fillId="0" borderId="45" xfId="22" applyNumberFormat="1" applyFont="1" applyBorder="1" applyAlignment="1" applyProtection="1">
      <alignment horizontal="center" vertical="center"/>
      <protection locked="0"/>
    </xf>
    <xf numFmtId="167" fontId="40" fillId="0" borderId="45" xfId="22" applyNumberFormat="1" applyFont="1" applyBorder="1" applyAlignment="1">
      <alignment horizontal="center" vertical="center"/>
    </xf>
    <xf numFmtId="0" fontId="40" fillId="0" borderId="45" xfId="22" applyFont="1" applyBorder="1" applyAlignment="1" applyProtection="1">
      <alignment horizontal="center" vertical="center"/>
      <protection locked="0"/>
    </xf>
    <xf numFmtId="0" fontId="11" fillId="0" borderId="37" xfId="22" applyFont="1" applyBorder="1" applyAlignment="1" applyProtection="1">
      <alignment horizontal="center" vertical="center"/>
      <protection locked="0"/>
    </xf>
    <xf numFmtId="166" fontId="40" fillId="0" borderId="37" xfId="22" applyNumberFormat="1" applyFont="1" applyBorder="1" applyAlignment="1" applyProtection="1">
      <alignment horizontal="center" vertical="center"/>
      <protection locked="0"/>
    </xf>
    <xf numFmtId="167" fontId="40" fillId="0" borderId="37" xfId="22" applyNumberFormat="1" applyFont="1" applyBorder="1" applyAlignment="1">
      <alignment horizontal="center" vertical="center"/>
    </xf>
    <xf numFmtId="0" fontId="40" fillId="0" borderId="37" xfId="22" applyFont="1" applyBorder="1" applyAlignment="1" applyProtection="1">
      <alignment horizontal="center" vertical="center"/>
      <protection locked="0"/>
    </xf>
    <xf numFmtId="167" fontId="40" fillId="0" borderId="40" xfId="22" applyNumberFormat="1" applyFont="1" applyBorder="1" applyAlignment="1">
      <alignment horizontal="center" vertical="center"/>
    </xf>
    <xf numFmtId="167" fontId="40" fillId="0" borderId="38" xfId="22" applyNumberFormat="1" applyFont="1" applyBorder="1" applyAlignment="1">
      <alignment horizontal="center" vertical="center"/>
    </xf>
    <xf numFmtId="167" fontId="40" fillId="0" borderId="35" xfId="22" applyNumberFormat="1" applyFont="1" applyBorder="1" applyAlignment="1">
      <alignment horizontal="center" vertical="center"/>
    </xf>
    <xf numFmtId="0" fontId="11" fillId="0" borderId="32" xfId="22" applyFont="1" applyBorder="1" applyAlignment="1" applyProtection="1">
      <alignment horizontal="center" vertical="center"/>
      <protection locked="0"/>
    </xf>
    <xf numFmtId="0" fontId="11" fillId="0" borderId="35" xfId="22" applyFont="1" applyBorder="1" applyAlignment="1" applyProtection="1">
      <alignment horizontal="center" vertical="center"/>
      <protection locked="0"/>
    </xf>
    <xf numFmtId="166" fontId="40" fillId="0" borderId="40" xfId="22" applyNumberFormat="1" applyFont="1" applyBorder="1" applyAlignment="1">
      <alignment horizontal="center" vertical="center"/>
    </xf>
    <xf numFmtId="166" fontId="40" fillId="0" borderId="38" xfId="22" applyNumberFormat="1" applyFont="1" applyBorder="1" applyAlignment="1">
      <alignment horizontal="center" vertical="center"/>
    </xf>
    <xf numFmtId="166" fontId="40" fillId="0" borderId="35" xfId="22" applyNumberFormat="1" applyFont="1" applyBorder="1" applyAlignment="1">
      <alignment horizontal="center" vertical="center"/>
    </xf>
    <xf numFmtId="189" fontId="11" fillId="0" borderId="0" xfId="22" applyNumberFormat="1" applyFont="1" applyAlignment="1">
      <alignment horizontal="left" vertical="center"/>
    </xf>
    <xf numFmtId="0" fontId="11" fillId="0" borderId="15" xfId="22" applyFont="1" applyBorder="1" applyAlignment="1" applyProtection="1">
      <alignment horizontal="center" vertical="center"/>
      <protection locked="0"/>
    </xf>
    <xf numFmtId="0" fontId="11" fillId="0" borderId="26" xfId="22" applyFont="1" applyBorder="1" applyAlignment="1" applyProtection="1">
      <alignment horizontal="center" vertical="center"/>
      <protection locked="0"/>
    </xf>
    <xf numFmtId="0" fontId="11" fillId="0" borderId="27" xfId="22" applyFont="1" applyBorder="1" applyAlignment="1" applyProtection="1">
      <alignment horizontal="center" vertical="center"/>
      <protection locked="0"/>
    </xf>
    <xf numFmtId="2" fontId="40" fillId="0" borderId="40" xfId="22" applyNumberFormat="1" applyFont="1" applyBorder="1" applyAlignment="1">
      <alignment horizontal="center" vertical="center"/>
    </xf>
    <xf numFmtId="2" fontId="40" fillId="0" borderId="38" xfId="22" applyNumberFormat="1" applyFont="1" applyBorder="1" applyAlignment="1">
      <alignment horizontal="center" vertical="center"/>
    </xf>
    <xf numFmtId="2" fontId="40" fillId="0" borderId="35" xfId="22" applyNumberFormat="1" applyFont="1" applyBorder="1" applyAlignment="1">
      <alignment horizontal="center" vertical="center"/>
    </xf>
    <xf numFmtId="0" fontId="40" fillId="0" borderId="16" xfId="22" applyFont="1" applyBorder="1" applyAlignment="1" applyProtection="1">
      <alignment horizontal="center" textRotation="90"/>
      <protection locked="0"/>
    </xf>
    <xf numFmtId="0" fontId="40" fillId="0" borderId="0" xfId="22" applyFont="1" applyAlignment="1" applyProtection="1">
      <alignment horizontal="center" textRotation="90"/>
      <protection locked="0"/>
    </xf>
    <xf numFmtId="0" fontId="11" fillId="0" borderId="31" xfId="22" applyFont="1" applyBorder="1" applyAlignment="1" applyProtection="1">
      <alignment horizontal="center" vertical="center"/>
      <protection locked="0"/>
    </xf>
    <xf numFmtId="167" fontId="212" fillId="0" borderId="46" xfId="22" applyNumberFormat="1" applyFont="1" applyBorder="1" applyAlignment="1" applyProtection="1">
      <alignment horizontal="center" vertical="center"/>
      <protection locked="0"/>
    </xf>
    <xf numFmtId="167" fontId="212" fillId="0" borderId="47" xfId="22" applyNumberFormat="1" applyFont="1" applyBorder="1" applyAlignment="1" applyProtection="1">
      <alignment horizontal="center" vertical="center"/>
      <protection locked="0"/>
    </xf>
    <xf numFmtId="167" fontId="212" fillId="0" borderId="31" xfId="22" applyNumberFormat="1" applyFont="1" applyBorder="1" applyAlignment="1" applyProtection="1">
      <alignment horizontal="center" vertical="center"/>
      <protection locked="0"/>
    </xf>
    <xf numFmtId="0" fontId="11" fillId="0" borderId="6" xfId="22" applyFont="1" applyBorder="1" applyAlignment="1" applyProtection="1">
      <alignment horizontal="center" vertical="center" wrapText="1"/>
      <protection locked="0"/>
    </xf>
    <xf numFmtId="0" fontId="11" fillId="0" borderId="9" xfId="22" applyFont="1" applyBorder="1" applyAlignment="1" applyProtection="1">
      <alignment horizontal="center" vertical="center" wrapText="1"/>
      <protection locked="0"/>
    </xf>
    <xf numFmtId="0" fontId="40" fillId="0" borderId="16" xfId="22" applyFont="1" applyBorder="1" applyAlignment="1" applyProtection="1">
      <alignment horizontal="left" textRotation="90"/>
      <protection locked="0"/>
    </xf>
    <xf numFmtId="2" fontId="11" fillId="0" borderId="45" xfId="22" applyNumberFormat="1" applyFont="1" applyBorder="1" applyAlignment="1" applyProtection="1">
      <alignment horizontal="center" vertical="center"/>
      <protection locked="0"/>
    </xf>
    <xf numFmtId="166" fontId="212" fillId="0" borderId="45" xfId="22" applyNumberFormat="1" applyFont="1" applyBorder="1" applyAlignment="1" applyProtection="1">
      <alignment horizontal="center" vertical="center"/>
      <protection locked="0"/>
    </xf>
    <xf numFmtId="2" fontId="11" fillId="0" borderId="45" xfId="22" applyNumberFormat="1" applyFont="1" applyBorder="1" applyAlignment="1">
      <alignment horizontal="center" vertical="center"/>
    </xf>
    <xf numFmtId="2" fontId="212" fillId="0" borderId="45" xfId="22" applyNumberFormat="1" applyFont="1" applyBorder="1" applyAlignment="1" applyProtection="1">
      <alignment horizontal="center" vertical="center"/>
      <protection locked="0"/>
    </xf>
    <xf numFmtId="167" fontId="212" fillId="0" borderId="45" xfId="22" applyNumberFormat="1" applyFont="1" applyBorder="1" applyAlignment="1" applyProtection="1">
      <alignment horizontal="center" vertical="center"/>
      <protection locked="0"/>
    </xf>
    <xf numFmtId="2" fontId="11" fillId="0" borderId="40" xfId="22" applyNumberFormat="1" applyFont="1" applyBorder="1" applyAlignment="1" applyProtection="1">
      <alignment horizontal="center" vertical="center"/>
      <protection locked="0"/>
    </xf>
    <xf numFmtId="2" fontId="11" fillId="0" borderId="38" xfId="22" applyNumberFormat="1" applyFont="1" applyBorder="1" applyAlignment="1" applyProtection="1">
      <alignment horizontal="center" vertical="center"/>
      <protection locked="0"/>
    </xf>
    <xf numFmtId="2" fontId="11" fillId="0" borderId="35" xfId="22" applyNumberFormat="1" applyFont="1" applyBorder="1" applyAlignment="1" applyProtection="1">
      <alignment horizontal="center" vertical="center"/>
      <protection locked="0"/>
    </xf>
    <xf numFmtId="166" fontId="212" fillId="0" borderId="40" xfId="22" applyNumberFormat="1" applyFont="1" applyBorder="1" applyAlignment="1" applyProtection="1">
      <alignment horizontal="center" vertical="center"/>
      <protection locked="0"/>
    </xf>
    <xf numFmtId="166" fontId="212" fillId="0" borderId="38" xfId="22" applyNumberFormat="1" applyFont="1" applyBorder="1" applyAlignment="1" applyProtection="1">
      <alignment horizontal="center" vertical="center"/>
      <protection locked="0"/>
    </xf>
    <xf numFmtId="166" fontId="212" fillId="0" borderId="35" xfId="22" applyNumberFormat="1" applyFont="1" applyBorder="1" applyAlignment="1" applyProtection="1">
      <alignment horizontal="center" vertical="center"/>
      <protection locked="0"/>
    </xf>
    <xf numFmtId="2" fontId="212" fillId="0" borderId="40" xfId="22" applyNumberFormat="1" applyFont="1" applyBorder="1" applyAlignment="1" applyProtection="1">
      <alignment horizontal="center" vertical="center"/>
      <protection locked="0"/>
    </xf>
    <xf numFmtId="2" fontId="212" fillId="0" borderId="38" xfId="22" applyNumberFormat="1" applyFont="1" applyBorder="1" applyAlignment="1" applyProtection="1">
      <alignment horizontal="center" vertical="center"/>
      <protection locked="0"/>
    </xf>
    <xf numFmtId="2" fontId="212" fillId="0" borderId="35" xfId="22" applyNumberFormat="1" applyFont="1" applyBorder="1" applyAlignment="1" applyProtection="1">
      <alignment horizontal="center" vertical="center"/>
      <protection locked="0"/>
    </xf>
    <xf numFmtId="189" fontId="11" fillId="0" borderId="0" xfId="22" applyNumberFormat="1" applyFont="1" applyAlignment="1">
      <alignment horizontal="center" textRotation="90"/>
    </xf>
    <xf numFmtId="166" fontId="212" fillId="0" borderId="46" xfId="22" applyNumberFormat="1" applyFont="1" applyBorder="1" applyAlignment="1" applyProtection="1">
      <alignment horizontal="center" vertical="center"/>
      <protection locked="0"/>
    </xf>
    <xf numFmtId="166" fontId="212" fillId="0" borderId="47" xfId="22" applyNumberFormat="1" applyFont="1" applyBorder="1" applyAlignment="1" applyProtection="1">
      <alignment horizontal="center" vertical="center"/>
      <protection locked="0"/>
    </xf>
    <xf numFmtId="166" fontId="212" fillId="0" borderId="31" xfId="22" applyNumberFormat="1" applyFont="1" applyBorder="1" applyAlignment="1" applyProtection="1">
      <alignment horizontal="center" vertical="center"/>
      <protection locked="0"/>
    </xf>
    <xf numFmtId="2" fontId="212" fillId="0" borderId="46" xfId="22" applyNumberFormat="1" applyFont="1" applyBorder="1" applyAlignment="1" applyProtection="1">
      <alignment horizontal="center" vertical="center"/>
      <protection locked="0"/>
    </xf>
    <xf numFmtId="2" fontId="212" fillId="0" borderId="47" xfId="22" applyNumberFormat="1" applyFont="1" applyBorder="1" applyAlignment="1" applyProtection="1">
      <alignment horizontal="center" vertical="center"/>
      <protection locked="0"/>
    </xf>
    <xf numFmtId="2" fontId="212" fillId="0" borderId="31" xfId="22" applyNumberFormat="1" applyFont="1" applyBorder="1" applyAlignment="1" applyProtection="1">
      <alignment horizontal="center" vertical="center"/>
      <protection locked="0"/>
    </xf>
    <xf numFmtId="0" fontId="11" fillId="0" borderId="0" xfId="22" applyFont="1" applyAlignment="1" applyProtection="1">
      <alignment horizontal="right" vertical="center"/>
      <protection locked="0"/>
    </xf>
    <xf numFmtId="0" fontId="11" fillId="0" borderId="6" xfId="22" applyFont="1" applyBorder="1" applyAlignment="1" applyProtection="1">
      <alignment horizontal="center" vertical="center"/>
      <protection locked="0"/>
    </xf>
    <xf numFmtId="0" fontId="11" fillId="0" borderId="28" xfId="22" applyFont="1" applyBorder="1" applyAlignment="1" applyProtection="1">
      <alignment horizontal="right" vertical="center"/>
      <protection locked="0"/>
    </xf>
    <xf numFmtId="0" fontId="75" fillId="0" borderId="11" xfId="22" applyFont="1" applyBorder="1" applyAlignment="1" applyProtection="1">
      <alignment horizontal="center" vertical="center"/>
      <protection locked="0"/>
    </xf>
    <xf numFmtId="0" fontId="75" fillId="0" borderId="30" xfId="22" applyFont="1" applyBorder="1" applyAlignment="1" applyProtection="1">
      <alignment horizontal="center" vertical="center"/>
      <protection locked="0"/>
    </xf>
    <xf numFmtId="189" fontId="11" fillId="0" borderId="0" xfId="22" applyNumberFormat="1" applyFont="1" applyAlignment="1" applyProtection="1">
      <alignment horizontal="center" vertical="center" textRotation="90"/>
      <protection locked="0"/>
    </xf>
    <xf numFmtId="0" fontId="11" fillId="0" borderId="30" xfId="22" applyFont="1" applyBorder="1" applyAlignment="1">
      <alignment horizontal="center" vertical="center"/>
    </xf>
    <xf numFmtId="0" fontId="11" fillId="0" borderId="0" xfId="22" applyFont="1" applyAlignment="1" applyProtection="1">
      <alignment horizontal="center" vertical="center"/>
      <protection locked="0"/>
    </xf>
    <xf numFmtId="0" fontId="11" fillId="0" borderId="0" xfId="22" applyFont="1" applyAlignment="1" applyProtection="1">
      <alignment horizontal="right"/>
      <protection locked="0"/>
    </xf>
    <xf numFmtId="0" fontId="11" fillId="0" borderId="21" xfId="22" applyFont="1" applyBorder="1" applyAlignment="1" applyProtection="1">
      <alignment horizontal="center"/>
      <protection locked="0"/>
    </xf>
    <xf numFmtId="0" fontId="11" fillId="0" borderId="28" xfId="22" applyFont="1" applyBorder="1" applyAlignment="1" applyProtection="1">
      <alignment horizontal="right"/>
      <protection locked="0"/>
    </xf>
    <xf numFmtId="0" fontId="75" fillId="0" borderId="11" xfId="22" applyFont="1" applyBorder="1" applyAlignment="1" applyProtection="1">
      <alignment horizontal="center"/>
      <protection locked="0"/>
    </xf>
    <xf numFmtId="0" fontId="75" fillId="0" borderId="30" xfId="22" applyFont="1" applyBorder="1" applyAlignment="1" applyProtection="1">
      <alignment horizontal="center"/>
      <protection locked="0"/>
    </xf>
    <xf numFmtId="0" fontId="11" fillId="0" borderId="6" xfId="22" applyFont="1" applyBorder="1" applyAlignment="1" applyProtection="1">
      <alignment horizontal="center"/>
      <protection locked="0"/>
    </xf>
    <xf numFmtId="189" fontId="11" fillId="0" borderId="0" xfId="22" applyNumberFormat="1" applyFont="1" applyAlignment="1" applyProtection="1">
      <alignment horizontal="center" textRotation="90"/>
      <protection locked="0"/>
    </xf>
    <xf numFmtId="0" fontId="11" fillId="0" borderId="0" xfId="22" applyFont="1" applyAlignment="1" applyProtection="1">
      <alignment horizontal="center"/>
      <protection locked="0"/>
    </xf>
    <xf numFmtId="0" fontId="3" fillId="0" borderId="14" xfId="22" applyBorder="1" applyAlignment="1">
      <alignment horizontal="center" vertical="center" wrapText="1"/>
    </xf>
    <xf numFmtId="0" fontId="3" fillId="0" borderId="12" xfId="22" applyBorder="1" applyAlignment="1">
      <alignment horizontal="center" vertical="center" wrapText="1"/>
    </xf>
    <xf numFmtId="0" fontId="3" fillId="0" borderId="6" xfId="22" applyBorder="1" applyAlignment="1">
      <alignment horizontal="center" vertical="center"/>
    </xf>
    <xf numFmtId="0" fontId="3" fillId="0" borderId="15" xfId="22" applyBorder="1" applyAlignment="1">
      <alignment horizontal="center" vertical="center"/>
    </xf>
    <xf numFmtId="0" fontId="3" fillId="0" borderId="26" xfId="22" applyBorder="1" applyAlignment="1">
      <alignment horizontal="center" vertical="center"/>
    </xf>
    <xf numFmtId="0" fontId="3" fillId="0" borderId="27" xfId="22" applyBorder="1" applyAlignment="1">
      <alignment horizontal="center" vertical="center"/>
    </xf>
    <xf numFmtId="2" fontId="184" fillId="3" borderId="6" xfId="22" applyNumberFormat="1" applyFont="1" applyFill="1" applyBorder="1" applyAlignment="1">
      <alignment horizontal="center" vertical="center"/>
    </xf>
    <xf numFmtId="0" fontId="184" fillId="3" borderId="6" xfId="22" applyFont="1" applyFill="1" applyBorder="1" applyAlignment="1">
      <alignment horizontal="center" vertical="center"/>
    </xf>
    <xf numFmtId="2" fontId="182" fillId="3" borderId="6" xfId="22" applyNumberFormat="1" applyFont="1" applyFill="1" applyBorder="1" applyAlignment="1">
      <alignment horizontal="center" vertical="center"/>
    </xf>
    <xf numFmtId="2" fontId="182" fillId="3" borderId="13" xfId="22" applyNumberFormat="1" applyFont="1" applyFill="1" applyBorder="1" applyAlignment="1">
      <alignment horizontal="center" vertical="center"/>
    </xf>
    <xf numFmtId="2" fontId="182" fillId="3" borderId="21" xfId="22" applyNumberFormat="1" applyFont="1" applyFill="1" applyBorder="1" applyAlignment="1">
      <alignment horizontal="center" vertical="center"/>
    </xf>
    <xf numFmtId="2" fontId="182" fillId="3" borderId="29" xfId="22" applyNumberFormat="1" applyFont="1" applyFill="1" applyBorder="1" applyAlignment="1">
      <alignment horizontal="center" vertical="center"/>
    </xf>
    <xf numFmtId="2" fontId="180" fillId="0" borderId="11" xfId="22" applyNumberFormat="1" applyFont="1" applyBorder="1" applyAlignment="1">
      <alignment horizontal="center" vertical="center"/>
    </xf>
    <xf numFmtId="2" fontId="180" fillId="0" borderId="30" xfId="22" applyNumberFormat="1" applyFont="1" applyBorder="1" applyAlignment="1">
      <alignment horizontal="center" vertical="center"/>
    </xf>
    <xf numFmtId="0" fontId="182" fillId="0" borderId="11" xfId="22" applyFont="1" applyBorder="1" applyAlignment="1">
      <alignment horizontal="center" vertical="center"/>
    </xf>
    <xf numFmtId="0" fontId="182" fillId="0" borderId="30" xfId="22" applyFont="1" applyBorder="1" applyAlignment="1">
      <alignment horizontal="center" vertical="center"/>
    </xf>
    <xf numFmtId="0" fontId="182" fillId="0" borderId="7" xfId="22" applyFont="1" applyBorder="1" applyAlignment="1">
      <alignment horizontal="center" vertical="center"/>
    </xf>
    <xf numFmtId="0" fontId="3" fillId="0" borderId="0" xfId="22" applyAlignment="1">
      <alignment horizontal="center" vertical="center"/>
    </xf>
    <xf numFmtId="0" fontId="180" fillId="0" borderId="0" xfId="22" applyFont="1" applyAlignment="1">
      <alignment horizontal="center"/>
    </xf>
    <xf numFmtId="0" fontId="180" fillId="0" borderId="11" xfId="22" applyFont="1" applyBorder="1" applyAlignment="1">
      <alignment horizontal="center" vertical="center"/>
    </xf>
    <xf numFmtId="0" fontId="180" fillId="0" borderId="30" xfId="22" applyFont="1" applyBorder="1" applyAlignment="1">
      <alignment horizontal="center" vertical="center"/>
    </xf>
    <xf numFmtId="0" fontId="180" fillId="0" borderId="7" xfId="22" applyFont="1" applyBorder="1" applyAlignment="1">
      <alignment horizontal="center" vertical="center"/>
    </xf>
    <xf numFmtId="0" fontId="182" fillId="0" borderId="0" xfId="22" applyFont="1" applyAlignment="1">
      <alignment horizontal="center" vertical="center"/>
    </xf>
    <xf numFmtId="0" fontId="181" fillId="0" borderId="14" xfId="22" applyFont="1" applyBorder="1" applyAlignment="1">
      <alignment horizontal="center" vertical="center"/>
    </xf>
    <xf numFmtId="0" fontId="181" fillId="0" borderId="12" xfId="22" applyFont="1" applyBorder="1" applyAlignment="1">
      <alignment horizontal="center" vertical="center"/>
    </xf>
    <xf numFmtId="166" fontId="187" fillId="0" borderId="11" xfId="22" applyNumberFormat="1" applyFont="1" applyBorder="1" applyAlignment="1">
      <alignment horizontal="center" vertical="center"/>
    </xf>
    <xf numFmtId="166" fontId="187" fillId="0" borderId="30" xfId="22" applyNumberFormat="1" applyFont="1" applyBorder="1" applyAlignment="1">
      <alignment horizontal="center" vertical="center"/>
    </xf>
    <xf numFmtId="166" fontId="187" fillId="0" borderId="7" xfId="22" applyNumberFormat="1" applyFont="1" applyBorder="1" applyAlignment="1">
      <alignment horizontal="center" vertical="center"/>
    </xf>
    <xf numFmtId="2" fontId="199" fillId="55" borderId="11" xfId="22" applyNumberFormat="1" applyFont="1" applyFill="1" applyBorder="1" applyAlignment="1">
      <alignment horizontal="center" vertical="center"/>
    </xf>
    <xf numFmtId="2" fontId="199" fillId="55" borderId="30" xfId="22" applyNumberFormat="1" applyFont="1" applyFill="1" applyBorder="1" applyAlignment="1">
      <alignment horizontal="center" vertical="center"/>
    </xf>
    <xf numFmtId="167" fontId="3" fillId="0" borderId="11" xfId="22" applyNumberFormat="1" applyBorder="1" applyAlignment="1">
      <alignment horizontal="center" vertical="center"/>
    </xf>
    <xf numFmtId="167" fontId="3" fillId="0" borderId="30" xfId="22" applyNumberFormat="1" applyBorder="1" applyAlignment="1">
      <alignment horizontal="center" vertical="center"/>
    </xf>
    <xf numFmtId="167" fontId="182" fillId="0" borderId="11" xfId="22" applyNumberFormat="1" applyFont="1" applyBorder="1" applyAlignment="1">
      <alignment horizontal="center" vertical="center"/>
    </xf>
    <xf numFmtId="0" fontId="3" fillId="0" borderId="11" xfId="22" applyBorder="1" applyAlignment="1">
      <alignment horizontal="center" vertical="center"/>
    </xf>
    <xf numFmtId="0" fontId="3" fillId="0" borderId="30" xfId="22" applyBorder="1" applyAlignment="1">
      <alignment horizontal="center" vertical="center"/>
    </xf>
    <xf numFmtId="167" fontId="3" fillId="0" borderId="7" xfId="22" applyNumberFormat="1" applyBorder="1" applyAlignment="1">
      <alignment horizontal="center" vertical="center"/>
    </xf>
    <xf numFmtId="0" fontId="200" fillId="0" borderId="15" xfId="22" applyFont="1" applyBorder="1" applyAlignment="1">
      <alignment horizontal="left" vertical="center"/>
    </xf>
    <xf numFmtId="0" fontId="200" fillId="0" borderId="26" xfId="22" applyFont="1" applyBorder="1" applyAlignment="1">
      <alignment horizontal="left" vertical="center"/>
    </xf>
    <xf numFmtId="0" fontId="200" fillId="0" borderId="28" xfId="22" applyFont="1" applyBorder="1" applyAlignment="1">
      <alignment horizontal="left" vertical="center"/>
    </xf>
    <xf numFmtId="2" fontId="203" fillId="0" borderId="0" xfId="22" applyNumberFormat="1" applyFont="1" applyAlignment="1">
      <alignment horizontal="center" vertical="center"/>
    </xf>
    <xf numFmtId="166" fontId="203" fillId="0" borderId="0" xfId="22" applyNumberFormat="1" applyFont="1" applyAlignment="1">
      <alignment horizontal="center" vertical="center"/>
    </xf>
    <xf numFmtId="2" fontId="180" fillId="0" borderId="0" xfId="22" applyNumberFormat="1" applyFont="1" applyAlignment="1">
      <alignment horizontal="center"/>
    </xf>
    <xf numFmtId="2" fontId="199" fillId="55" borderId="7" xfId="22" applyNumberFormat="1" applyFont="1" applyFill="1" applyBorder="1" applyAlignment="1">
      <alignment horizontal="center" vertical="center"/>
    </xf>
    <xf numFmtId="0" fontId="192" fillId="0" borderId="26" xfId="22" applyFont="1" applyBorder="1" applyAlignment="1">
      <alignment horizontal="center" vertical="center"/>
    </xf>
    <xf numFmtId="166" fontId="187" fillId="0" borderId="26" xfId="22" applyNumberFormat="1" applyFont="1" applyBorder="1" applyAlignment="1">
      <alignment horizontal="center" vertical="center"/>
    </xf>
    <xf numFmtId="2" fontId="187" fillId="0" borderId="26" xfId="22" applyNumberFormat="1" applyFont="1" applyBorder="1" applyAlignment="1">
      <alignment horizontal="center" vertical="center"/>
    </xf>
    <xf numFmtId="2" fontId="200" fillId="0" borderId="13" xfId="22" applyNumberFormat="1" applyFont="1" applyBorder="1" applyAlignment="1">
      <alignment horizontal="left" vertical="center"/>
    </xf>
    <xf numFmtId="2" fontId="200" fillId="0" borderId="21" xfId="22" applyNumberFormat="1" applyFont="1" applyBorder="1" applyAlignment="1">
      <alignment horizontal="left" vertical="center"/>
    </xf>
    <xf numFmtId="2" fontId="200" fillId="0" borderId="29" xfId="22" applyNumberFormat="1" applyFont="1" applyBorder="1" applyAlignment="1">
      <alignment horizontal="left" vertical="center"/>
    </xf>
    <xf numFmtId="0" fontId="40" fillId="0" borderId="0" xfId="3" applyFont="1" applyAlignment="1">
      <alignment horizontal="center"/>
    </xf>
    <xf numFmtId="0" fontId="40" fillId="0" borderId="11" xfId="3" applyFont="1" applyBorder="1" applyAlignment="1">
      <alignment horizontal="left" vertical="center"/>
    </xf>
    <xf numFmtId="0" fontId="40" fillId="0" borderId="30" xfId="3" applyFont="1" applyBorder="1" applyAlignment="1">
      <alignment horizontal="left" vertical="center"/>
    </xf>
    <xf numFmtId="0" fontId="40" fillId="0" borderId="7" xfId="3" applyFont="1" applyBorder="1" applyAlignment="1">
      <alignment horizontal="left" vertical="center"/>
    </xf>
    <xf numFmtId="167" fontId="26" fillId="0" borderId="6" xfId="3" applyNumberFormat="1" applyFont="1" applyBorder="1" applyAlignment="1">
      <alignment horizontal="center" vertical="center" wrapText="1"/>
    </xf>
    <xf numFmtId="167" fontId="26" fillId="0" borderId="6" xfId="3" applyNumberFormat="1" applyFont="1" applyBorder="1" applyAlignment="1">
      <alignment horizontal="center" vertical="center"/>
    </xf>
    <xf numFmtId="0" fontId="40" fillId="0" borderId="6" xfId="3" applyFont="1" applyBorder="1" applyAlignment="1">
      <alignment horizontal="left" vertical="center"/>
    </xf>
    <xf numFmtId="2" fontId="40" fillId="0" borderId="11" xfId="3" applyNumberFormat="1" applyFont="1" applyBorder="1" applyAlignment="1">
      <alignment horizontal="left" vertical="center"/>
    </xf>
    <xf numFmtId="2" fontId="40" fillId="0" borderId="30" xfId="3" applyNumberFormat="1" applyFont="1" applyBorder="1" applyAlignment="1">
      <alignment horizontal="left" vertical="center"/>
    </xf>
    <xf numFmtId="2" fontId="40" fillId="0" borderId="7" xfId="3" applyNumberFormat="1" applyFont="1" applyBorder="1" applyAlignment="1">
      <alignment horizontal="left" vertical="center"/>
    </xf>
    <xf numFmtId="0" fontId="119" fillId="0" borderId="6" xfId="3" applyFont="1" applyBorder="1" applyAlignment="1">
      <alignment horizontal="center" vertical="center"/>
    </xf>
    <xf numFmtId="0" fontId="177" fillId="0" borderId="11" xfId="3" applyFont="1" applyBorder="1" applyAlignment="1">
      <alignment horizontal="center" vertical="center"/>
    </xf>
    <xf numFmtId="0" fontId="177" fillId="0" borderId="7" xfId="3" applyFont="1" applyBorder="1" applyAlignment="1">
      <alignment horizontal="center" vertical="center"/>
    </xf>
    <xf numFmtId="0" fontId="35" fillId="0" borderId="11" xfId="3" applyFont="1" applyBorder="1" applyAlignment="1">
      <alignment horizontal="center" vertical="center"/>
    </xf>
    <xf numFmtId="0" fontId="35" fillId="0" borderId="7" xfId="3" applyFont="1" applyBorder="1" applyAlignment="1">
      <alignment horizontal="center" vertical="center"/>
    </xf>
    <xf numFmtId="1" fontId="128" fillId="0" borderId="0" xfId="3" applyNumberFormat="1" applyFont="1" applyAlignment="1">
      <alignment horizontal="center"/>
    </xf>
    <xf numFmtId="0" fontId="20" fillId="0" borderId="0" xfId="3" applyFont="1" applyAlignment="1">
      <alignment horizontal="left" vertical="top" wrapText="1"/>
    </xf>
    <xf numFmtId="0" fontId="20" fillId="0" borderId="21" xfId="3" applyFont="1" applyBorder="1" applyAlignment="1">
      <alignment horizontal="left" vertical="top" wrapText="1"/>
    </xf>
    <xf numFmtId="0" fontId="172" fillId="0" borderId="15" xfId="20" applyFont="1" applyBorder="1" applyAlignment="1">
      <alignment horizontal="center"/>
    </xf>
    <xf numFmtId="0" fontId="172" fillId="0" borderId="26" xfId="20" applyFont="1" applyBorder="1" applyAlignment="1">
      <alignment horizontal="center"/>
    </xf>
    <xf numFmtId="0" fontId="172" fillId="0" borderId="27" xfId="20" applyFont="1" applyBorder="1" applyAlignment="1">
      <alignment horizontal="center"/>
    </xf>
    <xf numFmtId="0" fontId="40" fillId="0" borderId="6" xfId="3" applyFont="1" applyBorder="1" applyAlignment="1">
      <alignment horizontal="center" vertical="center"/>
    </xf>
    <xf numFmtId="0" fontId="12" fillId="0" borderId="15" xfId="20" applyFont="1" applyBorder="1" applyAlignment="1">
      <alignment horizontal="center" vertical="center"/>
    </xf>
    <xf numFmtId="0" fontId="12" fillId="0" borderId="26" xfId="20" applyFont="1" applyBorder="1" applyAlignment="1">
      <alignment horizontal="center" vertical="center"/>
    </xf>
    <xf numFmtId="0" fontId="12" fillId="0" borderId="27" xfId="20" applyFont="1" applyBorder="1" applyAlignment="1">
      <alignment horizontal="center" vertical="center"/>
    </xf>
    <xf numFmtId="0" fontId="59" fillId="46" borderId="6" xfId="3" applyFont="1" applyFill="1" applyBorder="1" applyAlignment="1">
      <alignment horizontal="left" vertical="center"/>
    </xf>
    <xf numFmtId="1" fontId="40" fillId="46" borderId="6" xfId="3" applyNumberFormat="1" applyFont="1" applyFill="1" applyBorder="1" applyAlignment="1">
      <alignment horizontal="center" vertical="center"/>
    </xf>
    <xf numFmtId="0" fontId="40" fillId="46" borderId="6" xfId="3" applyFont="1" applyFill="1" applyBorder="1" applyAlignment="1">
      <alignment horizontal="center" vertical="center"/>
    </xf>
    <xf numFmtId="0" fontId="34" fillId="46" borderId="6" xfId="3" applyFont="1" applyFill="1" applyBorder="1" applyAlignment="1">
      <alignment horizontal="center" vertical="center"/>
    </xf>
    <xf numFmtId="0" fontId="11" fillId="0" borderId="16" xfId="20" applyFont="1" applyBorder="1" applyAlignment="1">
      <alignment horizontal="center"/>
    </xf>
    <xf numFmtId="0" fontId="29" fillId="0" borderId="15" xfId="20" applyFont="1" applyBorder="1" applyAlignment="1">
      <alignment horizontal="center" vertical="center"/>
    </xf>
    <xf numFmtId="0" fontId="29" fillId="0" borderId="26" xfId="20" applyFont="1" applyBorder="1" applyAlignment="1">
      <alignment horizontal="center" vertical="center"/>
    </xf>
    <xf numFmtId="0" fontId="29" fillId="0" borderId="27" xfId="20" applyFont="1" applyBorder="1" applyAlignment="1">
      <alignment horizontal="center" vertical="center"/>
    </xf>
    <xf numFmtId="0" fontId="12" fillId="0" borderId="13" xfId="20" applyFont="1" applyBorder="1" applyAlignment="1">
      <alignment horizontal="center" vertical="center"/>
    </xf>
    <xf numFmtId="0" fontId="12" fillId="0" borderId="21" xfId="20" applyFont="1" applyBorder="1" applyAlignment="1">
      <alignment horizontal="center" vertical="center"/>
    </xf>
    <xf numFmtId="0" fontId="12" fillId="0" borderId="29" xfId="20" applyFont="1" applyBorder="1" applyAlignment="1">
      <alignment horizontal="center" vertical="center"/>
    </xf>
    <xf numFmtId="167" fontId="40" fillId="0" borderId="6" xfId="3" applyNumberFormat="1" applyFont="1" applyBorder="1" applyAlignment="1">
      <alignment horizontal="center" vertical="center"/>
    </xf>
    <xf numFmtId="167" fontId="40" fillId="0" borderId="6" xfId="3" applyNumberFormat="1" applyFont="1" applyBorder="1" applyAlignment="1">
      <alignment horizontal="center" vertical="center" wrapText="1"/>
    </xf>
    <xf numFmtId="0" fontId="59" fillId="0" borderId="11" xfId="0" applyFont="1" applyBorder="1" applyAlignment="1">
      <alignment horizontal="center" vertical="center"/>
    </xf>
    <xf numFmtId="0" fontId="59" fillId="0" borderId="30" xfId="0" applyFont="1" applyBorder="1" applyAlignment="1">
      <alignment horizontal="center" vertical="center"/>
    </xf>
    <xf numFmtId="0" fontId="59" fillId="0" borderId="7" xfId="0" applyFont="1" applyBorder="1" applyAlignment="1">
      <alignment horizontal="center" vertical="center"/>
    </xf>
    <xf numFmtId="0" fontId="40" fillId="0" borderId="11" xfId="25" applyFont="1" applyBorder="1" applyAlignment="1">
      <alignment horizontal="center"/>
    </xf>
    <xf numFmtId="0" fontId="40" fillId="0" borderId="30" xfId="25" applyFont="1" applyBorder="1" applyAlignment="1">
      <alignment horizontal="center"/>
    </xf>
    <xf numFmtId="0" fontId="40" fillId="0" borderId="7" xfId="25" applyFont="1" applyBorder="1" applyAlignment="1">
      <alignment horizontal="center"/>
    </xf>
    <xf numFmtId="166" fontId="128" fillId="0" borderId="0" xfId="25" applyNumberFormat="1" applyFont="1" applyAlignment="1">
      <alignment horizontal="center"/>
    </xf>
    <xf numFmtId="0" fontId="128" fillId="0" borderId="0" xfId="25" applyFont="1" applyAlignment="1">
      <alignment horizontal="center"/>
    </xf>
    <xf numFmtId="0" fontId="40" fillId="0" borderId="14" xfId="25" applyFont="1" applyBorder="1" applyAlignment="1">
      <alignment horizontal="center" vertical="center" wrapText="1"/>
    </xf>
    <xf numFmtId="0" fontId="40" fillId="0" borderId="12" xfId="25" applyFont="1" applyBorder="1" applyAlignment="1">
      <alignment vertical="center"/>
    </xf>
    <xf numFmtId="0" fontId="40" fillId="0" borderId="11" xfId="25" applyFont="1" applyBorder="1" applyAlignment="1">
      <alignment horizontal="center" vertical="center" wrapText="1"/>
    </xf>
    <xf numFmtId="0" fontId="40" fillId="0" borderId="30" xfId="25" applyFont="1" applyBorder="1" applyAlignment="1">
      <alignment horizontal="center" vertical="center" wrapText="1"/>
    </xf>
    <xf numFmtId="0" fontId="40" fillId="0" borderId="7" xfId="25" applyFont="1" applyBorder="1" applyAlignment="1">
      <alignment horizontal="center" vertical="center" wrapText="1"/>
    </xf>
    <xf numFmtId="166" fontId="40" fillId="0" borderId="30" xfId="25" applyNumberFormat="1" applyFont="1" applyBorder="1" applyAlignment="1">
      <alignment horizontal="center" vertical="center" wrapText="1"/>
    </xf>
    <xf numFmtId="166" fontId="40" fillId="0" borderId="7" xfId="25" applyNumberFormat="1" applyFont="1" applyBorder="1" applyAlignment="1">
      <alignment horizontal="center" vertical="center" wrapText="1"/>
    </xf>
    <xf numFmtId="0" fontId="40" fillId="0" borderId="21" xfId="25" applyFont="1" applyBorder="1" applyAlignment="1">
      <alignment horizontal="center" vertical="center"/>
    </xf>
    <xf numFmtId="0" fontId="128" fillId="0" borderId="41" xfId="25" applyFont="1" applyBorder="1" applyAlignment="1" applyProtection="1">
      <alignment horizontal="center"/>
      <protection locked="0"/>
    </xf>
    <xf numFmtId="0" fontId="128" fillId="0" borderId="44" xfId="25" applyFont="1" applyBorder="1" applyAlignment="1" applyProtection="1">
      <alignment horizontal="center"/>
      <protection locked="0"/>
    </xf>
    <xf numFmtId="0" fontId="128" fillId="0" borderId="43" xfId="25" applyFont="1" applyBorder="1" applyAlignment="1" applyProtection="1">
      <alignment horizontal="center"/>
      <protection locked="0"/>
    </xf>
    <xf numFmtId="166" fontId="128" fillId="0" borderId="41" xfId="25" applyNumberFormat="1" applyFont="1" applyBorder="1" applyAlignment="1" applyProtection="1">
      <alignment horizontal="center"/>
      <protection locked="0"/>
    </xf>
    <xf numFmtId="166" fontId="128" fillId="0" borderId="43" xfId="25" applyNumberFormat="1" applyFont="1" applyBorder="1" applyAlignment="1" applyProtection="1">
      <alignment horizontal="center"/>
      <protection locked="0"/>
    </xf>
    <xf numFmtId="0" fontId="128" fillId="0" borderId="40" xfId="25" applyFont="1" applyBorder="1" applyAlignment="1" applyProtection="1">
      <alignment horizontal="center"/>
      <protection locked="0"/>
    </xf>
    <xf numFmtId="0" fontId="128" fillId="0" borderId="38" xfId="25" applyFont="1" applyBorder="1" applyAlignment="1" applyProtection="1">
      <alignment horizontal="center"/>
      <protection locked="0"/>
    </xf>
    <xf numFmtId="0" fontId="128" fillId="0" borderId="35" xfId="25" applyFont="1" applyBorder="1" applyAlignment="1" applyProtection="1">
      <alignment horizontal="center"/>
      <protection locked="0"/>
    </xf>
    <xf numFmtId="166" fontId="128" fillId="0" borderId="40" xfId="25" applyNumberFormat="1" applyFont="1" applyBorder="1" applyAlignment="1" applyProtection="1">
      <alignment horizontal="center"/>
      <protection locked="0"/>
    </xf>
    <xf numFmtId="166" fontId="128" fillId="0" borderId="35" xfId="25" applyNumberFormat="1" applyFont="1" applyBorder="1" applyAlignment="1" applyProtection="1">
      <alignment horizontal="center"/>
      <protection locked="0"/>
    </xf>
    <xf numFmtId="0" fontId="128" fillId="0" borderId="46" xfId="25" applyFont="1" applyBorder="1" applyAlignment="1">
      <alignment horizontal="center"/>
    </xf>
    <xf numFmtId="0" fontId="128" fillId="0" borderId="47" xfId="25" applyFont="1" applyBorder="1" applyAlignment="1">
      <alignment horizontal="center"/>
    </xf>
    <xf numFmtId="0" fontId="128" fillId="0" borderId="31" xfId="25" applyFont="1" applyBorder="1" applyAlignment="1">
      <alignment horizontal="center"/>
    </xf>
    <xf numFmtId="0" fontId="132" fillId="0" borderId="6" xfId="25" applyFont="1" applyBorder="1" applyAlignment="1" applyProtection="1">
      <alignment horizontal="left"/>
      <protection locked="0"/>
    </xf>
    <xf numFmtId="0" fontId="128" fillId="0" borderId="6" xfId="25" applyFont="1" applyBorder="1" applyAlignment="1" applyProtection="1">
      <alignment horizontal="left"/>
      <protection locked="0"/>
    </xf>
    <xf numFmtId="0" fontId="59" fillId="0" borderId="40" xfId="25" applyFont="1" applyBorder="1" applyAlignment="1">
      <alignment horizontal="left" vertical="center"/>
    </xf>
    <xf numFmtId="0" fontId="59" fillId="0" borderId="38" xfId="25" applyFont="1" applyBorder="1" applyAlignment="1">
      <alignment horizontal="left" vertical="center"/>
    </xf>
    <xf numFmtId="0" fontId="40" fillId="0" borderId="26" xfId="25" applyFont="1" applyBorder="1" applyAlignment="1">
      <alignment horizontal="center"/>
    </xf>
    <xf numFmtId="0" fontId="40" fillId="0" borderId="27" xfId="25" applyFont="1" applyBorder="1" applyAlignment="1">
      <alignment horizontal="center"/>
    </xf>
    <xf numFmtId="0" fontId="40" fillId="0" borderId="6" xfId="25" applyFont="1" applyBorder="1" applyAlignment="1">
      <alignment horizontal="center" vertical="center" wrapText="1"/>
    </xf>
    <xf numFmtId="0" fontId="40" fillId="0" borderId="26" xfId="25" applyFont="1" applyBorder="1" applyAlignment="1">
      <alignment horizontal="center" vertical="center"/>
    </xf>
    <xf numFmtId="0" fontId="40" fillId="0" borderId="0" xfId="25" applyFont="1" applyAlignment="1">
      <alignment horizontal="center" vertical="center"/>
    </xf>
    <xf numFmtId="0" fontId="128" fillId="0" borderId="0" xfId="25" applyFont="1" applyAlignment="1" applyProtection="1">
      <alignment horizontal="center" vertical="center"/>
      <protection locked="0"/>
    </xf>
    <xf numFmtId="0" fontId="31" fillId="0" borderId="11" xfId="25" applyFont="1" applyBorder="1" applyAlignment="1">
      <alignment horizontal="center" vertical="center"/>
    </xf>
    <xf numFmtId="0" fontId="31" fillId="0" borderId="30" xfId="25" applyFont="1" applyBorder="1" applyAlignment="1">
      <alignment horizontal="center" vertical="center"/>
    </xf>
    <xf numFmtId="0" fontId="31" fillId="0" borderId="7" xfId="25" applyFont="1" applyBorder="1" applyAlignment="1">
      <alignment horizontal="center" vertical="center"/>
    </xf>
    <xf numFmtId="0" fontId="20" fillId="0" borderId="0" xfId="25" applyFont="1" applyAlignment="1">
      <alignment horizontal="center" vertical="center"/>
    </xf>
    <xf numFmtId="181" fontId="20" fillId="0" borderId="11" xfId="25" applyNumberFormat="1" applyFont="1" applyBorder="1" applyAlignment="1">
      <alignment horizontal="center" vertical="center"/>
    </xf>
    <xf numFmtId="181" fontId="20" fillId="0" borderId="30" xfId="25" applyNumberFormat="1" applyFont="1" applyBorder="1" applyAlignment="1">
      <alignment horizontal="center" vertical="center"/>
    </xf>
    <xf numFmtId="181" fontId="20" fillId="0" borderId="7" xfId="25" applyNumberFormat="1" applyFont="1" applyBorder="1" applyAlignment="1">
      <alignment horizontal="center" vertical="center"/>
    </xf>
    <xf numFmtId="1" fontId="20" fillId="0" borderId="0" xfId="25" applyNumberFormat="1" applyFont="1" applyAlignment="1">
      <alignment horizontal="center" vertical="center"/>
    </xf>
    <xf numFmtId="0" fontId="40" fillId="0" borderId="0" xfId="25" applyFont="1" applyAlignment="1" applyProtection="1">
      <alignment horizontal="center" vertical="center"/>
      <protection locked="0"/>
    </xf>
    <xf numFmtId="0" fontId="59" fillId="3" borderId="103" xfId="7" applyFont="1" applyFill="1" applyBorder="1" applyAlignment="1">
      <alignment horizontal="center" vertical="center" wrapText="1"/>
    </xf>
    <xf numFmtId="0" fontId="59" fillId="3" borderId="128" xfId="7" applyFont="1" applyFill="1" applyBorder="1" applyAlignment="1">
      <alignment horizontal="center" vertical="center" wrapText="1"/>
    </xf>
    <xf numFmtId="0" fontId="40" fillId="0" borderId="0" xfId="26" applyFont="1" applyAlignment="1">
      <alignment horizontal="left" vertical="center"/>
    </xf>
    <xf numFmtId="0" fontId="10" fillId="0" borderId="26" xfId="3" applyFont="1" applyBorder="1"/>
    <xf numFmtId="0" fontId="172" fillId="0" borderId="15" xfId="19" applyFont="1" applyBorder="1" applyAlignment="1">
      <alignment horizontal="center" vertical="center"/>
    </xf>
    <xf numFmtId="0" fontId="172" fillId="0" borderId="26" xfId="19" applyFont="1" applyBorder="1" applyAlignment="1">
      <alignment horizontal="center" vertical="center"/>
    </xf>
    <xf numFmtId="0" fontId="172" fillId="0" borderId="27" xfId="19" applyFont="1" applyBorder="1" applyAlignment="1">
      <alignment horizontal="center" vertical="center"/>
    </xf>
    <xf numFmtId="0" fontId="145" fillId="0" borderId="15" xfId="20" applyFont="1" applyBorder="1" applyAlignment="1">
      <alignment horizontal="center" vertical="center"/>
    </xf>
    <xf numFmtId="0" fontId="145" fillId="0" borderId="26" xfId="20" applyFont="1" applyBorder="1" applyAlignment="1">
      <alignment horizontal="center" vertical="center"/>
    </xf>
    <xf numFmtId="0" fontId="145" fillId="0" borderId="27" xfId="20" applyFont="1" applyBorder="1" applyAlignment="1">
      <alignment horizontal="center" vertical="center"/>
    </xf>
    <xf numFmtId="0" fontId="11" fillId="0" borderId="126" xfId="20" applyFont="1" applyBorder="1" applyAlignment="1">
      <alignment horizontal="center" vertical="center"/>
    </xf>
    <xf numFmtId="0" fontId="11" fillId="0" borderId="0" xfId="20" applyFont="1" applyAlignment="1">
      <alignment horizontal="center" vertical="center"/>
    </xf>
    <xf numFmtId="0" fontId="11" fillId="0" borderId="28" xfId="20" applyFont="1" applyBorder="1" applyAlignment="1">
      <alignment horizontal="center" vertical="center"/>
    </xf>
    <xf numFmtId="0" fontId="11" fillId="0" borderId="13" xfId="20" applyFont="1" applyBorder="1" applyAlignment="1">
      <alignment horizontal="center" vertical="center"/>
    </xf>
    <xf numFmtId="0" fontId="11" fillId="0" borderId="21" xfId="20" applyFont="1" applyBorder="1" applyAlignment="1">
      <alignment horizontal="center" vertical="center"/>
    </xf>
    <xf numFmtId="0" fontId="11" fillId="0" borderId="29" xfId="20" applyFont="1" applyBorder="1" applyAlignment="1">
      <alignment horizontal="center" vertical="center"/>
    </xf>
    <xf numFmtId="0" fontId="20" fillId="0" borderId="0" xfId="25" applyFont="1" applyAlignment="1">
      <alignment horizontal="left" vertical="center"/>
    </xf>
    <xf numFmtId="187" fontId="40" fillId="0" borderId="0" xfId="26" applyNumberFormat="1" applyFont="1" applyAlignment="1">
      <alignment horizontal="left" vertical="center"/>
    </xf>
    <xf numFmtId="0" fontId="20" fillId="0" borderId="0" xfId="25" applyFont="1" applyAlignment="1">
      <alignment vertical="center"/>
    </xf>
    <xf numFmtId="0" fontId="20" fillId="0" borderId="0" xfId="19" applyFont="1" applyAlignment="1">
      <alignment horizontal="left" vertical="center"/>
    </xf>
    <xf numFmtId="0" fontId="20" fillId="0" borderId="0" xfId="19" quotePrefix="1" applyFont="1" applyAlignment="1">
      <alignment horizontal="left" vertical="center"/>
    </xf>
    <xf numFmtId="0" fontId="31" fillId="0" borderId="0" xfId="19" applyFont="1" applyAlignment="1">
      <alignment horizontal="left" vertical="center"/>
    </xf>
    <xf numFmtId="0" fontId="24" fillId="0" borderId="14" xfId="3" applyFont="1" applyBorder="1" applyAlignment="1">
      <alignment horizontal="center" vertical="center" wrapText="1"/>
    </xf>
    <xf numFmtId="0" fontId="24" fillId="0" borderId="127" xfId="3" applyFont="1" applyBorder="1" applyAlignment="1">
      <alignment horizontal="center" vertical="center" wrapText="1"/>
    </xf>
    <xf numFmtId="195" fontId="13" fillId="0" borderId="0" xfId="3" applyNumberFormat="1" applyFont="1"/>
    <xf numFmtId="0" fontId="59" fillId="0" borderId="0" xfId="25" applyFont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0" fontId="13" fillId="0" borderId="127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27" xfId="3" applyFont="1" applyBorder="1" applyAlignment="1">
      <alignment horizontal="center" vertical="center" wrapText="1"/>
    </xf>
    <xf numFmtId="0" fontId="61" fillId="0" borderId="14" xfId="3" applyFont="1" applyBorder="1" applyAlignment="1">
      <alignment horizontal="center" vertical="center" wrapText="1"/>
    </xf>
    <xf numFmtId="0" fontId="61" fillId="0" borderId="127" xfId="3" applyFont="1" applyBorder="1" applyAlignment="1">
      <alignment horizontal="center" vertical="center" wrapText="1"/>
    </xf>
    <xf numFmtId="2" fontId="24" fillId="0" borderId="0" xfId="3" applyNumberFormat="1" applyFont="1" applyAlignment="1" applyProtection="1">
      <alignment horizontal="center"/>
      <protection locked="0"/>
    </xf>
    <xf numFmtId="0" fontId="11" fillId="0" borderId="0" xfId="3" applyFont="1" applyAlignment="1">
      <alignment horizontal="center"/>
    </xf>
    <xf numFmtId="2" fontId="24" fillId="0" borderId="0" xfId="3" applyNumberFormat="1" applyFont="1" applyAlignment="1">
      <alignment horizontal="center"/>
    </xf>
    <xf numFmtId="0" fontId="18" fillId="0" borderId="15" xfId="3" applyFont="1" applyBorder="1" applyAlignment="1">
      <alignment horizontal="center" vertical="center" wrapText="1"/>
    </xf>
    <xf numFmtId="0" fontId="18" fillId="0" borderId="126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216" fillId="0" borderId="14" xfId="3" applyFont="1" applyBorder="1" applyAlignment="1">
      <alignment horizontal="center" vertical="center" wrapText="1"/>
    </xf>
    <xf numFmtId="0" fontId="216" fillId="0" borderId="127" xfId="3" applyFont="1" applyBorder="1" applyAlignment="1">
      <alignment horizontal="center" vertical="center" wrapText="1"/>
    </xf>
    <xf numFmtId="0" fontId="216" fillId="0" borderId="12" xfId="3" applyFont="1" applyBorder="1" applyAlignment="1">
      <alignment horizontal="center" vertical="center" wrapText="1"/>
    </xf>
    <xf numFmtId="0" fontId="11" fillId="0" borderId="127" xfId="3" applyFont="1" applyBorder="1" applyAlignment="1">
      <alignment horizontal="center" vertical="center" wrapText="1"/>
    </xf>
    <xf numFmtId="0" fontId="221" fillId="0" borderId="14" xfId="3" applyFont="1" applyBorder="1" applyAlignment="1">
      <alignment horizontal="center" vertical="center" wrapText="1"/>
    </xf>
    <xf numFmtId="0" fontId="230" fillId="0" borderId="127" xfId="3" applyFont="1" applyBorder="1" applyAlignment="1">
      <alignment horizontal="center" vertical="center" wrapText="1"/>
    </xf>
    <xf numFmtId="2" fontId="221" fillId="0" borderId="0" xfId="3" applyNumberFormat="1" applyFont="1" applyAlignment="1" applyProtection="1">
      <alignment horizontal="center"/>
      <protection locked="0"/>
    </xf>
    <xf numFmtId="0" fontId="230" fillId="0" borderId="0" xfId="3" applyFont="1" applyAlignment="1">
      <alignment horizontal="center"/>
    </xf>
    <xf numFmtId="0" fontId="226" fillId="0" borderId="14" xfId="3" applyFont="1" applyBorder="1" applyAlignment="1">
      <alignment horizontal="center" vertical="center" wrapText="1"/>
    </xf>
    <xf numFmtId="0" fontId="8" fillId="0" borderId="127" xfId="3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8" fillId="0" borderId="127" xfId="3" applyFont="1" applyBorder="1" applyAlignment="1">
      <alignment horizontal="center" vertical="center" wrapText="1"/>
    </xf>
    <xf numFmtId="0" fontId="18" fillId="0" borderId="12" xfId="3" applyFont="1" applyBorder="1" applyAlignment="1">
      <alignment horizontal="center" vertical="center" wrapText="1"/>
    </xf>
    <xf numFmtId="2" fontId="221" fillId="0" borderId="0" xfId="3" applyNumberFormat="1" applyFont="1" applyAlignment="1">
      <alignment horizontal="center"/>
    </xf>
    <xf numFmtId="0" fontId="222" fillId="0" borderId="14" xfId="3" applyFont="1" applyBorder="1" applyAlignment="1">
      <alignment horizontal="center" vertical="center" wrapText="1"/>
    </xf>
    <xf numFmtId="0" fontId="231" fillId="0" borderId="127" xfId="3" applyFont="1" applyBorder="1" applyAlignment="1">
      <alignment horizontal="center" vertical="center" wrapText="1"/>
    </xf>
    <xf numFmtId="0" fontId="231" fillId="0" borderId="12" xfId="3" applyFont="1" applyBorder="1" applyAlignment="1">
      <alignment horizontal="center" vertical="center" wrapText="1"/>
    </xf>
    <xf numFmtId="0" fontId="221" fillId="0" borderId="127" xfId="3" applyFont="1" applyBorder="1" applyAlignment="1">
      <alignment horizontal="center" vertical="center" wrapText="1"/>
    </xf>
    <xf numFmtId="195" fontId="13" fillId="0" borderId="0" xfId="3" applyNumberFormat="1" applyFont="1" applyAlignment="1">
      <alignment vertical="center"/>
    </xf>
    <xf numFmtId="195" fontId="13" fillId="0" borderId="0" xfId="3" applyNumberFormat="1" applyFont="1" applyAlignment="1">
      <alignment horizontal="left" vertical="center"/>
    </xf>
    <xf numFmtId="0" fontId="20" fillId="0" borderId="0" xfId="25" applyFont="1" applyAlignment="1">
      <alignment horizontal="left"/>
    </xf>
    <xf numFmtId="176" fontId="20" fillId="0" borderId="0" xfId="25" applyNumberFormat="1" applyFont="1" applyAlignment="1">
      <alignment horizontal="left"/>
    </xf>
    <xf numFmtId="0" fontId="31" fillId="11" borderId="6" xfId="25" applyFont="1" applyFill="1" applyBorder="1" applyAlignment="1">
      <alignment vertical="center"/>
    </xf>
    <xf numFmtId="0" fontId="20" fillId="0" borderId="6" xfId="25" applyFont="1" applyBorder="1" applyAlignment="1">
      <alignment horizontal="left" vertical="center"/>
    </xf>
    <xf numFmtId="0" fontId="31" fillId="0" borderId="6" xfId="25" applyFont="1" applyBorder="1" applyAlignment="1">
      <alignment vertical="center"/>
    </xf>
    <xf numFmtId="167" fontId="20" fillId="0" borderId="6" xfId="25" applyNumberFormat="1" applyFont="1" applyBorder="1" applyAlignment="1">
      <alignment horizontal="center" vertical="center"/>
    </xf>
    <xf numFmtId="167" fontId="31" fillId="0" borderId="6" xfId="25" applyNumberFormat="1" applyFont="1" applyBorder="1" applyAlignment="1">
      <alignment horizontal="center" vertical="center"/>
    </xf>
    <xf numFmtId="167" fontId="11" fillId="0" borderId="46" xfId="3" applyNumberFormat="1" applyFont="1" applyBorder="1" applyAlignment="1" applyProtection="1">
      <alignment horizontal="center" vertical="center"/>
      <protection locked="0"/>
    </xf>
    <xf numFmtId="167" fontId="11" fillId="0" borderId="47" xfId="3" applyNumberFormat="1" applyFont="1" applyBorder="1" applyAlignment="1" applyProtection="1">
      <alignment horizontal="center" vertical="center"/>
      <protection locked="0"/>
    </xf>
    <xf numFmtId="167" fontId="11" fillId="0" borderId="31" xfId="3" applyNumberFormat="1" applyFont="1" applyBorder="1" applyAlignment="1" applyProtection="1">
      <alignment horizontal="center" vertical="center"/>
      <protection locked="0"/>
    </xf>
    <xf numFmtId="0" fontId="40" fillId="0" borderId="11" xfId="3" applyFont="1" applyBorder="1" applyAlignment="1">
      <alignment horizontal="center" vertical="center"/>
    </xf>
    <xf numFmtId="0" fontId="40" fillId="0" borderId="30" xfId="3" applyFont="1" applyBorder="1" applyAlignment="1">
      <alignment horizontal="center" vertical="center"/>
    </xf>
    <xf numFmtId="0" fontId="40" fillId="0" borderId="7" xfId="3" applyFont="1" applyBorder="1" applyAlignment="1">
      <alignment horizontal="center" vertical="center"/>
    </xf>
    <xf numFmtId="167" fontId="26" fillId="0" borderId="41" xfId="3" applyNumberFormat="1" applyFont="1" applyBorder="1" applyAlignment="1">
      <alignment horizontal="center" vertical="center"/>
    </xf>
    <xf numFmtId="167" fontId="26" fillId="0" borderId="44" xfId="3" applyNumberFormat="1" applyFont="1" applyBorder="1" applyAlignment="1">
      <alignment horizontal="center" vertical="center"/>
    </xf>
    <xf numFmtId="167" fontId="26" fillId="0" borderId="43" xfId="3" applyNumberFormat="1" applyFont="1" applyBorder="1" applyAlignment="1">
      <alignment horizontal="center" vertical="center"/>
    </xf>
    <xf numFmtId="167" fontId="26" fillId="0" borderId="40" xfId="3" applyNumberFormat="1" applyFont="1" applyBorder="1" applyAlignment="1">
      <alignment horizontal="center" vertical="center"/>
    </xf>
    <xf numFmtId="167" fontId="26" fillId="0" borderId="38" xfId="3" applyNumberFormat="1" applyFont="1" applyBorder="1" applyAlignment="1">
      <alignment horizontal="center" vertical="center"/>
    </xf>
    <xf numFmtId="167" fontId="26" fillId="0" borderId="35" xfId="3" applyNumberFormat="1" applyFont="1" applyBorder="1" applyAlignment="1">
      <alignment horizontal="center" vertical="center"/>
    </xf>
    <xf numFmtId="167" fontId="11" fillId="0" borderId="40" xfId="3" applyNumberFormat="1" applyFont="1" applyBorder="1" applyAlignment="1" applyProtection="1">
      <alignment horizontal="center" vertical="center"/>
      <protection locked="0"/>
    </xf>
    <xf numFmtId="167" fontId="11" fillId="0" borderId="38" xfId="3" applyNumberFormat="1" applyFont="1" applyBorder="1" applyAlignment="1" applyProtection="1">
      <alignment horizontal="center" vertical="center"/>
      <protection locked="0"/>
    </xf>
    <xf numFmtId="167" fontId="11" fillId="0" borderId="35" xfId="3" applyNumberFormat="1" applyFont="1" applyBorder="1" applyAlignment="1" applyProtection="1">
      <alignment horizontal="center" vertical="center"/>
      <protection locked="0"/>
    </xf>
    <xf numFmtId="0" fontId="11" fillId="0" borderId="126" xfId="17" applyFont="1" applyBorder="1" applyAlignment="1">
      <alignment horizontal="center" vertical="center"/>
    </xf>
    <xf numFmtId="0" fontId="20" fillId="0" borderId="11" xfId="25" applyFont="1" applyBorder="1" applyAlignment="1">
      <alignment horizontal="left" vertical="center"/>
    </xf>
    <xf numFmtId="0" fontId="20" fillId="0" borderId="30" xfId="25" applyFont="1" applyBorder="1" applyAlignment="1">
      <alignment horizontal="left" vertical="center"/>
    </xf>
    <xf numFmtId="0" fontId="20" fillId="0" borderId="7" xfId="25" applyFont="1" applyBorder="1" applyAlignment="1">
      <alignment horizontal="left" vertical="center"/>
    </xf>
    <xf numFmtId="0" fontId="59" fillId="11" borderId="11" xfId="25" applyFont="1" applyFill="1" applyBorder="1" applyAlignment="1">
      <alignment horizontal="left" vertical="center"/>
    </xf>
    <xf numFmtId="0" fontId="59" fillId="11" borderId="30" xfId="25" applyFont="1" applyFill="1" applyBorder="1" applyAlignment="1">
      <alignment horizontal="left" vertical="center"/>
    </xf>
    <xf numFmtId="0" fontId="59" fillId="11" borderId="7" xfId="25" applyFont="1" applyFill="1" applyBorder="1" applyAlignment="1">
      <alignment horizontal="left" vertical="center"/>
    </xf>
  </cellXfs>
  <cellStyles count="31">
    <cellStyle name="ColLevel_1" xfId="1" builtinId="2" iLevel="0"/>
    <cellStyle name="Comma" xfId="12" builtinId="3"/>
    <cellStyle name="Comma [0] 2" xfId="30" xr:uid="{F50B74E9-5C53-415E-BFD2-E6A78CABAA84}"/>
    <cellStyle name="Comma 2" xfId="28" xr:uid="{E965E380-DE2E-462D-B3D2-A0A0BF6333BA}"/>
    <cellStyle name="Comma 3" xfId="27" xr:uid="{B5618426-4802-4BE8-9555-E4E6DF46921E}"/>
    <cellStyle name="Currency 2" xfId="9" xr:uid="{74A86F62-4A48-4523-97FC-7E6191616DED}"/>
    <cellStyle name="Normal" xfId="0" builtinId="0"/>
    <cellStyle name="Normal 2" xfId="7" xr:uid="{5D0A9438-E12F-4E6A-A203-168503BC046A}"/>
    <cellStyle name="Normal 2 2" xfId="5" xr:uid="{1FED2867-F6CB-824E-A5A3-9E730238D852}"/>
    <cellStyle name="Normal 2 3" xfId="4" xr:uid="{117CE48B-AAE0-2145-AA99-8BB25A06E629}"/>
    <cellStyle name="Normal 2 4" xfId="3" xr:uid="{0352CF88-EAF6-1F43-B57E-04230A472FF2}"/>
    <cellStyle name="Normal 2 5" xfId="11" xr:uid="{B61B86DC-7F3E-44F8-A92D-0DEACFBDC16E}"/>
    <cellStyle name="Normal 2 5 2" xfId="19" xr:uid="{20A48712-DA00-4DB7-B8B2-A8B8D2F52A61}"/>
    <cellStyle name="Normal 2 5 3" xfId="24" xr:uid="{E66EDE61-5B75-4660-9B0E-705D20F5593C}"/>
    <cellStyle name="Normal 2 6" xfId="17" xr:uid="{C459CD4E-F683-4286-AC01-617024C364F2}"/>
    <cellStyle name="Normal 3" xfId="10" xr:uid="{CBC302C1-E3FB-4BC4-80F4-67CEC426E89C}"/>
    <cellStyle name="Normal 3 2" xfId="2" xr:uid="{852E8380-A9BD-8447-BF26-B371C31FFB5B}"/>
    <cellStyle name="Normal 3 3" xfId="16" xr:uid="{BD66287F-929A-49DD-AF7B-49465AEC8549}"/>
    <cellStyle name="Normal 4" xfId="8" xr:uid="{AFEE6F33-36C7-4C65-A8F5-3530131746B1}"/>
    <cellStyle name="Normal 4 2" xfId="29" xr:uid="{FC920E93-3AD1-4D23-BD40-B073EF8BEA3B}"/>
    <cellStyle name="Normal 5" xfId="13" xr:uid="{61AF50C7-6F12-4D4D-AA1C-41C270BF2FB0}"/>
    <cellStyle name="Normal 5 2" xfId="21" xr:uid="{595E3B76-8B74-4C0C-8880-49BCB6A465DB}"/>
    <cellStyle name="Normal 5 2 2" xfId="26" xr:uid="{D2596C1F-CB23-4402-93C5-5959D9DB3145}"/>
    <cellStyle name="Normal 6" xfId="14" xr:uid="{74F81697-58B8-46D7-82A2-2568A0B82870}"/>
    <cellStyle name="Normal 7" xfId="18" xr:uid="{F3449EB8-543A-4229-AC2D-8A1D015E6FF5}"/>
    <cellStyle name="Normal 7 2" xfId="25" xr:uid="{81504C6E-C59D-4D86-A9E8-35AD14929C4A}"/>
    <cellStyle name="Normal 8" xfId="23" xr:uid="{68BBA34F-4565-4081-B522-22542B65CB44}"/>
    <cellStyle name="Normal 9" xfId="20" xr:uid="{268B27A0-27F6-4AA5-82EF-FB0CD3C8DE5C}"/>
    <cellStyle name="Normal 9 2" xfId="22" xr:uid="{B5048E70-BEC8-4196-B5F9-F43DADD99523}"/>
    <cellStyle name="Normal_DS.1-2.5" xfId="15" xr:uid="{3B921D6D-A092-4171-B67D-3284A6AD1213}"/>
    <cellStyle name="Normal_TRX-uu." xfId="6" xr:uid="{2C1354E8-46B5-6949-9113-6FE5B4502D91}"/>
  </cellStyles>
  <dxfs count="7"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theme="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FF99"/>
      <color rgb="FF3D2B1F"/>
      <color rgb="FF808080"/>
      <color rgb="FFB94E3A"/>
      <color rgb="FF2C2C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eetMetadata" Target="metadata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5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7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268094570981239E-2"/>
          <c:y val="0.10616166064488106"/>
          <c:w val="0.83715944003748666"/>
          <c:h val="0.75015689441455879"/>
        </c:manualLayout>
      </c:layout>
      <c:scatterChart>
        <c:scatterStyle val="smoothMarker"/>
        <c:varyColors val="0"/>
        <c:ser>
          <c:idx val="3"/>
          <c:order val="0"/>
          <c:tx>
            <c:v>Lempung</c:v>
          </c:tx>
          <c:spPr>
            <a:ln w="1270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GS!$Y$80:$Y$81</c:f>
              <c:numCache>
                <c:formatCode>General</c:formatCode>
                <c:ptCount val="2"/>
                <c:pt idx="0">
                  <c:v>2E-3</c:v>
                </c:pt>
                <c:pt idx="1">
                  <c:v>2E-3</c:v>
                </c:pt>
              </c:numCache>
            </c:numRef>
          </c:xVal>
          <c:yVal>
            <c:numRef>
              <c:f>GS!$Z$80:$Z$81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D0-4F44-ABF1-A11B07B4BF61}"/>
            </c:ext>
          </c:extLst>
        </c:ser>
        <c:ser>
          <c:idx val="4"/>
          <c:order val="1"/>
          <c:tx>
            <c:v>Lanau</c:v>
          </c:tx>
          <c:spPr>
            <a:ln w="12700" cap="rnd">
              <a:solidFill>
                <a:schemeClr val="accent1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GS!$Y$83:$Y$84</c:f>
              <c:numCache>
                <c:formatCode>General</c:formatCode>
                <c:ptCount val="2"/>
                <c:pt idx="0">
                  <c:v>7.3999999999999996E-2</c:v>
                </c:pt>
                <c:pt idx="1">
                  <c:v>7.3999999999999996E-2</c:v>
                </c:pt>
              </c:numCache>
            </c:numRef>
          </c:xVal>
          <c:yVal>
            <c:numRef>
              <c:f>GS!$Z$83:$Z$84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D0-4F44-ABF1-A11B07B4BF61}"/>
            </c:ext>
          </c:extLst>
        </c:ser>
        <c:ser>
          <c:idx val="2"/>
          <c:order val="3"/>
          <c:tx>
            <c:v>Pasir Sedang</c:v>
          </c:tx>
          <c:spPr>
            <a:ln w="12700" cap="rnd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GS!$Y$89:$Y$90</c:f>
              <c:numCache>
                <c:formatCode>General</c:formatCode>
                <c:ptCount val="2"/>
                <c:pt idx="0">
                  <c:v>0.84</c:v>
                </c:pt>
                <c:pt idx="1">
                  <c:v>0.84</c:v>
                </c:pt>
              </c:numCache>
            </c:numRef>
          </c:xVal>
          <c:yVal>
            <c:numRef>
              <c:f>GS!$Z$89:$Z$90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D0-4F44-ABF1-A11B07B4BF61}"/>
            </c:ext>
          </c:extLst>
        </c:ser>
        <c:ser>
          <c:idx val="6"/>
          <c:order val="5"/>
          <c:tx>
            <c:v>Kerikil Halus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GS!$Y$94:$Y$95</c:f>
              <c:numCache>
                <c:formatCode>General</c:formatCode>
                <c:ptCount val="2"/>
                <c:pt idx="0">
                  <c:v>19.100000000000001</c:v>
                </c:pt>
                <c:pt idx="1">
                  <c:v>19.100000000000001</c:v>
                </c:pt>
              </c:numCache>
            </c:numRef>
          </c:xVal>
          <c:yVal>
            <c:numRef>
              <c:f>GS!$Z$94:$Z$95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4D0-4F44-ABF1-A11B07B4BF61}"/>
            </c:ext>
          </c:extLst>
        </c:ser>
        <c:ser>
          <c:idx val="8"/>
          <c:order val="6"/>
          <c:tx>
            <c:v>0.074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GS!$X$100:$X$101</c:f>
              <c:numCache>
                <c:formatCode>0.000</c:formatCode>
                <c:ptCount val="2"/>
                <c:pt idx="0">
                  <c:v>7.3999999999999996E-2</c:v>
                </c:pt>
                <c:pt idx="1">
                  <c:v>7.3999999999999996E-2</c:v>
                </c:pt>
              </c:numCache>
            </c:numRef>
          </c:xVal>
          <c:yVal>
            <c:numRef>
              <c:f>GS!$Y$100:$Y$101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4D0-4F44-ABF1-A11B07B4BF61}"/>
            </c:ext>
          </c:extLst>
        </c:ser>
        <c:ser>
          <c:idx val="9"/>
          <c:order val="8"/>
          <c:tx>
            <c:v>0.149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GS!$X$103:$X$104</c:f>
              <c:numCache>
                <c:formatCode>0.000</c:formatCode>
                <c:ptCount val="2"/>
                <c:pt idx="0">
                  <c:v>0.14899999999999999</c:v>
                </c:pt>
                <c:pt idx="1">
                  <c:v>0.14899999999999999</c:v>
                </c:pt>
              </c:numCache>
            </c:numRef>
          </c:xVal>
          <c:yVal>
            <c:numRef>
              <c:f>GS!$Y$103:$Y$104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4D0-4F44-ABF1-A11B07B4BF61}"/>
            </c:ext>
          </c:extLst>
        </c:ser>
        <c:ser>
          <c:idx val="10"/>
          <c:order val="9"/>
          <c:tx>
            <c:v>0.177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4D0-4F44-ABF1-A11B07B4BF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GS!$X$107:$X$108</c:f>
              <c:numCache>
                <c:formatCode>General</c:formatCode>
                <c:ptCount val="2"/>
                <c:pt idx="0" formatCode="0.000">
                  <c:v>0.17699999999999999</c:v>
                </c:pt>
                <c:pt idx="1">
                  <c:v>0.17699999999999999</c:v>
                </c:pt>
              </c:numCache>
            </c:numRef>
          </c:xVal>
          <c:yVal>
            <c:numRef>
              <c:f>GS!$Y$107:$Y$108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4D0-4F44-ABF1-A11B07B4BF61}"/>
            </c:ext>
          </c:extLst>
        </c:ser>
        <c:ser>
          <c:idx val="11"/>
          <c:order val="10"/>
          <c:tx>
            <c:v>0.42</c:v>
          </c:tx>
          <c:spPr>
            <a:ln w="63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GS!$X$111:$X$112</c:f>
              <c:numCache>
                <c:formatCode>General</c:formatCode>
                <c:ptCount val="2"/>
                <c:pt idx="0" formatCode="0.000">
                  <c:v>0.42</c:v>
                </c:pt>
                <c:pt idx="1">
                  <c:v>0.42</c:v>
                </c:pt>
              </c:numCache>
            </c:numRef>
          </c:xVal>
          <c:yVal>
            <c:numRef>
              <c:f>GS!$Y$111:$Y$112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C4D0-4F44-ABF1-A11B07B4BF61}"/>
            </c:ext>
          </c:extLst>
        </c:ser>
        <c:ser>
          <c:idx val="13"/>
          <c:order val="11"/>
          <c:tx>
            <c:v>2.38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GS!$X$119:$X$120</c:f>
              <c:numCache>
                <c:formatCode>0.000</c:formatCode>
                <c:ptCount val="2"/>
                <c:pt idx="0">
                  <c:v>2.38</c:v>
                </c:pt>
                <c:pt idx="1">
                  <c:v>2.38</c:v>
                </c:pt>
              </c:numCache>
            </c:numRef>
          </c:xVal>
          <c:yVal>
            <c:numRef>
              <c:f>GS!$Y$119:$Y$120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C4D0-4F44-ABF1-A11B07B4BF61}"/>
            </c:ext>
          </c:extLst>
        </c:ser>
        <c:ser>
          <c:idx val="14"/>
          <c:order val="12"/>
          <c:tx>
            <c:v>4.76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GS!$X$123:$X$124</c:f>
              <c:numCache>
                <c:formatCode>0.000</c:formatCode>
                <c:ptCount val="2"/>
                <c:pt idx="0">
                  <c:v>4.76</c:v>
                </c:pt>
                <c:pt idx="1">
                  <c:v>4.76</c:v>
                </c:pt>
              </c:numCache>
            </c:numRef>
          </c:xVal>
          <c:yVal>
            <c:numRef>
              <c:f>GS!$Y$123:$Y$124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C4D0-4F44-ABF1-A11B07B4BF61}"/>
            </c:ext>
          </c:extLst>
        </c:ser>
        <c:ser>
          <c:idx val="15"/>
          <c:order val="13"/>
          <c:tx>
            <c:v>9.525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GS!$X$127:$X$128</c:f>
              <c:numCache>
                <c:formatCode>0.000</c:formatCode>
                <c:ptCount val="2"/>
                <c:pt idx="0">
                  <c:v>9.5250000000000004</c:v>
                </c:pt>
                <c:pt idx="1">
                  <c:v>9.5250000000000004</c:v>
                </c:pt>
              </c:numCache>
            </c:numRef>
          </c:xVal>
          <c:yVal>
            <c:numRef>
              <c:f>GS!$Y$127:$Y$128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C4D0-4F44-ABF1-A11B07B4BF61}"/>
            </c:ext>
          </c:extLst>
        </c:ser>
        <c:ser>
          <c:idx val="16"/>
          <c:order val="14"/>
          <c:tx>
            <c:v>12.7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GS!$X$131:$X$132</c:f>
              <c:numCache>
                <c:formatCode>0.000</c:formatCode>
                <c:ptCount val="2"/>
                <c:pt idx="0">
                  <c:v>12.7</c:v>
                </c:pt>
                <c:pt idx="1">
                  <c:v>12.7</c:v>
                </c:pt>
              </c:numCache>
            </c:numRef>
          </c:xVal>
          <c:yVal>
            <c:numRef>
              <c:f>GS!$Y$131:$Y$132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4D0-4F44-ABF1-A11B07B4BF61}"/>
            </c:ext>
          </c:extLst>
        </c:ser>
        <c:ser>
          <c:idx val="17"/>
          <c:order val="15"/>
          <c:tx>
            <c:v>19.05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GS!$X$135:$X$136</c:f>
              <c:numCache>
                <c:formatCode>0.000</c:formatCode>
                <c:ptCount val="2"/>
                <c:pt idx="0">
                  <c:v>19.05</c:v>
                </c:pt>
                <c:pt idx="1">
                  <c:v>19.05</c:v>
                </c:pt>
              </c:numCache>
            </c:numRef>
          </c:xVal>
          <c:yVal>
            <c:numRef>
              <c:f>GS!$Y$135:$Y$136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C4D0-4F44-ABF1-A11B07B4BF61}"/>
            </c:ext>
          </c:extLst>
        </c:ser>
        <c:ser>
          <c:idx val="20"/>
          <c:order val="19"/>
          <c:tx>
            <c:v>101.6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'Lampiran Hidrometer'!#REF!</c:f>
            </c:numRef>
          </c:xVal>
          <c:yVal>
            <c:numRef>
              <c:f>'Lampiran Hidrometer'!#REF!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C4D0-4F44-ABF1-A11B07B4B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17248"/>
        <c:axId val="611779488"/>
      </c:scatterChart>
      <c:scatterChart>
        <c:scatterStyle val="smoothMarker"/>
        <c:varyColors val="0"/>
        <c:ser>
          <c:idx val="0"/>
          <c:order val="2"/>
          <c:tx>
            <c:v>Pasir Halus</c:v>
          </c:tx>
          <c:spPr>
            <a:ln w="1270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GS!$Y$87:$Y$88</c:f>
              <c:numCache>
                <c:formatCode>General</c:formatCode>
                <c:ptCount val="2"/>
                <c:pt idx="0">
                  <c:v>0.42</c:v>
                </c:pt>
                <c:pt idx="1">
                  <c:v>0.42</c:v>
                </c:pt>
              </c:numCache>
            </c:numRef>
          </c:xVal>
          <c:yVal>
            <c:numRef>
              <c:f>GS!$Z$87:$Z$88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C4D0-4F44-ABF1-A11B07B4BF61}"/>
            </c:ext>
          </c:extLst>
        </c:ser>
        <c:ser>
          <c:idx val="5"/>
          <c:order val="4"/>
          <c:tx>
            <c:v>Pasir Kasar</c:v>
          </c:tx>
          <c:spPr>
            <a:ln w="1270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GS!$Y$91:$Y$92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GS!$Z$91:$Z$92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C4D0-4F44-ABF1-A11B07B4BF61}"/>
            </c:ext>
          </c:extLst>
        </c:ser>
        <c:ser>
          <c:idx val="21"/>
          <c:order val="7"/>
          <c:tx>
            <c:v>hidrometer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'A. GS'!$AC$4:$AC$26</c:f>
              <c:numCache>
                <c:formatCode>0.0000</c:formatCode>
                <c:ptCount val="23"/>
                <c:pt idx="0">
                  <c:v>1.1815642701103373E-3</c:v>
                </c:pt>
                <c:pt idx="1">
                  <c:v>2.687113746385127E-3</c:v>
                </c:pt>
                <c:pt idx="2">
                  <c:v>5.1171304526843502E-3</c:v>
                </c:pt>
                <c:pt idx="3">
                  <c:v>7.1294274332317402E-3</c:v>
                </c:pt>
                <c:pt idx="4">
                  <c:v>9.9284865827431682E-3</c:v>
                </c:pt>
                <c:pt idx="5">
                  <c:v>1.678846997038078E-2</c:v>
                </c:pt>
                <c:pt idx="6">
                  <c:v>2.610578711048599E-2</c:v>
                </c:pt>
                <c:pt idx="7">
                  <c:v>3.6604706693376281E-2</c:v>
                </c:pt>
                <c:pt idx="8">
                  <c:v>5.1318317643901372E-2</c:v>
                </c:pt>
                <c:pt idx="9">
                  <c:v>7.3999999999999996E-2</c:v>
                </c:pt>
                <c:pt idx="10">
                  <c:v>0.14899999999999999</c:v>
                </c:pt>
                <c:pt idx="11">
                  <c:v>0.17699999999999999</c:v>
                </c:pt>
                <c:pt idx="12">
                  <c:v>0.42</c:v>
                </c:pt>
                <c:pt idx="13">
                  <c:v>0.84</c:v>
                </c:pt>
                <c:pt idx="14">
                  <c:v>2.38</c:v>
                </c:pt>
                <c:pt idx="15">
                  <c:v>4.76</c:v>
                </c:pt>
                <c:pt idx="16">
                  <c:v>9.5250000000000004</c:v>
                </c:pt>
                <c:pt idx="17">
                  <c:v>12.7</c:v>
                </c:pt>
                <c:pt idx="18">
                  <c:v>19.05</c:v>
                </c:pt>
                <c:pt idx="19">
                  <c:v>25.4</c:v>
                </c:pt>
                <c:pt idx="20">
                  <c:v>38.1</c:v>
                </c:pt>
                <c:pt idx="21">
                  <c:v>75</c:v>
                </c:pt>
                <c:pt idx="22">
                  <c:v>101.6</c:v>
                </c:pt>
              </c:numCache>
            </c:numRef>
          </c:xVal>
          <c:yVal>
            <c:numRef>
              <c:f>'A. GS'!$AD$4:$AD$26</c:f>
              <c:numCache>
                <c:formatCode>0.00</c:formatCode>
                <c:ptCount val="23"/>
                <c:pt idx="0">
                  <c:v>35.697887899644584</c:v>
                </c:pt>
                <c:pt idx="1">
                  <c:v>54.482755241733472</c:v>
                </c:pt>
                <c:pt idx="2">
                  <c:v>65.44059452461866</c:v>
                </c:pt>
                <c:pt idx="3">
                  <c:v>68.571405748300123</c:v>
                </c:pt>
                <c:pt idx="4">
                  <c:v>71.702216971981599</c:v>
                </c:pt>
                <c:pt idx="5">
                  <c:v>76.398433807503835</c:v>
                </c:pt>
                <c:pt idx="6">
                  <c:v>79.529245031185326</c:v>
                </c:pt>
                <c:pt idx="7">
                  <c:v>81.094650643026057</c:v>
                </c:pt>
                <c:pt idx="8">
                  <c:v>82.660056254866802</c:v>
                </c:pt>
                <c:pt idx="9">
                  <c:v>85.820837299296272</c:v>
                </c:pt>
                <c:pt idx="10">
                  <c:v>87.599669199681685</c:v>
                </c:pt>
                <c:pt idx="11">
                  <c:v>88.876059107151221</c:v>
                </c:pt>
                <c:pt idx="12">
                  <c:v>91.946884703606031</c:v>
                </c:pt>
                <c:pt idx="13">
                  <c:v>95.4140465304976</c:v>
                </c:pt>
                <c:pt idx="14">
                  <c:v>98.506717430992239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C4D0-4F44-ABF1-A11B07B4BF61}"/>
            </c:ext>
          </c:extLst>
        </c:ser>
        <c:ser>
          <c:idx val="18"/>
          <c:order val="16"/>
          <c:tx>
            <c:v>25.4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GS!$X$139:$X$140</c:f>
              <c:numCache>
                <c:formatCode>0.000</c:formatCode>
                <c:ptCount val="2"/>
                <c:pt idx="0">
                  <c:v>25.4</c:v>
                </c:pt>
                <c:pt idx="1">
                  <c:v>25.4</c:v>
                </c:pt>
              </c:numCache>
            </c:numRef>
          </c:xVal>
          <c:yVal>
            <c:numRef>
              <c:f>GS!$Y$139:$Y$140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C4D0-4F44-ABF1-A11B07B4BF61}"/>
            </c:ext>
          </c:extLst>
        </c:ser>
        <c:ser>
          <c:idx val="19"/>
          <c:order val="17"/>
          <c:tx>
            <c:v>38.1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GS!$X$142:$X$143</c:f>
              <c:numCache>
                <c:formatCode>0.000</c:formatCode>
                <c:ptCount val="2"/>
                <c:pt idx="0">
                  <c:v>38.1</c:v>
                </c:pt>
                <c:pt idx="1">
                  <c:v>38.1</c:v>
                </c:pt>
              </c:numCache>
            </c:numRef>
          </c:xVal>
          <c:yVal>
            <c:numRef>
              <c:f>GS!$Y$142:$Y$143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C4D0-4F44-ABF1-A11B07B4BF61}"/>
            </c:ext>
          </c:extLst>
        </c:ser>
        <c:ser>
          <c:idx val="1"/>
          <c:order val="18"/>
          <c:tx>
            <c:v>75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GS!$X$146:$X$147</c:f>
              <c:numCache>
                <c:formatCode>0.000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xVal>
          <c:yVal>
            <c:numRef>
              <c:f>GS!$Y$146:$Y$147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C4D0-4F44-ABF1-A11B07B4B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54944"/>
        <c:axId val="1881741696"/>
      </c:scatterChart>
      <c:valAx>
        <c:axId val="611817248"/>
        <c:scaling>
          <c:logBase val="10"/>
          <c:orientation val="minMax"/>
          <c:max val="100"/>
        </c:scaling>
        <c:delete val="1"/>
        <c:axPos val="t"/>
        <c:majorGridlines>
          <c:spPr>
            <a:ln w="12700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0.000" sourceLinked="0"/>
        <c:majorTickMark val="none"/>
        <c:minorTickMark val="none"/>
        <c:tickLblPos val="nextTo"/>
        <c:crossAx val="611779488"/>
        <c:crossesAt val="100"/>
        <c:crossBetween val="midCat"/>
      </c:valAx>
      <c:valAx>
        <c:axId val="611779488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900" b="1">
                    <a:latin typeface="Aptos" panose="020B0004020202020204" pitchFamily="34" charset="0"/>
                  </a:rPr>
                  <a:t>PERSEN TERTAHAN</a:t>
                </a:r>
                <a:r>
                  <a:rPr lang="en-US" sz="900">
                    <a:latin typeface="Aptos" panose="020B0004020202020204" pitchFamily="34" charset="0"/>
                  </a:rPr>
                  <a:t>/ </a:t>
                </a:r>
                <a:r>
                  <a:rPr lang="en-US" sz="900" i="1">
                    <a:latin typeface="Aptos" panose="020B0004020202020204" pitchFamily="34" charset="0"/>
                  </a:rPr>
                  <a:t>Percent</a:t>
                </a:r>
                <a:r>
                  <a:rPr lang="en-US" sz="900" i="1" baseline="0">
                    <a:latin typeface="Aptos" panose="020B0004020202020204" pitchFamily="34" charset="0"/>
                  </a:rPr>
                  <a:t> Retained</a:t>
                </a:r>
                <a:endParaRPr lang="en-US" sz="900">
                  <a:latin typeface="Aptos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17248"/>
        <c:crossesAt val="1E-3"/>
        <c:crossBetween val="midCat"/>
        <c:majorUnit val="20"/>
        <c:minorUnit val="5"/>
      </c:valAx>
      <c:valAx>
        <c:axId val="1881741696"/>
        <c:scaling>
          <c:orientation val="minMax"/>
          <c:max val="1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900" b="1">
                    <a:latin typeface="Aptos" panose="020B0004020202020204" pitchFamily="34" charset="0"/>
                  </a:rPr>
                  <a:t>PERSEN LOLOS/ </a:t>
                </a:r>
                <a:r>
                  <a:rPr lang="en-US" sz="900" i="1">
                    <a:latin typeface="Aptos" panose="020B0004020202020204" pitchFamily="34" charset="0"/>
                  </a:rPr>
                  <a:t>Percent Passing</a:t>
                </a:r>
                <a:endParaRPr lang="en-US" sz="900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6907658718763845"/>
              <c:y val="0.25208438579586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54944"/>
        <c:crosses val="max"/>
        <c:crossBetween val="midCat"/>
        <c:minorUnit val="5"/>
      </c:valAx>
      <c:valAx>
        <c:axId val="538354944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174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56558891012163"/>
          <c:y val="7.2727434142920239E-2"/>
          <c:w val="0.85340423220231743"/>
          <c:h val="0.7818199170363925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poly"/>
            <c:order val="6"/>
            <c:intercept val="0.99983999999999995"/>
            <c:dispRSqr val="0"/>
            <c:dispEq val="1"/>
            <c:trendlineLbl>
              <c:layout>
                <c:manualLayout>
                  <c:x val="-2.5772985127297889E-2"/>
                  <c:y val="-8.5030625094247969E-2"/>
                </c:manualLayout>
              </c:layout>
              <c:numFmt formatCode="@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'A. GS'!$AX$5:$AX$12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</c:numCache>
            </c:numRef>
          </c:xVal>
          <c:yVal>
            <c:numRef>
              <c:f>'A. GS'!$AZ$5:$AZ$12</c:f>
              <c:numCache>
                <c:formatCode>General</c:formatCode>
                <c:ptCount val="8"/>
                <c:pt idx="0">
                  <c:v>0.99983999999999995</c:v>
                </c:pt>
                <c:pt idx="1">
                  <c:v>0.99995000000000001</c:v>
                </c:pt>
                <c:pt idx="2">
                  <c:v>0.99970000000000003</c:v>
                </c:pt>
                <c:pt idx="3">
                  <c:v>0.99909000000000003</c:v>
                </c:pt>
                <c:pt idx="4">
                  <c:v>0.99819999999999998</c:v>
                </c:pt>
                <c:pt idx="5">
                  <c:v>0.99704000000000004</c:v>
                </c:pt>
                <c:pt idx="6">
                  <c:v>0.99565000000000003</c:v>
                </c:pt>
                <c:pt idx="7">
                  <c:v>0.99221999999999999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B9-0841-BBC3-7A74FE3CCC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203391"/>
        <c:axId val="1"/>
      </c:scatterChart>
      <c:valAx>
        <c:axId val="178220339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temperatur</a:t>
                </a:r>
              </a:p>
            </c:rich>
          </c:tx>
          <c:layout>
            <c:manualLayout>
              <c:xMode val="edge"/>
              <c:yMode val="edge"/>
              <c:x val="0.45288011838026421"/>
              <c:y val="0.886365766779152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density of water</a:t>
                </a:r>
              </a:p>
            </c:rich>
          </c:tx>
          <c:layout>
            <c:manualLayout>
              <c:xMode val="edge"/>
              <c:yMode val="edge"/>
              <c:x val="1.3089066027240422E-2"/>
              <c:y val="0.25000046869141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220339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222845972376459E-2"/>
          <c:y val="7.2617675737966486E-2"/>
          <c:w val="0.8855910302794594"/>
          <c:h val="0.7806400141831397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poly"/>
            <c:order val="6"/>
            <c:intercept val="1.7865"/>
            <c:dispRSqr val="1"/>
            <c:dispEq val="1"/>
            <c:trendlineLbl>
              <c:layout>
                <c:manualLayout>
                  <c:x val="1.3100459027802639E-2"/>
                  <c:y val="-0.4783406298816012"/>
                </c:manualLayout>
              </c:layout>
              <c:numFmt formatCode="@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'A. GS'!$AX$5:$AX$12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</c:numCache>
            </c:numRef>
          </c:xVal>
          <c:yVal>
            <c:numRef>
              <c:f>'A. GS'!$AY$5:$AY$12</c:f>
              <c:numCache>
                <c:formatCode>General</c:formatCode>
                <c:ptCount val="8"/>
                <c:pt idx="0">
                  <c:v>1.7865</c:v>
                </c:pt>
                <c:pt idx="1">
                  <c:v>1.5138</c:v>
                </c:pt>
                <c:pt idx="2">
                  <c:v>1.3037000000000001</c:v>
                </c:pt>
                <c:pt idx="3">
                  <c:v>1.1369</c:v>
                </c:pt>
                <c:pt idx="4">
                  <c:v>1.0019</c:v>
                </c:pt>
                <c:pt idx="5">
                  <c:v>0.89090000000000003</c:v>
                </c:pt>
                <c:pt idx="6">
                  <c:v>0.79820000000000002</c:v>
                </c:pt>
                <c:pt idx="7">
                  <c:v>0.65400000000000003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34-C745-8299-C876B9A47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201727"/>
        <c:axId val="1"/>
      </c:scatterChart>
      <c:valAx>
        <c:axId val="1782201727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temperatur</a:t>
                </a:r>
              </a:p>
            </c:rich>
          </c:tx>
          <c:layout>
            <c:manualLayout>
              <c:xMode val="edge"/>
              <c:yMode val="edge"/>
              <c:x val="0.43755526693183971"/>
              <c:y val="0.88502777700490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dynamic viscosity</a:t>
                </a:r>
              </a:p>
            </c:rich>
          </c:tx>
          <c:layout>
            <c:manualLayout>
              <c:xMode val="edge"/>
              <c:yMode val="edge"/>
              <c:x val="1.310063046242931E-2"/>
              <c:y val="0.231468703337877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220172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60" verticalDpi="36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8917112942149236E-2"/>
          <c:y val="3.6231969523629802E-2"/>
          <c:w val="0.80450180822264006"/>
          <c:h val="0.88889098564638447"/>
        </c:manualLayout>
      </c:layout>
      <c:scatterChart>
        <c:scatterStyle val="lineMarker"/>
        <c:varyColors val="0"/>
        <c:ser>
          <c:idx val="0"/>
          <c:order val="0"/>
          <c:xVal>
            <c:numRef>
              <c:f>'A. GS'!$AC$4:$AC$26</c:f>
              <c:numCache>
                <c:formatCode>0.0000</c:formatCode>
                <c:ptCount val="23"/>
                <c:pt idx="0">
                  <c:v>1.1815642701103373E-3</c:v>
                </c:pt>
                <c:pt idx="1">
                  <c:v>2.687113746385127E-3</c:v>
                </c:pt>
                <c:pt idx="2">
                  <c:v>5.1171304526843502E-3</c:v>
                </c:pt>
                <c:pt idx="3">
                  <c:v>7.1294274332317402E-3</c:v>
                </c:pt>
                <c:pt idx="4">
                  <c:v>9.9284865827431682E-3</c:v>
                </c:pt>
                <c:pt idx="5">
                  <c:v>1.678846997038078E-2</c:v>
                </c:pt>
                <c:pt idx="6">
                  <c:v>2.610578711048599E-2</c:v>
                </c:pt>
                <c:pt idx="7">
                  <c:v>3.6604706693376281E-2</c:v>
                </c:pt>
                <c:pt idx="8">
                  <c:v>5.1318317643901372E-2</c:v>
                </c:pt>
                <c:pt idx="9">
                  <c:v>7.3999999999999996E-2</c:v>
                </c:pt>
                <c:pt idx="10">
                  <c:v>0.14899999999999999</c:v>
                </c:pt>
                <c:pt idx="11">
                  <c:v>0.17699999999999999</c:v>
                </c:pt>
                <c:pt idx="12">
                  <c:v>0.42</c:v>
                </c:pt>
                <c:pt idx="13">
                  <c:v>0.84</c:v>
                </c:pt>
                <c:pt idx="14">
                  <c:v>2.38</c:v>
                </c:pt>
                <c:pt idx="15">
                  <c:v>4.76</c:v>
                </c:pt>
                <c:pt idx="16">
                  <c:v>9.5250000000000004</c:v>
                </c:pt>
                <c:pt idx="17">
                  <c:v>12.7</c:v>
                </c:pt>
                <c:pt idx="18">
                  <c:v>19.05</c:v>
                </c:pt>
                <c:pt idx="19">
                  <c:v>25.4</c:v>
                </c:pt>
                <c:pt idx="20">
                  <c:v>38.1</c:v>
                </c:pt>
                <c:pt idx="21">
                  <c:v>75</c:v>
                </c:pt>
                <c:pt idx="22">
                  <c:v>101.6</c:v>
                </c:pt>
              </c:numCache>
            </c:numRef>
          </c:xVal>
          <c:yVal>
            <c:numRef>
              <c:f>'A. GS'!$AD$4:$AD$26</c:f>
              <c:numCache>
                <c:formatCode>0.00</c:formatCode>
                <c:ptCount val="23"/>
                <c:pt idx="0">
                  <c:v>35.697887899644584</c:v>
                </c:pt>
                <c:pt idx="1">
                  <c:v>54.482755241733472</c:v>
                </c:pt>
                <c:pt idx="2">
                  <c:v>65.44059452461866</c:v>
                </c:pt>
                <c:pt idx="3">
                  <c:v>68.571405748300123</c:v>
                </c:pt>
                <c:pt idx="4">
                  <c:v>71.702216971981599</c:v>
                </c:pt>
                <c:pt idx="5">
                  <c:v>76.398433807503835</c:v>
                </c:pt>
                <c:pt idx="6">
                  <c:v>79.529245031185326</c:v>
                </c:pt>
                <c:pt idx="7">
                  <c:v>81.094650643026057</c:v>
                </c:pt>
                <c:pt idx="8">
                  <c:v>82.660056254866802</c:v>
                </c:pt>
                <c:pt idx="9">
                  <c:v>85.820837299296272</c:v>
                </c:pt>
                <c:pt idx="10">
                  <c:v>87.599669199681685</c:v>
                </c:pt>
                <c:pt idx="11">
                  <c:v>88.876059107151221</c:v>
                </c:pt>
                <c:pt idx="12">
                  <c:v>91.946884703606031</c:v>
                </c:pt>
                <c:pt idx="13">
                  <c:v>95.4140465304976</c:v>
                </c:pt>
                <c:pt idx="14">
                  <c:v>98.506717430992239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86-AF4D-ACDA-B3E51412B738}"/>
            </c:ext>
          </c:extLst>
        </c:ser>
        <c:ser>
          <c:idx val="1"/>
          <c:order val="1"/>
          <c:marker>
            <c:symbol val="none"/>
          </c:marker>
          <c:xVal>
            <c:numRef>
              <c:f>'A. GS'!$O$13:$O$14</c:f>
              <c:numCache>
                <c:formatCode>General</c:formatCode>
                <c:ptCount val="2"/>
                <c:pt idx="0">
                  <c:v>5.0000000000000001E-3</c:v>
                </c:pt>
                <c:pt idx="1">
                  <c:v>5.0000000000000001E-3</c:v>
                </c:pt>
              </c:numCache>
            </c:numRef>
          </c:xVal>
          <c:yVal>
            <c:numRef>
              <c:f>'A. GS'!$P$13:$P$14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86-AF4D-ACDA-B3E51412B738}"/>
            </c:ext>
          </c:extLst>
        </c:ser>
        <c:ser>
          <c:idx val="2"/>
          <c:order val="2"/>
          <c:marker>
            <c:symbol val="none"/>
          </c:marker>
          <c:xVal>
            <c:numRef>
              <c:f>'A. GS'!$R$13:$R$14</c:f>
              <c:numCache>
                <c:formatCode>General</c:formatCode>
                <c:ptCount val="2"/>
                <c:pt idx="0">
                  <c:v>7.4999999999999997E-2</c:v>
                </c:pt>
                <c:pt idx="1">
                  <c:v>7.4999999999999997E-2</c:v>
                </c:pt>
              </c:numCache>
            </c:numRef>
          </c:xVal>
          <c:yVal>
            <c:numRef>
              <c:f>'A. GS'!$S$13:$S$14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86-AF4D-ACDA-B3E51412B738}"/>
            </c:ext>
          </c:extLst>
        </c:ser>
        <c:ser>
          <c:idx val="3"/>
          <c:order val="3"/>
          <c:xVal>
            <c:numRef>
              <c:f>'A. GS'!$U$13:$U$14</c:f>
              <c:numCache>
                <c:formatCode>General</c:formatCode>
                <c:ptCount val="2"/>
                <c:pt idx="0">
                  <c:v>4.26</c:v>
                </c:pt>
                <c:pt idx="1">
                  <c:v>4.26</c:v>
                </c:pt>
              </c:numCache>
            </c:numRef>
          </c:xVal>
          <c:yVal>
            <c:numRef>
              <c:f>'A. GS'!$V$13:$V$14</c:f>
              <c:numCache>
                <c:formatCode>General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F86-AF4D-ACDA-B3E51412B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190079"/>
        <c:axId val="1"/>
      </c:scatterChart>
      <c:valAx>
        <c:axId val="1782190079"/>
        <c:scaling>
          <c:logBase val="10"/>
          <c:orientation val="minMax"/>
        </c:scaling>
        <c:delete val="0"/>
        <c:axPos val="b"/>
        <c:majorGridlines/>
        <c:minorGridlines/>
        <c:numFmt formatCode="0.000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1E-3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2190079"/>
        <c:crossesAt val="1E-3"/>
        <c:crossBetween val="midCat"/>
      </c:valAx>
    </c:plotArea>
    <c:plotVisOnly val="1"/>
    <c:dispBlanksAs val="gap"/>
    <c:showDLblsOverMax val="0"/>
  </c:chart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0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56558891012163"/>
          <c:y val="7.2727434142920239E-2"/>
          <c:w val="0.85340423220231743"/>
          <c:h val="0.7818199170363925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poly"/>
            <c:order val="6"/>
            <c:intercept val="0.99983999999999995"/>
            <c:dispRSqr val="0"/>
            <c:dispEq val="1"/>
            <c:trendlineLbl>
              <c:layout>
                <c:manualLayout>
                  <c:x val="-2.5772985127297889E-2"/>
                  <c:y val="-8.5030625094247969E-2"/>
                </c:manualLayout>
              </c:layout>
              <c:numFmt formatCode="@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'A. GS'!$AX$5:$AX$12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</c:numCache>
            </c:numRef>
          </c:xVal>
          <c:yVal>
            <c:numRef>
              <c:f>'A. GS'!$AZ$5:$AZ$12</c:f>
              <c:numCache>
                <c:formatCode>General</c:formatCode>
                <c:ptCount val="8"/>
                <c:pt idx="0">
                  <c:v>0.99983999999999995</c:v>
                </c:pt>
                <c:pt idx="1">
                  <c:v>0.99995000000000001</c:v>
                </c:pt>
                <c:pt idx="2">
                  <c:v>0.99970000000000003</c:v>
                </c:pt>
                <c:pt idx="3">
                  <c:v>0.99909000000000003</c:v>
                </c:pt>
                <c:pt idx="4">
                  <c:v>0.99819999999999998</c:v>
                </c:pt>
                <c:pt idx="5">
                  <c:v>0.99704000000000004</c:v>
                </c:pt>
                <c:pt idx="6">
                  <c:v>0.99565000000000003</c:v>
                </c:pt>
                <c:pt idx="7">
                  <c:v>0.99221999999999999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DC-4047-BCDC-73C3B4C9B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211711"/>
        <c:axId val="1"/>
      </c:scatterChart>
      <c:valAx>
        <c:axId val="1782211711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temperatur</a:t>
                </a:r>
              </a:p>
            </c:rich>
          </c:tx>
          <c:layout>
            <c:manualLayout>
              <c:xMode val="edge"/>
              <c:yMode val="edge"/>
              <c:x val="0.45288011838026421"/>
              <c:y val="0.8863657667791525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density of water</a:t>
                </a:r>
              </a:p>
            </c:rich>
          </c:tx>
          <c:layout>
            <c:manualLayout>
              <c:xMode val="edge"/>
              <c:yMode val="edge"/>
              <c:x val="1.3089066027240422E-2"/>
              <c:y val="0.2500004686914135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22117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222845972376459E-2"/>
          <c:y val="7.2617675737966486E-2"/>
          <c:w val="0.8855910302794594"/>
          <c:h val="0.7806400141831397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poly"/>
            <c:order val="6"/>
            <c:intercept val="1.7865"/>
            <c:dispRSqr val="1"/>
            <c:dispEq val="1"/>
            <c:trendlineLbl>
              <c:layout>
                <c:manualLayout>
                  <c:x val="1.3100459027802639E-2"/>
                  <c:y val="-0.4783406298816012"/>
                </c:manualLayout>
              </c:layout>
              <c:numFmt formatCode="@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800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</c:trendlineLbl>
          </c:trendline>
          <c:xVal>
            <c:numRef>
              <c:f>'A. GS'!$AX$5:$AX$12</c:f>
              <c:numCache>
                <c:formatCode>General</c:formatCode>
                <c:ptCount val="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40</c:v>
                </c:pt>
              </c:numCache>
            </c:numRef>
          </c:xVal>
          <c:yVal>
            <c:numRef>
              <c:f>'A. GS'!$AY$5:$AY$12</c:f>
              <c:numCache>
                <c:formatCode>General</c:formatCode>
                <c:ptCount val="8"/>
                <c:pt idx="0">
                  <c:v>1.7865</c:v>
                </c:pt>
                <c:pt idx="1">
                  <c:v>1.5138</c:v>
                </c:pt>
                <c:pt idx="2">
                  <c:v>1.3037000000000001</c:v>
                </c:pt>
                <c:pt idx="3">
                  <c:v>1.1369</c:v>
                </c:pt>
                <c:pt idx="4">
                  <c:v>1.0019</c:v>
                </c:pt>
                <c:pt idx="5">
                  <c:v>0.89090000000000003</c:v>
                </c:pt>
                <c:pt idx="6">
                  <c:v>0.79820000000000002</c:v>
                </c:pt>
                <c:pt idx="7">
                  <c:v>0.65400000000000003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30-9A41-88B9-3408E1C9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2185919"/>
        <c:axId val="1"/>
      </c:scatterChart>
      <c:valAx>
        <c:axId val="1782185919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temperatur</a:t>
                </a:r>
              </a:p>
            </c:rich>
          </c:tx>
          <c:layout>
            <c:manualLayout>
              <c:xMode val="edge"/>
              <c:yMode val="edge"/>
              <c:x val="0.43755526693183971"/>
              <c:y val="0.885027777004906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dynamic viscosity</a:t>
                </a:r>
              </a:p>
            </c:rich>
          </c:tx>
          <c:layout>
            <c:manualLayout>
              <c:xMode val="edge"/>
              <c:yMode val="edge"/>
              <c:x val="1.310063046242931E-2"/>
              <c:y val="0.2314687033378778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821859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60" verticalDpi="36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7268094570981239E-2"/>
          <c:y val="0.10616166064488106"/>
          <c:w val="0.83715944003748666"/>
          <c:h val="0.75015689441455879"/>
        </c:manualLayout>
      </c:layout>
      <c:scatterChart>
        <c:scatterStyle val="smoothMarker"/>
        <c:varyColors val="0"/>
        <c:ser>
          <c:idx val="3"/>
          <c:order val="0"/>
          <c:tx>
            <c:v>Lempung</c:v>
          </c:tx>
          <c:spPr>
            <a:ln w="1270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GS!$Y$80:$Y$81</c:f>
              <c:numCache>
                <c:formatCode>General</c:formatCode>
                <c:ptCount val="2"/>
                <c:pt idx="0">
                  <c:v>2E-3</c:v>
                </c:pt>
                <c:pt idx="1">
                  <c:v>2E-3</c:v>
                </c:pt>
              </c:numCache>
            </c:numRef>
          </c:xVal>
          <c:yVal>
            <c:numRef>
              <c:f>GS!$Z$80:$Z$81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EF-254E-B060-AB1EC561CA7C}"/>
            </c:ext>
          </c:extLst>
        </c:ser>
        <c:ser>
          <c:idx val="4"/>
          <c:order val="1"/>
          <c:tx>
            <c:v>Lanau</c:v>
          </c:tx>
          <c:spPr>
            <a:ln w="12700" cap="rnd">
              <a:solidFill>
                <a:schemeClr val="accent1">
                  <a:lumMod val="60000"/>
                  <a:lumOff val="40000"/>
                </a:schemeClr>
              </a:solidFill>
              <a:prstDash val="dash"/>
              <a:round/>
            </a:ln>
            <a:effectLst/>
          </c:spPr>
          <c:marker>
            <c:symbol val="plus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GS!$Y$83:$Y$84</c:f>
              <c:numCache>
                <c:formatCode>General</c:formatCode>
                <c:ptCount val="2"/>
                <c:pt idx="0">
                  <c:v>7.3999999999999996E-2</c:v>
                </c:pt>
                <c:pt idx="1">
                  <c:v>7.3999999999999996E-2</c:v>
                </c:pt>
              </c:numCache>
            </c:numRef>
          </c:xVal>
          <c:yVal>
            <c:numRef>
              <c:f>GS!$Z$83:$Z$84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9EF-254E-B060-AB1EC561CA7C}"/>
            </c:ext>
          </c:extLst>
        </c:ser>
        <c:ser>
          <c:idx val="2"/>
          <c:order val="3"/>
          <c:tx>
            <c:v>Pasir Sedang</c:v>
          </c:tx>
          <c:spPr>
            <a:ln w="12700" cap="rnd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GS!$Y$89:$Y$90</c:f>
              <c:numCache>
                <c:formatCode>General</c:formatCode>
                <c:ptCount val="2"/>
                <c:pt idx="0">
                  <c:v>0.84</c:v>
                </c:pt>
                <c:pt idx="1">
                  <c:v>0.84</c:v>
                </c:pt>
              </c:numCache>
            </c:numRef>
          </c:xVal>
          <c:yVal>
            <c:numRef>
              <c:f>GS!$Z$89:$Z$90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9EF-254E-B060-AB1EC561CA7C}"/>
            </c:ext>
          </c:extLst>
        </c:ser>
        <c:ser>
          <c:idx val="6"/>
          <c:order val="5"/>
          <c:tx>
            <c:v>Kerikil Halus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GS!$Y$94:$Y$95</c:f>
              <c:numCache>
                <c:formatCode>General</c:formatCode>
                <c:ptCount val="2"/>
                <c:pt idx="0">
                  <c:v>19.100000000000001</c:v>
                </c:pt>
                <c:pt idx="1">
                  <c:v>19.100000000000001</c:v>
                </c:pt>
              </c:numCache>
            </c:numRef>
          </c:xVal>
          <c:yVal>
            <c:numRef>
              <c:f>GS!$Z$94:$Z$95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19EF-254E-B060-AB1EC561CA7C}"/>
            </c:ext>
          </c:extLst>
        </c:ser>
        <c:ser>
          <c:idx val="8"/>
          <c:order val="6"/>
          <c:tx>
            <c:v>0.074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GS!$X$100:$X$101</c:f>
              <c:numCache>
                <c:formatCode>0.000</c:formatCode>
                <c:ptCount val="2"/>
                <c:pt idx="0">
                  <c:v>7.3999999999999996E-2</c:v>
                </c:pt>
                <c:pt idx="1">
                  <c:v>7.3999999999999996E-2</c:v>
                </c:pt>
              </c:numCache>
            </c:numRef>
          </c:xVal>
          <c:yVal>
            <c:numRef>
              <c:f>GS!$Y$100:$Y$101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9EF-254E-B060-AB1EC561CA7C}"/>
            </c:ext>
          </c:extLst>
        </c:ser>
        <c:ser>
          <c:idx val="9"/>
          <c:order val="8"/>
          <c:tx>
            <c:v>0.149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GS!$X$103:$X$104</c:f>
              <c:numCache>
                <c:formatCode>0.000</c:formatCode>
                <c:ptCount val="2"/>
                <c:pt idx="0">
                  <c:v>0.14899999999999999</c:v>
                </c:pt>
                <c:pt idx="1">
                  <c:v>0.14899999999999999</c:v>
                </c:pt>
              </c:numCache>
            </c:numRef>
          </c:xVal>
          <c:yVal>
            <c:numRef>
              <c:f>GS!$Y$103:$Y$104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9EF-254E-B060-AB1EC561CA7C}"/>
            </c:ext>
          </c:extLst>
        </c:ser>
        <c:ser>
          <c:idx val="10"/>
          <c:order val="9"/>
          <c:tx>
            <c:v>0.177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EF-254E-B060-AB1EC561CA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GS!$X$107:$X$108</c:f>
              <c:numCache>
                <c:formatCode>General</c:formatCode>
                <c:ptCount val="2"/>
                <c:pt idx="0" formatCode="0.000">
                  <c:v>0.17699999999999999</c:v>
                </c:pt>
                <c:pt idx="1">
                  <c:v>0.17699999999999999</c:v>
                </c:pt>
              </c:numCache>
            </c:numRef>
          </c:xVal>
          <c:yVal>
            <c:numRef>
              <c:f>GS!$Y$107:$Y$108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19EF-254E-B060-AB1EC561CA7C}"/>
            </c:ext>
          </c:extLst>
        </c:ser>
        <c:ser>
          <c:idx val="11"/>
          <c:order val="10"/>
          <c:tx>
            <c:v>0.42</c:v>
          </c:tx>
          <c:spPr>
            <a:ln w="635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GS!$X$111:$X$112</c:f>
              <c:numCache>
                <c:formatCode>General</c:formatCode>
                <c:ptCount val="2"/>
                <c:pt idx="0" formatCode="0.000">
                  <c:v>0.42</c:v>
                </c:pt>
                <c:pt idx="1">
                  <c:v>0.42</c:v>
                </c:pt>
              </c:numCache>
            </c:numRef>
          </c:xVal>
          <c:yVal>
            <c:numRef>
              <c:f>GS!$Y$111:$Y$112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19EF-254E-B060-AB1EC561CA7C}"/>
            </c:ext>
          </c:extLst>
        </c:ser>
        <c:ser>
          <c:idx val="13"/>
          <c:order val="11"/>
          <c:tx>
            <c:v>2.38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GS!$X$119:$X$120</c:f>
              <c:numCache>
                <c:formatCode>0.000</c:formatCode>
                <c:ptCount val="2"/>
                <c:pt idx="0">
                  <c:v>2.38</c:v>
                </c:pt>
                <c:pt idx="1">
                  <c:v>2.38</c:v>
                </c:pt>
              </c:numCache>
            </c:numRef>
          </c:xVal>
          <c:yVal>
            <c:numRef>
              <c:f>GS!$Y$119:$Y$120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19EF-254E-B060-AB1EC561CA7C}"/>
            </c:ext>
          </c:extLst>
        </c:ser>
        <c:ser>
          <c:idx val="14"/>
          <c:order val="12"/>
          <c:tx>
            <c:v>4.76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GS!$X$123:$X$124</c:f>
              <c:numCache>
                <c:formatCode>0.000</c:formatCode>
                <c:ptCount val="2"/>
                <c:pt idx="0">
                  <c:v>4.76</c:v>
                </c:pt>
                <c:pt idx="1">
                  <c:v>4.76</c:v>
                </c:pt>
              </c:numCache>
            </c:numRef>
          </c:xVal>
          <c:yVal>
            <c:numRef>
              <c:f>GS!$Y$123:$Y$124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19EF-254E-B060-AB1EC561CA7C}"/>
            </c:ext>
          </c:extLst>
        </c:ser>
        <c:ser>
          <c:idx val="15"/>
          <c:order val="13"/>
          <c:tx>
            <c:v>9.525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GS!$X$127:$X$128</c:f>
              <c:numCache>
                <c:formatCode>0.000</c:formatCode>
                <c:ptCount val="2"/>
                <c:pt idx="0">
                  <c:v>9.5250000000000004</c:v>
                </c:pt>
                <c:pt idx="1">
                  <c:v>9.5250000000000004</c:v>
                </c:pt>
              </c:numCache>
            </c:numRef>
          </c:xVal>
          <c:yVal>
            <c:numRef>
              <c:f>GS!$Y$127:$Y$128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19EF-254E-B060-AB1EC561CA7C}"/>
            </c:ext>
          </c:extLst>
        </c:ser>
        <c:ser>
          <c:idx val="16"/>
          <c:order val="14"/>
          <c:tx>
            <c:v>12.7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GS!$X$131:$X$132</c:f>
              <c:numCache>
                <c:formatCode>0.000</c:formatCode>
                <c:ptCount val="2"/>
                <c:pt idx="0">
                  <c:v>12.7</c:v>
                </c:pt>
                <c:pt idx="1">
                  <c:v>12.7</c:v>
                </c:pt>
              </c:numCache>
            </c:numRef>
          </c:xVal>
          <c:yVal>
            <c:numRef>
              <c:f>GS!$Y$131:$Y$132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19EF-254E-B060-AB1EC561CA7C}"/>
            </c:ext>
          </c:extLst>
        </c:ser>
        <c:ser>
          <c:idx val="17"/>
          <c:order val="15"/>
          <c:tx>
            <c:v>19.05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GS!$X$135:$X$136</c:f>
              <c:numCache>
                <c:formatCode>0.000</c:formatCode>
                <c:ptCount val="2"/>
                <c:pt idx="0">
                  <c:v>19.05</c:v>
                </c:pt>
                <c:pt idx="1">
                  <c:v>19.05</c:v>
                </c:pt>
              </c:numCache>
            </c:numRef>
          </c:xVal>
          <c:yVal>
            <c:numRef>
              <c:f>GS!$Y$135:$Y$136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19EF-254E-B060-AB1EC561CA7C}"/>
            </c:ext>
          </c:extLst>
        </c:ser>
        <c:ser>
          <c:idx val="20"/>
          <c:order val="19"/>
          <c:tx>
            <c:v>101.6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'Lampiran Hidrometer'!#REF!</c:f>
            </c:numRef>
          </c:xVal>
          <c:yVal>
            <c:numRef>
              <c:f>'Lampiran Hidrometer'!#REF!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6-19EF-254E-B060-AB1EC561C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817248"/>
        <c:axId val="611779488"/>
      </c:scatterChart>
      <c:scatterChart>
        <c:scatterStyle val="smoothMarker"/>
        <c:varyColors val="0"/>
        <c:ser>
          <c:idx val="0"/>
          <c:order val="2"/>
          <c:tx>
            <c:v>Pasir Halus</c:v>
          </c:tx>
          <c:spPr>
            <a:ln w="1270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GS!$Y$87:$Y$88</c:f>
              <c:numCache>
                <c:formatCode>General</c:formatCode>
                <c:ptCount val="2"/>
                <c:pt idx="0">
                  <c:v>0.42</c:v>
                </c:pt>
                <c:pt idx="1">
                  <c:v>0.42</c:v>
                </c:pt>
              </c:numCache>
            </c:numRef>
          </c:xVal>
          <c:yVal>
            <c:numRef>
              <c:f>GS!$Z$87:$Z$88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19EF-254E-B060-AB1EC561CA7C}"/>
            </c:ext>
          </c:extLst>
        </c:ser>
        <c:ser>
          <c:idx val="5"/>
          <c:order val="4"/>
          <c:tx>
            <c:v>Pasir Kasar</c:v>
          </c:tx>
          <c:spPr>
            <a:ln w="12700" cap="rnd">
              <a:solidFill>
                <a:schemeClr val="bg2">
                  <a:lumMod val="50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GS!$Y$91:$Y$92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GS!$Z$91:$Z$92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19EF-254E-B060-AB1EC561CA7C}"/>
            </c:ext>
          </c:extLst>
        </c:ser>
        <c:ser>
          <c:idx val="21"/>
          <c:order val="7"/>
          <c:tx>
            <c:v>hidrometer</c:v>
          </c:tx>
          <c:spPr>
            <a:ln w="158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'A. GS'!$AC$4:$AC$26</c:f>
              <c:numCache>
                <c:formatCode>0.0000</c:formatCode>
                <c:ptCount val="23"/>
                <c:pt idx="0">
                  <c:v>1.1815642701103373E-3</c:v>
                </c:pt>
                <c:pt idx="1">
                  <c:v>2.687113746385127E-3</c:v>
                </c:pt>
                <c:pt idx="2">
                  <c:v>5.1171304526843502E-3</c:v>
                </c:pt>
                <c:pt idx="3">
                  <c:v>7.1294274332317402E-3</c:v>
                </c:pt>
                <c:pt idx="4">
                  <c:v>9.9284865827431682E-3</c:v>
                </c:pt>
                <c:pt idx="5">
                  <c:v>1.678846997038078E-2</c:v>
                </c:pt>
                <c:pt idx="6">
                  <c:v>2.610578711048599E-2</c:v>
                </c:pt>
                <c:pt idx="7">
                  <c:v>3.6604706693376281E-2</c:v>
                </c:pt>
                <c:pt idx="8">
                  <c:v>5.1318317643901372E-2</c:v>
                </c:pt>
                <c:pt idx="9">
                  <c:v>7.3999999999999996E-2</c:v>
                </c:pt>
                <c:pt idx="10">
                  <c:v>0.14899999999999999</c:v>
                </c:pt>
                <c:pt idx="11">
                  <c:v>0.17699999999999999</c:v>
                </c:pt>
                <c:pt idx="12">
                  <c:v>0.42</c:v>
                </c:pt>
                <c:pt idx="13">
                  <c:v>0.84</c:v>
                </c:pt>
                <c:pt idx="14">
                  <c:v>2.38</c:v>
                </c:pt>
                <c:pt idx="15">
                  <c:v>4.76</c:v>
                </c:pt>
                <c:pt idx="16">
                  <c:v>9.5250000000000004</c:v>
                </c:pt>
                <c:pt idx="17">
                  <c:v>12.7</c:v>
                </c:pt>
                <c:pt idx="18">
                  <c:v>19.05</c:v>
                </c:pt>
                <c:pt idx="19">
                  <c:v>25.4</c:v>
                </c:pt>
                <c:pt idx="20">
                  <c:v>38.1</c:v>
                </c:pt>
                <c:pt idx="21">
                  <c:v>75</c:v>
                </c:pt>
                <c:pt idx="22">
                  <c:v>101.6</c:v>
                </c:pt>
              </c:numCache>
            </c:numRef>
          </c:xVal>
          <c:yVal>
            <c:numRef>
              <c:f>'A. GS'!$AD$4:$AD$26</c:f>
              <c:numCache>
                <c:formatCode>0.00</c:formatCode>
                <c:ptCount val="23"/>
                <c:pt idx="0">
                  <c:v>35.697887899644584</c:v>
                </c:pt>
                <c:pt idx="1">
                  <c:v>54.482755241733472</c:v>
                </c:pt>
                <c:pt idx="2">
                  <c:v>65.44059452461866</c:v>
                </c:pt>
                <c:pt idx="3">
                  <c:v>68.571405748300123</c:v>
                </c:pt>
                <c:pt idx="4">
                  <c:v>71.702216971981599</c:v>
                </c:pt>
                <c:pt idx="5">
                  <c:v>76.398433807503835</c:v>
                </c:pt>
                <c:pt idx="6">
                  <c:v>79.529245031185326</c:v>
                </c:pt>
                <c:pt idx="7">
                  <c:v>81.094650643026057</c:v>
                </c:pt>
                <c:pt idx="8">
                  <c:v>82.660056254866802</c:v>
                </c:pt>
                <c:pt idx="9">
                  <c:v>85.820837299296272</c:v>
                </c:pt>
                <c:pt idx="10">
                  <c:v>87.599669199681685</c:v>
                </c:pt>
                <c:pt idx="11">
                  <c:v>88.876059107151221</c:v>
                </c:pt>
                <c:pt idx="12">
                  <c:v>91.946884703606031</c:v>
                </c:pt>
                <c:pt idx="13">
                  <c:v>95.4140465304976</c:v>
                </c:pt>
                <c:pt idx="14">
                  <c:v>98.506717430992239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8-19EF-254E-B060-AB1EC561CA7C}"/>
            </c:ext>
          </c:extLst>
        </c:ser>
        <c:ser>
          <c:idx val="18"/>
          <c:order val="16"/>
          <c:tx>
            <c:v>25.4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GS!$X$139:$X$140</c:f>
              <c:numCache>
                <c:formatCode>0.000</c:formatCode>
                <c:ptCount val="2"/>
                <c:pt idx="0">
                  <c:v>25.4</c:v>
                </c:pt>
                <c:pt idx="1">
                  <c:v>25.4</c:v>
                </c:pt>
              </c:numCache>
            </c:numRef>
          </c:xVal>
          <c:yVal>
            <c:numRef>
              <c:f>GS!$Y$139:$Y$140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19EF-254E-B060-AB1EC561CA7C}"/>
            </c:ext>
          </c:extLst>
        </c:ser>
        <c:ser>
          <c:idx val="19"/>
          <c:order val="17"/>
          <c:tx>
            <c:v>38.1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GS!$X$142:$X$143</c:f>
              <c:numCache>
                <c:formatCode>0.000</c:formatCode>
                <c:ptCount val="2"/>
                <c:pt idx="0">
                  <c:v>38.1</c:v>
                </c:pt>
                <c:pt idx="1">
                  <c:v>38.1</c:v>
                </c:pt>
              </c:numCache>
            </c:numRef>
          </c:xVal>
          <c:yVal>
            <c:numRef>
              <c:f>GS!$Y$142:$Y$143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4-19EF-254E-B060-AB1EC561CA7C}"/>
            </c:ext>
          </c:extLst>
        </c:ser>
        <c:ser>
          <c:idx val="1"/>
          <c:order val="18"/>
          <c:tx>
            <c:v>75</c:v>
          </c:tx>
          <c:spPr>
            <a:ln w="6350" cap="rnd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GS!$X$146:$X$147</c:f>
              <c:numCache>
                <c:formatCode>0.000</c:formatCode>
                <c:ptCount val="2"/>
                <c:pt idx="0">
                  <c:v>75</c:v>
                </c:pt>
                <c:pt idx="1">
                  <c:v>75</c:v>
                </c:pt>
              </c:numCache>
            </c:numRef>
          </c:xVal>
          <c:yVal>
            <c:numRef>
              <c:f>GS!$Y$146:$Y$147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5-19EF-254E-B060-AB1EC561C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354944"/>
        <c:axId val="1881741696"/>
      </c:scatterChart>
      <c:valAx>
        <c:axId val="611817248"/>
        <c:scaling>
          <c:logBase val="10"/>
          <c:orientation val="minMax"/>
          <c:max val="100"/>
        </c:scaling>
        <c:delete val="1"/>
        <c:axPos val="t"/>
        <c:majorGridlines>
          <c:spPr>
            <a:ln w="12700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</c:spPr>
        </c:majorGridlines>
        <c:minorGridlines>
          <c:spPr>
            <a:ln w="6350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inorGridlines>
        <c:numFmt formatCode="0.000" sourceLinked="0"/>
        <c:majorTickMark val="none"/>
        <c:minorTickMark val="none"/>
        <c:tickLblPos val="nextTo"/>
        <c:crossAx val="611779488"/>
        <c:crossesAt val="100"/>
        <c:crossBetween val="midCat"/>
      </c:valAx>
      <c:valAx>
        <c:axId val="611779488"/>
        <c:scaling>
          <c:orientation val="maxMin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900" b="1">
                    <a:latin typeface="Aptos" panose="020B0004020202020204" pitchFamily="34" charset="0"/>
                  </a:rPr>
                  <a:t>PERSEN TERTAHAN</a:t>
                </a:r>
                <a:r>
                  <a:rPr lang="en-US" sz="900">
                    <a:latin typeface="Aptos" panose="020B0004020202020204" pitchFamily="34" charset="0"/>
                  </a:rPr>
                  <a:t>/ </a:t>
                </a:r>
                <a:r>
                  <a:rPr lang="en-US" sz="900" i="1">
                    <a:latin typeface="Aptos" panose="020B0004020202020204" pitchFamily="34" charset="0"/>
                  </a:rPr>
                  <a:t>Percent</a:t>
                </a:r>
                <a:r>
                  <a:rPr lang="en-US" sz="900" i="1" baseline="0">
                    <a:latin typeface="Aptos" panose="020B0004020202020204" pitchFamily="34" charset="0"/>
                  </a:rPr>
                  <a:t> Retained</a:t>
                </a:r>
                <a:endParaRPr lang="en-US" sz="900">
                  <a:latin typeface="Aptos" panose="020B00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817248"/>
        <c:crossesAt val="1E-3"/>
        <c:crossBetween val="midCat"/>
        <c:majorUnit val="20"/>
        <c:minorUnit val="5"/>
      </c:valAx>
      <c:valAx>
        <c:axId val="1881741696"/>
        <c:scaling>
          <c:orientation val="minMax"/>
          <c:max val="1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sz="900" b="1">
                    <a:latin typeface="Aptos" panose="020B0004020202020204" pitchFamily="34" charset="0"/>
                  </a:rPr>
                  <a:t>PERSEN LOLOS/ </a:t>
                </a:r>
                <a:r>
                  <a:rPr lang="en-US" sz="900" i="1">
                    <a:latin typeface="Aptos" panose="020B0004020202020204" pitchFamily="34" charset="0"/>
                  </a:rPr>
                  <a:t>Percent Passing</a:t>
                </a:r>
                <a:endParaRPr lang="en-US" sz="900">
                  <a:latin typeface="Aptos" panose="020B0004020202020204" pitchFamily="34" charset="0"/>
                </a:endParaRPr>
              </a:p>
            </c:rich>
          </c:tx>
          <c:layout>
            <c:manualLayout>
              <c:xMode val="edge"/>
              <c:yMode val="edge"/>
              <c:x val="0.96907658718763845"/>
              <c:y val="0.252084385795865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8354944"/>
        <c:crosses val="max"/>
        <c:crossBetween val="midCat"/>
        <c:minorUnit val="5"/>
      </c:valAx>
      <c:valAx>
        <c:axId val="538354944"/>
        <c:scaling>
          <c:logBase val="10"/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881741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145111171448383E-2"/>
          <c:y val="5.1251348683455385E-2"/>
          <c:w val="0.8810191637922653"/>
          <c:h val="0.7893066427920999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og"/>
            <c:dispRSqr val="0"/>
            <c:dispEq val="0"/>
          </c:trendline>
          <c:xVal>
            <c:numRef>
              <c:f>ATB!$S$26:$AC$26</c:f>
              <c:numCache>
                <c:formatCode>0</c:formatCode>
                <c:ptCount val="11"/>
              </c:numCache>
            </c:numRef>
          </c:xVal>
          <c:yVal>
            <c:numRef>
              <c:f>ATB!$S$34:$AC$34</c:f>
              <c:numCache>
                <c:formatCode>0.000</c:formatCode>
                <c:ptCount val="11"/>
                <c:pt idx="0">
                  <c:v>0</c:v>
                </c:pt>
                <c:pt idx="3">
                  <c:v>0</c:v>
                </c:pt>
                <c:pt idx="6">
                  <c:v>0</c:v>
                </c:pt>
                <c:pt idx="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6B7-4E00-807A-F42A8427B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821872"/>
        <c:axId val="1301240720"/>
      </c:scatterChart>
      <c:scatterChart>
        <c:scatterStyle val="smoothMarker"/>
        <c:varyColors val="0"/>
        <c:ser>
          <c:idx val="1"/>
          <c:order val="1"/>
          <c:tx>
            <c:v>VL-25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ATB!$AI$20:$AI$21</c:f>
              <c:numCache>
                <c:formatCode>General</c:formatCode>
                <c:ptCount val="2"/>
                <c:pt idx="0">
                  <c:v>25</c:v>
                </c:pt>
                <c:pt idx="1">
                  <c:v>25</c:v>
                </c:pt>
              </c:numCache>
            </c:numRef>
          </c:xVal>
          <c:yVal>
            <c:numRef>
              <c:f>ATB!$AJ$20:$AJ$21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B7-4E00-807A-F42A8427B442}"/>
            </c:ext>
          </c:extLst>
        </c:ser>
        <c:ser>
          <c:idx val="2"/>
          <c:order val="2"/>
          <c:tx>
            <c:v>HL-25</c:v>
          </c:tx>
          <c:spPr>
            <a:ln w="1270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ATB!$AK$20:$AK$21</c:f>
              <c:numCache>
                <c:formatCode>General</c:formatCode>
                <c:ptCount val="2"/>
                <c:pt idx="0">
                  <c:v>1</c:v>
                </c:pt>
                <c:pt idx="1">
                  <c:v>25</c:v>
                </c:pt>
              </c:numCache>
            </c:numRef>
          </c:xVal>
          <c:yVal>
            <c:numRef>
              <c:f>ATB!$AL$20:$AL$21</c:f>
              <c:numCache>
                <c:formatCode>0.00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B7-4E00-807A-F42A8427B4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7821872"/>
        <c:axId val="1301240720"/>
      </c:scatterChart>
      <c:valAx>
        <c:axId val="1307821872"/>
        <c:scaling>
          <c:logBase val="10"/>
          <c:orientation val="minMax"/>
          <c:min val="1"/>
        </c:scaling>
        <c:delete val="0"/>
        <c:axPos val="b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Jumlah Ketukan /Num. of Blows</a:t>
                </a:r>
              </a:p>
            </c:rich>
          </c:tx>
          <c:layout>
            <c:manualLayout>
              <c:xMode val="edge"/>
              <c:yMode val="edge"/>
              <c:x val="0.38899271187493895"/>
              <c:y val="0.938510441296878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01240720"/>
        <c:crosses val="autoZero"/>
        <c:crossBetween val="midCat"/>
      </c:valAx>
      <c:valAx>
        <c:axId val="1301240720"/>
        <c:scaling>
          <c:orientation val="minMax"/>
          <c:max val="6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Kadar Air/Moisture Content (%)</a:t>
                </a:r>
              </a:p>
            </c:rich>
          </c:tx>
          <c:layout>
            <c:manualLayout>
              <c:xMode val="edge"/>
              <c:yMode val="edge"/>
              <c:x val="1.2375847655058306E-4"/>
              <c:y val="8.5274256195071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307821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1000" b="1">
                <a:latin typeface="Aptos" panose="020B0004020202020204" pitchFamily="34" charset="0"/>
              </a:rPr>
              <a:t>Grafik Plastisitas /</a:t>
            </a:r>
            <a:r>
              <a:rPr lang="en-US" sz="1000" b="1" i="1">
                <a:latin typeface="Aptos" panose="020B0004020202020204" pitchFamily="34" charset="0"/>
              </a:rPr>
              <a:t>Plasticity</a:t>
            </a:r>
            <a:r>
              <a:rPr lang="en-US" sz="1000" b="1" i="1" baseline="0">
                <a:latin typeface="Aptos" panose="020B0004020202020204" pitchFamily="34" charset="0"/>
              </a:rPr>
              <a:t> graph</a:t>
            </a:r>
            <a:endParaRPr lang="en-US" sz="1000" b="1" i="1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804205490399512E-2"/>
          <c:y val="7.3050452618547215E-2"/>
          <c:w val="0.89342859024612487"/>
          <c:h val="0.77818490360087544"/>
        </c:manualLayout>
      </c:layout>
      <c:scatterChart>
        <c:scatterStyle val="smoothMarker"/>
        <c:varyColors val="0"/>
        <c:ser>
          <c:idx val="0"/>
          <c:order val="0"/>
          <c:tx>
            <c:v>A-Line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ATB!$AI$37:$AI$47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ATB!$AJ$37:$AJ$47</c:f>
              <c:numCache>
                <c:formatCode>General</c:formatCode>
                <c:ptCount val="11"/>
                <c:pt idx="2">
                  <c:v>0</c:v>
                </c:pt>
                <c:pt idx="3">
                  <c:v>7.3</c:v>
                </c:pt>
                <c:pt idx="4">
                  <c:v>14.6</c:v>
                </c:pt>
                <c:pt idx="5">
                  <c:v>21.9</c:v>
                </c:pt>
                <c:pt idx="6">
                  <c:v>29.2</c:v>
                </c:pt>
                <c:pt idx="7">
                  <c:v>36.5</c:v>
                </c:pt>
                <c:pt idx="8">
                  <c:v>43.8</c:v>
                </c:pt>
                <c:pt idx="9">
                  <c:v>51.1</c:v>
                </c:pt>
                <c:pt idx="10">
                  <c:v>58.4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25-4801-949D-41DCADB60C95}"/>
            </c:ext>
          </c:extLst>
        </c:ser>
        <c:ser>
          <c:idx val="2"/>
          <c:order val="2"/>
          <c:tx>
            <c:v>Straight Line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ATB!$AI$53:$AI$54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ATB!$AJ$53:$AJ$54</c:f>
              <c:numCache>
                <c:formatCode>General</c:formatCode>
                <c:ptCount val="2"/>
                <c:pt idx="0">
                  <c:v>0</c:v>
                </c:pt>
                <c:pt idx="1">
                  <c:v>60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25-4801-949D-41DCADB60C95}"/>
            </c:ext>
          </c:extLst>
        </c:ser>
        <c:ser>
          <c:idx val="3"/>
          <c:order val="3"/>
          <c:spPr>
            <a:ln w="1270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ATB!$AK$57:$AL$57</c:f>
              <c:numCache>
                <c:formatCode>General</c:formatCode>
                <c:ptCount val="2"/>
                <c:pt idx="0">
                  <c:v>25.479452054794521</c:v>
                </c:pt>
                <c:pt idx="1">
                  <c:v>12.444444444444445</c:v>
                </c:pt>
              </c:numCache>
            </c:numRef>
          </c:xVal>
          <c:yVal>
            <c:numRef>
              <c:f>ATB!$AI$57:$AJ$57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25-4801-949D-41DCADB60C95}"/>
            </c:ext>
          </c:extLst>
        </c:ser>
        <c:ser>
          <c:idx val="4"/>
          <c:order val="4"/>
          <c:spPr>
            <a:ln w="12700" cap="rnd" cmpd="sng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ATB!$AK$58:$AL$58</c:f>
              <c:numCache>
                <c:formatCode>General</c:formatCode>
                <c:ptCount val="2"/>
                <c:pt idx="0">
                  <c:v>29.589041095890412</c:v>
                </c:pt>
                <c:pt idx="1">
                  <c:v>15.777777777777779</c:v>
                </c:pt>
              </c:numCache>
            </c:numRef>
          </c:xVal>
          <c:yVal>
            <c:numRef>
              <c:f>ATB!$AI$58:$AJ$58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25-4801-949D-41DCADB6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726032"/>
        <c:axId val="1266139280"/>
      </c:scatterChart>
      <c:scatterChart>
        <c:scatterStyle val="lineMarker"/>
        <c:varyColors val="0"/>
        <c:ser>
          <c:idx val="1"/>
          <c:order val="1"/>
          <c:tx>
            <c:v>U-Line</c:v>
          </c:tx>
          <c:spPr>
            <a:ln w="127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ATB!$AI$37:$AI$47</c:f>
              <c:numCache>
                <c:formatCode>General</c:formatCode>
                <c:ptCount val="11"/>
                <c:pt idx="0">
                  <c:v>0</c:v>
                </c:pt>
                <c:pt idx="1">
                  <c:v>8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ATB!$AK$37:$AK$47</c:f>
              <c:numCache>
                <c:formatCode>General</c:formatCode>
                <c:ptCount val="11"/>
                <c:pt idx="1">
                  <c:v>0</c:v>
                </c:pt>
                <c:pt idx="2">
                  <c:v>10.8</c:v>
                </c:pt>
                <c:pt idx="3">
                  <c:v>19.8</c:v>
                </c:pt>
                <c:pt idx="4">
                  <c:v>28.8</c:v>
                </c:pt>
                <c:pt idx="5">
                  <c:v>37.800000000000004</c:v>
                </c:pt>
                <c:pt idx="6">
                  <c:v>46.800000000000004</c:v>
                </c:pt>
                <c:pt idx="7">
                  <c:v>55.800000000000004</c:v>
                </c:pt>
                <c:pt idx="8">
                  <c:v>64.8</c:v>
                </c:pt>
                <c:pt idx="9">
                  <c:v>73.8</c:v>
                </c:pt>
                <c:pt idx="10">
                  <c:v>82.8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25-4801-949D-41DCADB60C95}"/>
            </c:ext>
          </c:extLst>
        </c:ser>
        <c:ser>
          <c:idx val="5"/>
          <c:order val="5"/>
          <c:tx>
            <c:v>Soil Type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0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strRef>
              <c:f>ATB!$Y$53:$AA$53</c:f>
              <c:strCache>
                <c:ptCount val="1"/>
                <c:pt idx="0">
                  <c:v>NP</c:v>
                </c:pt>
              </c:strCache>
            </c:strRef>
          </c:xVal>
          <c:yVal>
            <c:numRef>
              <c:f>ATB!$AD$53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25-4801-949D-41DCADB60C95}"/>
            </c:ext>
          </c:extLst>
        </c:ser>
        <c:ser>
          <c:idx val="6"/>
          <c:order val="6"/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ATB!$AI$61:$AI$62</c:f>
              <c:numCache>
                <c:formatCode>General</c:formatCode>
                <c:ptCount val="2"/>
                <c:pt idx="0">
                  <c:v>0</c:v>
                </c:pt>
                <c:pt idx="1">
                  <c:v>12.444444444444445</c:v>
                </c:pt>
              </c:numCache>
            </c:numRef>
          </c:xVal>
          <c:yVal>
            <c:numRef>
              <c:f>ATB!$AJ$61:$AJ$62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25-4801-949D-41DCADB60C95}"/>
            </c:ext>
          </c:extLst>
        </c:ser>
        <c:ser>
          <c:idx val="7"/>
          <c:order val="7"/>
          <c:spPr>
            <a:ln w="952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ATB!$AI$65:$AI$66</c:f>
              <c:numCache>
                <c:formatCode>General</c:formatCode>
                <c:ptCount val="2"/>
                <c:pt idx="0">
                  <c:v>0</c:v>
                </c:pt>
                <c:pt idx="1">
                  <c:v>15.777777777777779</c:v>
                </c:pt>
              </c:numCache>
            </c:numRef>
          </c:xVal>
          <c:yVal>
            <c:numRef>
              <c:f>ATB!$AJ$65:$AJ$66</c:f>
              <c:numCache>
                <c:formatCode>General</c:formatCode>
                <c:ptCount val="2"/>
                <c:pt idx="0">
                  <c:v>7</c:v>
                </c:pt>
                <c:pt idx="1">
                  <c:v>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A25-4801-949D-41DCADB6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5726032"/>
        <c:axId val="1266139280"/>
      </c:scatterChart>
      <c:valAx>
        <c:axId val="126572603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latin typeface="Aptos" panose="020B0004020202020204" pitchFamily="34" charset="0"/>
                  </a:rPr>
                  <a:t>Batas Cair/</a:t>
                </a:r>
                <a:r>
                  <a:rPr lang="en-US" sz="900" b="1" i="1">
                    <a:latin typeface="Aptos" panose="020B0004020202020204" pitchFamily="34" charset="0"/>
                  </a:rPr>
                  <a:t>Liquid Limit </a:t>
                </a:r>
                <a:r>
                  <a:rPr lang="en-US" sz="900" b="1">
                    <a:latin typeface="Aptos" panose="020B0004020202020204" pitchFamily="34" charset="0"/>
                  </a:rPr>
                  <a:t>(LL)</a:t>
                </a:r>
              </a:p>
            </c:rich>
          </c:tx>
          <c:layout>
            <c:manualLayout>
              <c:xMode val="edge"/>
              <c:yMode val="edge"/>
              <c:x val="0.40631865644504145"/>
              <c:y val="0.949421195768250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139280"/>
        <c:crosses val="autoZero"/>
        <c:crossBetween val="midCat"/>
        <c:majorUnit val="10"/>
        <c:minorUnit val="2"/>
      </c:valAx>
      <c:valAx>
        <c:axId val="1266139280"/>
        <c:scaling>
          <c:orientation val="minMax"/>
          <c:max val="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900" b="1">
                    <a:latin typeface="Aptos" panose="020B0004020202020204" pitchFamily="34" charset="0"/>
                  </a:rPr>
                  <a:t>Indeks Plastisitas/</a:t>
                </a:r>
                <a:r>
                  <a:rPr lang="en-US" sz="900" b="1" i="1">
                    <a:latin typeface="Aptos" panose="020B0004020202020204" pitchFamily="34" charset="0"/>
                  </a:rPr>
                  <a:t>Plasticity Index</a:t>
                </a:r>
              </a:p>
            </c:rich>
          </c:tx>
          <c:layout>
            <c:manualLayout>
              <c:xMode val="edge"/>
              <c:yMode val="edge"/>
              <c:x val="1.885014137606032E-3"/>
              <c:y val="0.177588814056470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5726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713797405013778"/>
          <c:y val="3.5742858922266495E-2"/>
          <c:w val="0.8650869693915666"/>
          <c:h val="0.85930312854384772"/>
        </c:manualLayout>
      </c:layout>
      <c:scatterChart>
        <c:scatterStyle val="lineMarker"/>
        <c:varyColors val="0"/>
        <c:ser>
          <c:idx val="0"/>
          <c:order val="0"/>
          <c:spPr>
            <a:ln w="28575" cmpd="dbl">
              <a:solidFill>
                <a:schemeClr val="accent5"/>
              </a:solidFill>
            </a:ln>
            <a:effectLst/>
          </c:spPr>
          <c:marker>
            <c:symbol val="circle"/>
            <c:size val="5"/>
            <c:spPr>
              <a:noFill/>
              <a:ln w="31750" cap="flat" cmpd="dbl" algn="ctr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xVal>
            <c:numRef>
              <c:f>Consol!$Y$48:$Y$55</c:f>
              <c:numCache>
                <c:formatCode>General</c:formatCode>
                <c:ptCount val="8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  <c:pt idx="6">
                  <c:v>2</c:v>
                </c:pt>
                <c:pt idx="7">
                  <c:v>0.25</c:v>
                </c:pt>
              </c:numCache>
            </c:numRef>
          </c:xVal>
          <c:yVal>
            <c:numRef>
              <c:f>Consol!$AC$48:$AC$55</c:f>
              <c:numCache>
                <c:formatCode>0.000_)</c:formatCode>
                <c:ptCount val="8"/>
                <c:pt idx="0">
                  <c:v>1.2701888173532614</c:v>
                </c:pt>
                <c:pt idx="1">
                  <c:v>1.2578571651461157</c:v>
                </c:pt>
                <c:pt idx="2">
                  <c:v>1.2284422149272358</c:v>
                </c:pt>
                <c:pt idx="3">
                  <c:v>1.1628242490543501</c:v>
                </c:pt>
                <c:pt idx="4">
                  <c:v>1.0714116345279849</c:v>
                </c:pt>
                <c:pt idx="5">
                  <c:v>0.94108077817356328</c:v>
                </c:pt>
                <c:pt idx="6">
                  <c:v>0.96167124332677911</c:v>
                </c:pt>
                <c:pt idx="7">
                  <c:v>0.99040738700214659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D3-4A1A-8EAA-57E8CD2055E1}"/>
            </c:ext>
          </c:extLst>
        </c:ser>
        <c:ser>
          <c:idx val="1"/>
          <c:order val="1"/>
          <c:tx>
            <c:v>e0</c:v>
          </c:tx>
          <c:spPr>
            <a:ln w="12700" cmpd="sng">
              <a:solidFill>
                <a:schemeClr val="tx1"/>
              </a:solidFill>
              <a:prstDash val="dash"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Consol!$Y$29:$Y$30</c:f>
              <c:numCache>
                <c:formatCode>General</c:formatCode>
                <c:ptCount val="2"/>
                <c:pt idx="0">
                  <c:v>0.1</c:v>
                </c:pt>
                <c:pt idx="1">
                  <c:v>10</c:v>
                </c:pt>
              </c:numCache>
            </c:numRef>
          </c:xVal>
          <c:yVal>
            <c:numRef>
              <c:f>Consol!$Z$29:$Z$30</c:f>
              <c:numCache>
                <c:formatCode>0.000</c:formatCode>
                <c:ptCount val="2"/>
                <c:pt idx="0">
                  <c:v>1.2742616566143372</c:v>
                </c:pt>
                <c:pt idx="1">
                  <c:v>1.2742616566143372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9D3-4A1A-8EAA-57E8CD205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548575"/>
        <c:axId val="1711348767"/>
      </c:scatterChart>
      <c:valAx>
        <c:axId val="1711548575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Pressure (kg/cm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0.38146823756904913"/>
              <c:y val="0.941709971330977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11348767"/>
        <c:crosses val="autoZero"/>
        <c:crossBetween val="midCat"/>
      </c:valAx>
      <c:valAx>
        <c:axId val="1711348767"/>
        <c:scaling>
          <c:orientation val="minMax"/>
          <c:min val="0.85000000000000009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Void Ratio (ε)</a:t>
                </a:r>
              </a:p>
            </c:rich>
          </c:tx>
          <c:layout>
            <c:manualLayout>
              <c:xMode val="edge"/>
              <c:yMode val="edge"/>
              <c:x val="1.6691643179452345E-3"/>
              <c:y val="0.364269923392234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11548575"/>
        <c:crossesAt val="0.1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22056291397752"/>
          <c:y val="2.8935546760560402E-2"/>
          <c:w val="0.86691181514053761"/>
          <c:h val="0.84980558933939876"/>
        </c:manualLayout>
      </c:layout>
      <c:scatterChart>
        <c:scatterStyle val="lineMarker"/>
        <c:varyColors val="0"/>
        <c:ser>
          <c:idx val="0"/>
          <c:order val="0"/>
          <c:tx>
            <c:v>Cv</c:v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xVal>
            <c:numRef>
              <c:f>Consol!$Y$48:$Y$53</c:f>
              <c:numCache>
                <c:formatCode>General</c:formatCode>
                <c:ptCount val="6"/>
                <c:pt idx="0">
                  <c:v>0.25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8</c:v>
                </c:pt>
              </c:numCache>
            </c:numRef>
          </c:xVal>
          <c:yVal>
            <c:numRef>
              <c:f>Consol!$AM$48:$AM$53</c:f>
              <c:numCache>
                <c:formatCode>0.000000_)</c:formatCode>
                <c:ptCount val="6"/>
                <c:pt idx="0">
                  <c:v>2.1738387444413435E-2</c:v>
                </c:pt>
                <c:pt idx="1">
                  <c:v>2.1581710998460037E-2</c:v>
                </c:pt>
                <c:pt idx="2">
                  <c:v>2.1185552351011602E-2</c:v>
                </c:pt>
                <c:pt idx="3">
                  <c:v>1.892172648776776E-2</c:v>
                </c:pt>
                <c:pt idx="4">
                  <c:v>1.4448524644405889E-2</c:v>
                </c:pt>
                <c:pt idx="5">
                  <c:v>1.1493123875884076E-2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9B-410B-BD0C-8D874BC12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1548575"/>
        <c:axId val="1711348767"/>
      </c:scatterChart>
      <c:valAx>
        <c:axId val="1711548575"/>
        <c:scaling>
          <c:logBase val="10"/>
          <c:orientation val="minMax"/>
          <c:max val="100"/>
          <c:min val="0.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 cap="none" baseline="0"/>
                  <a:t>Pressure (kg/cm</a:t>
                </a:r>
                <a:r>
                  <a:rPr lang="en-US" cap="none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0.40189611648406837"/>
              <c:y val="0.939018894779721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11348767"/>
        <c:crosses val="autoZero"/>
        <c:crossBetween val="midCat"/>
      </c:valAx>
      <c:valAx>
        <c:axId val="1711348767"/>
        <c:scaling>
          <c:orientation val="minMax"/>
          <c:max val="5.000000000000001E-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C</a:t>
                </a:r>
                <a:r>
                  <a:rPr lang="en-US" baseline="-25000"/>
                  <a:t>v</a:t>
                </a:r>
                <a:r>
                  <a:rPr lang="en-US"/>
                  <a:t> (x10</a:t>
                </a:r>
                <a:r>
                  <a:rPr lang="en-US" baseline="30000"/>
                  <a:t>-2</a:t>
                </a:r>
                <a:r>
                  <a:rPr lang="en-US"/>
                  <a:t> ,</a:t>
                </a:r>
                <a:r>
                  <a:rPr lang="en-US" cap="none" baseline="0"/>
                  <a:t>cm</a:t>
                </a:r>
                <a:r>
                  <a:rPr lang="en-US" cap="none" baseline="30000"/>
                  <a:t>2</a:t>
                </a:r>
                <a:r>
                  <a:rPr lang="en-US" cap="none" baseline="0"/>
                  <a:t>/s)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126817645817991E-3"/>
              <c:y val="0.303716332979038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711548575"/>
        <c:crossesAt val="1.0000000000000002E-2"/>
        <c:crossBetween val="midCat"/>
        <c:majorUnit val="0.01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/>
              <a:t>Pressure 0.25</a:t>
            </a:r>
            <a:r>
              <a:rPr lang="en-US" sz="1000" b="1" baseline="0"/>
              <a:t> kg/cm</a:t>
            </a:r>
            <a:r>
              <a:rPr lang="en-US" sz="1000" b="1" baseline="30000"/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Consol!$AA$80:$AA$93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Consol!$AE$80:$AE$93</c:f>
              <c:numCache>
                <c:formatCode>General</c:formatCode>
                <c:ptCount val="14"/>
                <c:pt idx="0">
                  <c:v>994.5</c:v>
                </c:pt>
                <c:pt idx="1">
                  <c:v>1986.8</c:v>
                </c:pt>
                <c:pt idx="2">
                  <c:v>2978.8</c:v>
                </c:pt>
                <c:pt idx="3">
                  <c:v>3970.5</c:v>
                </c:pt>
                <c:pt idx="4">
                  <c:v>4961.8999999999996</c:v>
                </c:pt>
                <c:pt idx="5">
                  <c:v>5953.0999999999995</c:v>
                </c:pt>
                <c:pt idx="6">
                  <c:v>6944.0999999999995</c:v>
                </c:pt>
                <c:pt idx="7">
                  <c:v>7934.9999999999991</c:v>
                </c:pt>
                <c:pt idx="8">
                  <c:v>8925.9</c:v>
                </c:pt>
                <c:pt idx="9">
                  <c:v>9916.7999999999993</c:v>
                </c:pt>
                <c:pt idx="10">
                  <c:v>10907.699999999999</c:v>
                </c:pt>
                <c:pt idx="11">
                  <c:v>11898.599999999999</c:v>
                </c:pt>
                <c:pt idx="12">
                  <c:v>12889.499999999998</c:v>
                </c:pt>
                <c:pt idx="13">
                  <c:v>13880.399999999998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E1-4B18-8A63-FF4AFD724534}"/>
            </c:ext>
          </c:extLst>
        </c:ser>
        <c:ser>
          <c:idx val="1"/>
          <c:order val="1"/>
          <c:tx>
            <c:v>Garis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Consol!$AG$82:$AG$83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6.1</c:v>
                </c:pt>
              </c:numCache>
            </c:numRef>
          </c:xVal>
          <c:yVal>
            <c:numRef>
              <c:f>Consol!$AH$82:$AH$83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E1-4B18-8A63-FF4AFD724534}"/>
            </c:ext>
          </c:extLst>
        </c:ser>
        <c:ser>
          <c:idx val="2"/>
          <c:order val="2"/>
          <c:tx>
            <c:v>Garis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Consol!$AG$88:$AG$89</c:f>
              <c:numCache>
                <c:formatCode>General</c:formatCode>
                <c:ptCount val="2"/>
                <c:pt idx="0">
                  <c:v>0</c:v>
                </c:pt>
                <c:pt idx="1">
                  <c:v>7.0149999999999988</c:v>
                </c:pt>
              </c:numCache>
            </c:numRef>
          </c:xVal>
          <c:yVal>
            <c:numRef>
              <c:f>Consol!$AH$88:$AH$89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0E1-4B18-8A63-FF4AFD724534}"/>
            </c:ext>
          </c:extLst>
        </c:ser>
        <c:ser>
          <c:idx val="3"/>
          <c:order val="3"/>
          <c:tx>
            <c:v>garis akar t90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Consol!$AG$93:$AG$95</c:f>
              <c:numCache>
                <c:formatCode>General</c:formatCode>
                <c:ptCount val="3"/>
                <c:pt idx="0">
                  <c:v>0</c:v>
                </c:pt>
                <c:pt idx="1">
                  <c:v>2.8</c:v>
                </c:pt>
                <c:pt idx="2">
                  <c:v>2.8</c:v>
                </c:pt>
              </c:numCache>
            </c:numRef>
          </c:xVal>
          <c:yVal>
            <c:numRef>
              <c:f>Consol!$AH$93:$AH$95</c:f>
              <c:numCache>
                <c:formatCode>General</c:formatCode>
                <c:ptCount val="3"/>
                <c:pt idx="0">
                  <c:v>6900</c:v>
                </c:pt>
                <c:pt idx="1">
                  <c:v>6900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0E1-4B18-8A63-FF4AFD724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✓t</a:t>
                </a:r>
                <a:r>
                  <a:rPr lang="en-US" b="1" baseline="0"/>
                  <a:t> </a:t>
                </a:r>
                <a:r>
                  <a:rPr lang="en-US" baseline="0"/>
                  <a:t>(menit)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Penurunan Kumulatif </a:t>
                </a:r>
                <a:r>
                  <a:rPr lang="en-US"/>
                  <a:t>(10-</a:t>
                </a:r>
                <a:r>
                  <a:rPr lang="en-US" baseline="30000"/>
                  <a:t>3 </a:t>
                </a:r>
                <a:r>
                  <a:rPr lang="en-US" baseline="0"/>
                  <a:t>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Pressure 0.5  kg/cm</a:t>
            </a:r>
            <a:r>
              <a:rPr lang="en-US" sz="10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Consol!$AG$107:$AG$108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6.2</c:v>
                </c:pt>
              </c:numCache>
            </c:numRef>
          </c:xVal>
          <c:yVal>
            <c:numRef>
              <c:f>Consol!$AH$107:$AH$108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AC-4343-90D9-1BE01FA2EF17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Consol!$AG$113:$AG$114</c:f>
              <c:numCache>
                <c:formatCode>General</c:formatCode>
                <c:ptCount val="2"/>
                <c:pt idx="0">
                  <c:v>0</c:v>
                </c:pt>
                <c:pt idx="1">
                  <c:v>7.13</c:v>
                </c:pt>
              </c:numCache>
            </c:numRef>
          </c:xVal>
          <c:yVal>
            <c:numRef>
              <c:f>Consol!$AH$113:$AH$114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AC-4343-90D9-1BE01FA2EF17}"/>
            </c:ext>
          </c:extLst>
        </c:ser>
        <c:ser>
          <c:idx val="3"/>
          <c:order val="2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Consol!$AG$118:$AG$120</c:f>
              <c:numCache>
                <c:formatCode>General</c:formatCode>
                <c:ptCount val="3"/>
                <c:pt idx="0">
                  <c:v>0</c:v>
                </c:pt>
                <c:pt idx="1">
                  <c:v>2.8</c:v>
                </c:pt>
                <c:pt idx="2">
                  <c:v>2.8</c:v>
                </c:pt>
              </c:numCache>
            </c:numRef>
          </c:xVal>
          <c:yVal>
            <c:numRef>
              <c:f>Consol!$AH$118:$AH$120</c:f>
              <c:numCache>
                <c:formatCode>General</c:formatCode>
                <c:ptCount val="3"/>
                <c:pt idx="0">
                  <c:v>6500</c:v>
                </c:pt>
                <c:pt idx="1">
                  <c:v>6500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AC-4343-90D9-1BE01FA2EF17}"/>
            </c:ext>
          </c:extLst>
        </c:ser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Consol!$AA$105:$AA$118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Consol!$AE$105:$AE$118</c:f>
              <c:numCache>
                <c:formatCode>General</c:formatCode>
                <c:ptCount val="14"/>
                <c:pt idx="0">
                  <c:v>990.9</c:v>
                </c:pt>
                <c:pt idx="1">
                  <c:v>1978.1999999999998</c:v>
                </c:pt>
                <c:pt idx="2">
                  <c:v>2965</c:v>
                </c:pt>
                <c:pt idx="3">
                  <c:v>3951</c:v>
                </c:pt>
                <c:pt idx="4">
                  <c:v>4936.3</c:v>
                </c:pt>
                <c:pt idx="5">
                  <c:v>5921</c:v>
                </c:pt>
                <c:pt idx="6">
                  <c:v>6905</c:v>
                </c:pt>
                <c:pt idx="7">
                  <c:v>7888.2</c:v>
                </c:pt>
                <c:pt idx="8">
                  <c:v>8870.7999999999993</c:v>
                </c:pt>
                <c:pt idx="9">
                  <c:v>9852.7999999999993</c:v>
                </c:pt>
                <c:pt idx="10">
                  <c:v>10834</c:v>
                </c:pt>
                <c:pt idx="11">
                  <c:v>11814.9</c:v>
                </c:pt>
                <c:pt idx="12">
                  <c:v>12795.5</c:v>
                </c:pt>
                <c:pt idx="13">
                  <c:v>13775.5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AC-4343-90D9-1BE01FA2E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✓t</a:t>
                </a:r>
                <a:r>
                  <a:rPr lang="en-US" b="1" baseline="0"/>
                  <a:t> </a:t>
                </a:r>
                <a:r>
                  <a:rPr lang="en-US" baseline="0"/>
                  <a:t>(menit)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Penurunan Kumulatif </a:t>
                </a:r>
                <a:r>
                  <a:rPr lang="en-US"/>
                  <a:t>(10-</a:t>
                </a:r>
                <a:r>
                  <a:rPr lang="en-US" baseline="30000"/>
                  <a:t>3 </a:t>
                </a:r>
                <a:r>
                  <a:rPr lang="en-US" baseline="0"/>
                  <a:t>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Pressure 2  kg/cm</a:t>
            </a:r>
            <a:r>
              <a:rPr lang="en-US" sz="10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Consol!$AA$154:$AA$167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Consol!$AE$154:$AE$167</c:f>
              <c:numCache>
                <c:formatCode>General</c:formatCode>
                <c:ptCount val="14"/>
                <c:pt idx="0">
                  <c:v>954</c:v>
                </c:pt>
                <c:pt idx="1">
                  <c:v>1894</c:v>
                </c:pt>
                <c:pt idx="2">
                  <c:v>2831.8</c:v>
                </c:pt>
                <c:pt idx="3">
                  <c:v>3767.4</c:v>
                </c:pt>
                <c:pt idx="4">
                  <c:v>4700.3999999999996</c:v>
                </c:pt>
                <c:pt idx="5">
                  <c:v>5629.7</c:v>
                </c:pt>
                <c:pt idx="6">
                  <c:v>6555.7</c:v>
                </c:pt>
                <c:pt idx="7">
                  <c:v>7477.7</c:v>
                </c:pt>
                <c:pt idx="8">
                  <c:v>8394.7000000000007</c:v>
                </c:pt>
                <c:pt idx="9">
                  <c:v>9304.5</c:v>
                </c:pt>
                <c:pt idx="10">
                  <c:v>10208.6</c:v>
                </c:pt>
                <c:pt idx="11">
                  <c:v>11108.6</c:v>
                </c:pt>
                <c:pt idx="12">
                  <c:v>12005.6</c:v>
                </c:pt>
                <c:pt idx="13">
                  <c:v>12901.6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01-4039-B8C0-C9415E0E96F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Consol!$AG$157:$AG$158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7.5</c:v>
                </c:pt>
              </c:numCache>
            </c:numRef>
          </c:xVal>
          <c:yVal>
            <c:numRef>
              <c:f>Consol!$AH$157:$AH$158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01-4039-B8C0-C9415E0E96F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Consol!$AG$163:$AG$164</c:f>
              <c:numCache>
                <c:formatCode>General</c:formatCode>
                <c:ptCount val="2"/>
                <c:pt idx="0">
                  <c:v>0</c:v>
                </c:pt>
                <c:pt idx="1">
                  <c:v>8.625</c:v>
                </c:pt>
              </c:numCache>
            </c:numRef>
          </c:xVal>
          <c:yVal>
            <c:numRef>
              <c:f>Consol!$AH$163:$AH$164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01-4039-B8C0-C9415E0E96F9}"/>
            </c:ext>
          </c:extLst>
        </c:ser>
        <c:ser>
          <c:idx val="3"/>
          <c:order val="3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Consol!$AG$168:$AG$170</c:f>
              <c:numCache>
                <c:formatCode>General</c:formatCode>
                <c:ptCount val="3"/>
                <c:pt idx="0">
                  <c:v>0</c:v>
                </c:pt>
                <c:pt idx="1">
                  <c:v>2.9</c:v>
                </c:pt>
                <c:pt idx="2">
                  <c:v>2.9</c:v>
                </c:pt>
              </c:numCache>
            </c:numRef>
          </c:xVal>
          <c:yVal>
            <c:numRef>
              <c:f>Consol!$AH$168:$AH$170</c:f>
              <c:numCache>
                <c:formatCode>General</c:formatCode>
                <c:ptCount val="3"/>
                <c:pt idx="0">
                  <c:v>6350</c:v>
                </c:pt>
                <c:pt idx="1">
                  <c:v>6350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301-4039-B8C0-C9415E0E96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✓t</a:t>
                </a:r>
                <a:r>
                  <a:rPr lang="en-US" b="1" baseline="0"/>
                  <a:t> </a:t>
                </a:r>
                <a:r>
                  <a:rPr lang="en-US" baseline="0"/>
                  <a:t>(menit)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Penurunan Kumulatif </a:t>
                </a:r>
                <a:r>
                  <a:rPr lang="en-US"/>
                  <a:t>(10-</a:t>
                </a:r>
                <a:r>
                  <a:rPr lang="en-US" baseline="30000"/>
                  <a:t>3 </a:t>
                </a:r>
                <a:r>
                  <a:rPr lang="en-US" baseline="0"/>
                  <a:t>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Pressure 4  kg/cm</a:t>
            </a:r>
            <a:r>
              <a:rPr lang="en-US" sz="10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Consol!$AA$177:$AA$190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Consol!$AE$177:$AE$190</c:f>
              <c:numCache>
                <c:formatCode>General</c:formatCode>
                <c:ptCount val="14"/>
                <c:pt idx="0">
                  <c:v>896</c:v>
                </c:pt>
                <c:pt idx="1">
                  <c:v>1777.4</c:v>
                </c:pt>
                <c:pt idx="2">
                  <c:v>2656.6</c:v>
                </c:pt>
                <c:pt idx="3">
                  <c:v>3532.7</c:v>
                </c:pt>
                <c:pt idx="4">
                  <c:v>4404.8</c:v>
                </c:pt>
                <c:pt idx="5">
                  <c:v>5272.9000000000005</c:v>
                </c:pt>
                <c:pt idx="6">
                  <c:v>6134.3000000000011</c:v>
                </c:pt>
                <c:pt idx="7">
                  <c:v>6988.4000000000015</c:v>
                </c:pt>
                <c:pt idx="8">
                  <c:v>7833.1000000000013</c:v>
                </c:pt>
                <c:pt idx="9">
                  <c:v>8668.6000000000022</c:v>
                </c:pt>
                <c:pt idx="10">
                  <c:v>9497.3000000000029</c:v>
                </c:pt>
                <c:pt idx="11">
                  <c:v>10319.500000000004</c:v>
                </c:pt>
                <c:pt idx="12">
                  <c:v>11138.800000000003</c:v>
                </c:pt>
                <c:pt idx="13">
                  <c:v>11954.000000000004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F6-4094-9412-19182D87B2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Consol!$AG$180:$AG$181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</c:v>
                </c:pt>
              </c:numCache>
            </c:numRef>
          </c:xVal>
          <c:yVal>
            <c:numRef>
              <c:f>Consol!$AH$180:$AH$181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7F6-4094-9412-19182D87B26D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Consol!$AG$186:$AG$187</c:f>
              <c:numCache>
                <c:formatCode>General</c:formatCode>
                <c:ptCount val="2"/>
                <c:pt idx="0">
                  <c:v>0</c:v>
                </c:pt>
                <c:pt idx="1">
                  <c:v>9.1999999999999993</c:v>
                </c:pt>
              </c:numCache>
            </c:numRef>
          </c:xVal>
          <c:yVal>
            <c:numRef>
              <c:f>Consol!$AH$186:$AH$187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7F6-4094-9412-19182D87B26D}"/>
            </c:ext>
          </c:extLst>
        </c:ser>
        <c:ser>
          <c:idx val="3"/>
          <c:order val="3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Consol!$AG$191:$AG$193</c:f>
              <c:numCache>
                <c:formatCode>General</c:formatCode>
                <c:ptCount val="3"/>
                <c:pt idx="0">
                  <c:v>0</c:v>
                </c:pt>
                <c:pt idx="1">
                  <c:v>3.2</c:v>
                </c:pt>
                <c:pt idx="2">
                  <c:v>3.2</c:v>
                </c:pt>
              </c:numCache>
            </c:numRef>
          </c:xVal>
          <c:yVal>
            <c:numRef>
              <c:f>Consol!$AH$191:$AH$193</c:f>
              <c:numCache>
                <c:formatCode>General</c:formatCode>
                <c:ptCount val="3"/>
                <c:pt idx="0">
                  <c:v>5600</c:v>
                </c:pt>
                <c:pt idx="1">
                  <c:v>5600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7F6-4094-9412-19182D87B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✓t</a:t>
                </a:r>
                <a:r>
                  <a:rPr lang="en-US" b="1" baseline="0"/>
                  <a:t> </a:t>
                </a:r>
                <a:r>
                  <a:rPr lang="en-US" baseline="0"/>
                  <a:t>(menit)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Penurunan Kumulatif </a:t>
                </a:r>
                <a:r>
                  <a:rPr lang="en-US"/>
                  <a:t>(10-</a:t>
                </a:r>
                <a:r>
                  <a:rPr lang="en-US" baseline="30000"/>
                  <a:t>3 </a:t>
                </a:r>
                <a:r>
                  <a:rPr lang="en-US" baseline="0"/>
                  <a:t>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Pressure 8  kg/cm</a:t>
            </a:r>
            <a:r>
              <a:rPr lang="en-US" sz="10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Consol!$AA$199:$AA$212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Consol!$AE$199:$AE$212</c:f>
              <c:numCache>
                <c:formatCode>General</c:formatCode>
                <c:ptCount val="14"/>
                <c:pt idx="0">
                  <c:v>815.2</c:v>
                </c:pt>
                <c:pt idx="1">
                  <c:v>1616.4</c:v>
                </c:pt>
                <c:pt idx="2">
                  <c:v>2413.1</c:v>
                </c:pt>
                <c:pt idx="3">
                  <c:v>3205.8999999999996</c:v>
                </c:pt>
                <c:pt idx="4">
                  <c:v>3994.4999999999995</c:v>
                </c:pt>
                <c:pt idx="5">
                  <c:v>4775.8999999999996</c:v>
                </c:pt>
                <c:pt idx="6">
                  <c:v>5549.0999999999995</c:v>
                </c:pt>
                <c:pt idx="7">
                  <c:v>6314.4999999999991</c:v>
                </c:pt>
                <c:pt idx="8">
                  <c:v>7068.5999999999995</c:v>
                </c:pt>
                <c:pt idx="9">
                  <c:v>7810.0999999999995</c:v>
                </c:pt>
                <c:pt idx="10">
                  <c:v>8537.2999999999993</c:v>
                </c:pt>
                <c:pt idx="11">
                  <c:v>9253.5999999999985</c:v>
                </c:pt>
                <c:pt idx="12">
                  <c:v>9963.7999999999993</c:v>
                </c:pt>
                <c:pt idx="13">
                  <c:v>10663.8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04-4F0A-AF6A-85E2BC05197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Consol!$AG$202:$AG$203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10.199999999999999</c:v>
                </c:pt>
              </c:numCache>
            </c:numRef>
          </c:xVal>
          <c:yVal>
            <c:numRef>
              <c:f>Consol!$AH$202:$AH$203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D04-4F0A-AF6A-85E2BC05197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Consol!$AG$208:$AG$209</c:f>
              <c:numCache>
                <c:formatCode>General</c:formatCode>
                <c:ptCount val="2"/>
                <c:pt idx="0">
                  <c:v>0</c:v>
                </c:pt>
                <c:pt idx="1">
                  <c:v>11.729999999999999</c:v>
                </c:pt>
              </c:numCache>
            </c:numRef>
          </c:xVal>
          <c:yVal>
            <c:numRef>
              <c:f>Consol!$AH$208:$AH$209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04-4F0A-AF6A-85E2BC051971}"/>
            </c:ext>
          </c:extLst>
        </c:ser>
        <c:ser>
          <c:idx val="3"/>
          <c:order val="3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Consol!$AG$213:$AG$215</c:f>
              <c:numCache>
                <c:formatCode>General</c:formatCode>
                <c:ptCount val="3"/>
                <c:pt idx="0">
                  <c:v>0</c:v>
                </c:pt>
                <c:pt idx="1">
                  <c:v>3.4</c:v>
                </c:pt>
                <c:pt idx="2">
                  <c:v>3.4</c:v>
                </c:pt>
              </c:numCache>
            </c:numRef>
          </c:xVal>
          <c:yVal>
            <c:numRef>
              <c:f>Consol!$AH$213:$AH$215</c:f>
              <c:numCache>
                <c:formatCode>General</c:formatCode>
                <c:ptCount val="3"/>
                <c:pt idx="0">
                  <c:v>5650</c:v>
                </c:pt>
                <c:pt idx="1">
                  <c:v>5650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D04-4F0A-AF6A-85E2BC051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✓t</a:t>
                </a:r>
                <a:r>
                  <a:rPr lang="en-US" b="1" baseline="0"/>
                  <a:t> </a:t>
                </a:r>
                <a:r>
                  <a:rPr lang="en-US" baseline="0"/>
                  <a:t>(menit)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Penurunan Kumulatif </a:t>
                </a:r>
                <a:r>
                  <a:rPr lang="en-US"/>
                  <a:t>(10-</a:t>
                </a:r>
                <a:r>
                  <a:rPr lang="en-US" baseline="30000"/>
                  <a:t>3 </a:t>
                </a:r>
                <a:r>
                  <a:rPr lang="en-US" baseline="0"/>
                  <a:t>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Pressure 0.25 kg/cm2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Consol!$AA$80:$AA$93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Consol!$AE$80:$AE$93</c:f>
              <c:numCache>
                <c:formatCode>General</c:formatCode>
                <c:ptCount val="14"/>
                <c:pt idx="0">
                  <c:v>994.5</c:v>
                </c:pt>
                <c:pt idx="1">
                  <c:v>1986.8</c:v>
                </c:pt>
                <c:pt idx="2">
                  <c:v>2978.8</c:v>
                </c:pt>
                <c:pt idx="3">
                  <c:v>3970.5</c:v>
                </c:pt>
                <c:pt idx="4">
                  <c:v>4961.8999999999996</c:v>
                </c:pt>
                <c:pt idx="5">
                  <c:v>5953.0999999999995</c:v>
                </c:pt>
                <c:pt idx="6">
                  <c:v>6944.0999999999995</c:v>
                </c:pt>
                <c:pt idx="7">
                  <c:v>7934.9999999999991</c:v>
                </c:pt>
                <c:pt idx="8">
                  <c:v>8925.9</c:v>
                </c:pt>
                <c:pt idx="9">
                  <c:v>9916.7999999999993</c:v>
                </c:pt>
                <c:pt idx="10">
                  <c:v>10907.699999999999</c:v>
                </c:pt>
                <c:pt idx="11">
                  <c:v>11898.599999999999</c:v>
                </c:pt>
                <c:pt idx="12">
                  <c:v>12889.499999999998</c:v>
                </c:pt>
                <c:pt idx="13">
                  <c:v>13880.399999999998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EE-4519-9129-EB50F773EF00}"/>
            </c:ext>
          </c:extLst>
        </c:ser>
        <c:ser>
          <c:idx val="1"/>
          <c:order val="1"/>
          <c:tx>
            <c:v>Garis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Consol!$AG$82:$AG$83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6.1</c:v>
                </c:pt>
              </c:numCache>
            </c:numRef>
          </c:xVal>
          <c:yVal>
            <c:numRef>
              <c:f>Consol!$AH$82:$AH$83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EE-4519-9129-EB50F773EF00}"/>
            </c:ext>
          </c:extLst>
        </c:ser>
        <c:ser>
          <c:idx val="2"/>
          <c:order val="2"/>
          <c:tx>
            <c:v>Garis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Consol!$AG$88:$AG$89</c:f>
              <c:numCache>
                <c:formatCode>General</c:formatCode>
                <c:ptCount val="2"/>
                <c:pt idx="0">
                  <c:v>0</c:v>
                </c:pt>
                <c:pt idx="1">
                  <c:v>7.0149999999999988</c:v>
                </c:pt>
              </c:numCache>
            </c:numRef>
          </c:xVal>
          <c:yVal>
            <c:numRef>
              <c:f>Consol!$AH$88:$AH$89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EE-4519-9129-EB50F773EF00}"/>
            </c:ext>
          </c:extLst>
        </c:ser>
        <c:ser>
          <c:idx val="3"/>
          <c:order val="3"/>
          <c:tx>
            <c:v>garis akar t90</c:v>
          </c:tx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Consol!$AG$93:$AG$95</c:f>
              <c:numCache>
                <c:formatCode>General</c:formatCode>
                <c:ptCount val="3"/>
                <c:pt idx="0">
                  <c:v>0</c:v>
                </c:pt>
                <c:pt idx="1">
                  <c:v>2.8</c:v>
                </c:pt>
                <c:pt idx="2">
                  <c:v>2.8</c:v>
                </c:pt>
              </c:numCache>
            </c:numRef>
          </c:xVal>
          <c:yVal>
            <c:numRef>
              <c:f>Consol!$AH$93:$AH$95</c:f>
              <c:numCache>
                <c:formatCode>General</c:formatCode>
                <c:ptCount val="3"/>
                <c:pt idx="0">
                  <c:v>6900</c:v>
                </c:pt>
                <c:pt idx="1">
                  <c:v>6900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EE-4519-9129-EB50F773E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✓t (menit)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Penurunan Kumulatif (10-3 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Pressure 0.5  kg/cm2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Consol!$AG$107:$AG$108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6.2</c:v>
                </c:pt>
              </c:numCache>
            </c:numRef>
          </c:xVal>
          <c:yVal>
            <c:numRef>
              <c:f>Consol!$AH$107:$AH$108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F9-4F1F-8443-5CFC905716D4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Consol!$AG$113:$AG$114</c:f>
              <c:numCache>
                <c:formatCode>General</c:formatCode>
                <c:ptCount val="2"/>
                <c:pt idx="0">
                  <c:v>0</c:v>
                </c:pt>
                <c:pt idx="1">
                  <c:v>7.13</c:v>
                </c:pt>
              </c:numCache>
            </c:numRef>
          </c:xVal>
          <c:yVal>
            <c:numRef>
              <c:f>Consol!$AH$113:$AH$114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F9-4F1F-8443-5CFC905716D4}"/>
            </c:ext>
          </c:extLst>
        </c:ser>
        <c:ser>
          <c:idx val="3"/>
          <c:order val="2"/>
          <c:spPr>
            <a:ln w="158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Consol!$AG$118:$AG$120</c:f>
              <c:numCache>
                <c:formatCode>General</c:formatCode>
                <c:ptCount val="3"/>
                <c:pt idx="0">
                  <c:v>0</c:v>
                </c:pt>
                <c:pt idx="1">
                  <c:v>2.8</c:v>
                </c:pt>
                <c:pt idx="2">
                  <c:v>2.8</c:v>
                </c:pt>
              </c:numCache>
            </c:numRef>
          </c:xVal>
          <c:yVal>
            <c:numRef>
              <c:f>Consol!$AH$118:$AH$120</c:f>
              <c:numCache>
                <c:formatCode>General</c:formatCode>
                <c:ptCount val="3"/>
                <c:pt idx="0">
                  <c:v>6500</c:v>
                </c:pt>
                <c:pt idx="1">
                  <c:v>6500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F9-4F1F-8443-5CFC905716D4}"/>
            </c:ext>
          </c:extLst>
        </c:ser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Consol!$AA$105:$AA$118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Consol!$AE$105:$AE$118</c:f>
              <c:numCache>
                <c:formatCode>General</c:formatCode>
                <c:ptCount val="14"/>
                <c:pt idx="0">
                  <c:v>990.9</c:v>
                </c:pt>
                <c:pt idx="1">
                  <c:v>1978.1999999999998</c:v>
                </c:pt>
                <c:pt idx="2">
                  <c:v>2965</c:v>
                </c:pt>
                <c:pt idx="3">
                  <c:v>3951</c:v>
                </c:pt>
                <c:pt idx="4">
                  <c:v>4936.3</c:v>
                </c:pt>
                <c:pt idx="5">
                  <c:v>5921</c:v>
                </c:pt>
                <c:pt idx="6">
                  <c:v>6905</c:v>
                </c:pt>
                <c:pt idx="7">
                  <c:v>7888.2</c:v>
                </c:pt>
                <c:pt idx="8">
                  <c:v>8870.7999999999993</c:v>
                </c:pt>
                <c:pt idx="9">
                  <c:v>9852.7999999999993</c:v>
                </c:pt>
                <c:pt idx="10">
                  <c:v>10834</c:v>
                </c:pt>
                <c:pt idx="11">
                  <c:v>11814.9</c:v>
                </c:pt>
                <c:pt idx="12">
                  <c:v>12795.5</c:v>
                </c:pt>
                <c:pt idx="13">
                  <c:v>13775.5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F9-4F1F-8443-5CFC90571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✓t (menit)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Penurunan Kumulatif (10-3 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Pressure 1  kg/cm</a:t>
            </a:r>
            <a:r>
              <a:rPr lang="en-US" sz="1000" b="1" i="0" u="none" strike="noStrike" kern="1200" spc="0" baseline="30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Consol!$AG$132:$AG$133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6.8</c:v>
                </c:pt>
              </c:numCache>
            </c:numRef>
          </c:xVal>
          <c:yVal>
            <c:numRef>
              <c:f>Consol!$AH$132:$AH$133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F20-4DD5-A126-CCEA200177ED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Consol!$AG$138:$AG$139</c:f>
              <c:numCache>
                <c:formatCode>General</c:formatCode>
                <c:ptCount val="2"/>
                <c:pt idx="0">
                  <c:v>0</c:v>
                </c:pt>
                <c:pt idx="1">
                  <c:v>7.8199999999999994</c:v>
                </c:pt>
              </c:numCache>
            </c:numRef>
          </c:xVal>
          <c:yVal>
            <c:numRef>
              <c:f>Consol!$AH$138:$AH$139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20-4DD5-A126-CCEA200177ED}"/>
            </c:ext>
          </c:extLst>
        </c:ser>
        <c:ser>
          <c:idx val="3"/>
          <c:order val="2"/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Consol!$AG$143:$AG$145</c:f>
              <c:numCache>
                <c:formatCode>General</c:formatCode>
                <c:ptCount val="3"/>
                <c:pt idx="0">
                  <c:v>0</c:v>
                </c:pt>
                <c:pt idx="1">
                  <c:v>2.8</c:v>
                </c:pt>
                <c:pt idx="2">
                  <c:v>2.8</c:v>
                </c:pt>
              </c:numCache>
            </c:numRef>
          </c:xVal>
          <c:yVal>
            <c:numRef>
              <c:f>Consol!$AH$143:$AH$145</c:f>
              <c:numCache>
                <c:formatCode>General</c:formatCode>
                <c:ptCount val="3"/>
                <c:pt idx="0">
                  <c:v>6560</c:v>
                </c:pt>
                <c:pt idx="1">
                  <c:v>6560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F20-4DD5-A126-CCEA2001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scatterChart>
        <c:scatterStyle val="smoothMarker"/>
        <c:varyColors val="0"/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Consol!$AA$129:$AA$142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Consol!$AE$129:$AE$142</c:f>
              <c:numCache>
                <c:formatCode>General</c:formatCode>
                <c:ptCount val="14"/>
                <c:pt idx="0">
                  <c:v>980</c:v>
                </c:pt>
                <c:pt idx="1">
                  <c:v>1951.6</c:v>
                </c:pt>
                <c:pt idx="2">
                  <c:v>2921.7999999999997</c:v>
                </c:pt>
                <c:pt idx="3">
                  <c:v>3889.7999999999997</c:v>
                </c:pt>
                <c:pt idx="4">
                  <c:v>4856.2</c:v>
                </c:pt>
                <c:pt idx="5">
                  <c:v>5821</c:v>
                </c:pt>
                <c:pt idx="6">
                  <c:v>6784.3</c:v>
                </c:pt>
                <c:pt idx="7">
                  <c:v>7745.9000000000005</c:v>
                </c:pt>
                <c:pt idx="8">
                  <c:v>8705.8000000000011</c:v>
                </c:pt>
                <c:pt idx="9">
                  <c:v>9663.8000000000011</c:v>
                </c:pt>
                <c:pt idx="10">
                  <c:v>10620.000000000002</c:v>
                </c:pt>
                <c:pt idx="11">
                  <c:v>11574.800000000001</c:v>
                </c:pt>
                <c:pt idx="12">
                  <c:v>12529.2</c:v>
                </c:pt>
                <c:pt idx="13">
                  <c:v>13483.2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F20-4DD5-A126-CCEA20017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✓t</a:t>
                </a:r>
                <a:r>
                  <a:rPr lang="en-US" b="1" baseline="0"/>
                  <a:t> </a:t>
                </a:r>
                <a:r>
                  <a:rPr lang="en-US" baseline="0"/>
                  <a:t>(menit)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Penurunan Kumulatif </a:t>
                </a:r>
                <a:r>
                  <a:rPr lang="en-US"/>
                  <a:t>(10-</a:t>
                </a:r>
                <a:r>
                  <a:rPr lang="en-US" baseline="30000"/>
                  <a:t>3 </a:t>
                </a:r>
                <a:r>
                  <a:rPr lang="en-US" baseline="0"/>
                  <a:t>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Pressure 1  kg/cm2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Consol!$AG$132:$AG$133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6.8</c:v>
                </c:pt>
              </c:numCache>
            </c:numRef>
          </c:xVal>
          <c:yVal>
            <c:numRef>
              <c:f>Consol!$AH$132:$AH$133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07-4517-8985-7F6CA818670B}"/>
            </c:ext>
          </c:extLst>
        </c:ser>
        <c:ser>
          <c:idx val="2"/>
          <c:order val="1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Consol!$AG$138:$AG$139</c:f>
              <c:numCache>
                <c:formatCode>General</c:formatCode>
                <c:ptCount val="2"/>
                <c:pt idx="0">
                  <c:v>0</c:v>
                </c:pt>
                <c:pt idx="1">
                  <c:v>7.8199999999999994</c:v>
                </c:pt>
              </c:numCache>
            </c:numRef>
          </c:xVal>
          <c:yVal>
            <c:numRef>
              <c:f>Consol!$AH$138:$AH$139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07-4517-8985-7F6CA818670B}"/>
            </c:ext>
          </c:extLst>
        </c:ser>
        <c:ser>
          <c:idx val="3"/>
          <c:order val="2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Consol!$AG$143:$AG$145</c:f>
              <c:numCache>
                <c:formatCode>General</c:formatCode>
                <c:ptCount val="3"/>
                <c:pt idx="0">
                  <c:v>0</c:v>
                </c:pt>
                <c:pt idx="1">
                  <c:v>2.8</c:v>
                </c:pt>
                <c:pt idx="2">
                  <c:v>2.8</c:v>
                </c:pt>
              </c:numCache>
            </c:numRef>
          </c:xVal>
          <c:yVal>
            <c:numRef>
              <c:f>Consol!$AH$143:$AH$145</c:f>
              <c:numCache>
                <c:formatCode>General</c:formatCode>
                <c:ptCount val="3"/>
                <c:pt idx="0">
                  <c:v>6560</c:v>
                </c:pt>
                <c:pt idx="1">
                  <c:v>6560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07-4517-8985-7F6CA8186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scatterChart>
        <c:scatterStyle val="smoothMarker"/>
        <c:varyColors val="0"/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Consol!$AA$129:$AA$142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Consol!$AE$129:$AE$142</c:f>
              <c:numCache>
                <c:formatCode>General</c:formatCode>
                <c:ptCount val="14"/>
                <c:pt idx="0">
                  <c:v>980</c:v>
                </c:pt>
                <c:pt idx="1">
                  <c:v>1951.6</c:v>
                </c:pt>
                <c:pt idx="2">
                  <c:v>2921.7999999999997</c:v>
                </c:pt>
                <c:pt idx="3">
                  <c:v>3889.7999999999997</c:v>
                </c:pt>
                <c:pt idx="4">
                  <c:v>4856.2</c:v>
                </c:pt>
                <c:pt idx="5">
                  <c:v>5821</c:v>
                </c:pt>
                <c:pt idx="6">
                  <c:v>6784.3</c:v>
                </c:pt>
                <c:pt idx="7">
                  <c:v>7745.9000000000005</c:v>
                </c:pt>
                <c:pt idx="8">
                  <c:v>8705.8000000000011</c:v>
                </c:pt>
                <c:pt idx="9">
                  <c:v>9663.8000000000011</c:v>
                </c:pt>
                <c:pt idx="10">
                  <c:v>10620.000000000002</c:v>
                </c:pt>
                <c:pt idx="11">
                  <c:v>11574.800000000001</c:v>
                </c:pt>
                <c:pt idx="12">
                  <c:v>12529.2</c:v>
                </c:pt>
                <c:pt idx="13">
                  <c:v>13483.2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907-4517-8985-7F6CA8186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✓t (menit)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Penurunan Kumulatif (10-3 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Pressure 2  kg/cm2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Consol!$AA$154:$AA$167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Consol!$AE$154:$AE$167</c:f>
              <c:numCache>
                <c:formatCode>General</c:formatCode>
                <c:ptCount val="14"/>
                <c:pt idx="0">
                  <c:v>954</c:v>
                </c:pt>
                <c:pt idx="1">
                  <c:v>1894</c:v>
                </c:pt>
                <c:pt idx="2">
                  <c:v>2831.8</c:v>
                </c:pt>
                <c:pt idx="3">
                  <c:v>3767.4</c:v>
                </c:pt>
                <c:pt idx="4">
                  <c:v>4700.3999999999996</c:v>
                </c:pt>
                <c:pt idx="5">
                  <c:v>5629.7</c:v>
                </c:pt>
                <c:pt idx="6">
                  <c:v>6555.7</c:v>
                </c:pt>
                <c:pt idx="7">
                  <c:v>7477.7</c:v>
                </c:pt>
                <c:pt idx="8">
                  <c:v>8394.7000000000007</c:v>
                </c:pt>
                <c:pt idx="9">
                  <c:v>9304.5</c:v>
                </c:pt>
                <c:pt idx="10">
                  <c:v>10208.6</c:v>
                </c:pt>
                <c:pt idx="11">
                  <c:v>11108.6</c:v>
                </c:pt>
                <c:pt idx="12">
                  <c:v>12005.6</c:v>
                </c:pt>
                <c:pt idx="13">
                  <c:v>12901.6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02-4E9C-AE9C-23224079ED88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Consol!$AG$157:$AG$158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7.5</c:v>
                </c:pt>
              </c:numCache>
            </c:numRef>
          </c:xVal>
          <c:yVal>
            <c:numRef>
              <c:f>Consol!$AH$157:$AH$158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102-4E9C-AE9C-23224079ED88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Consol!$AG$163:$AG$164</c:f>
              <c:numCache>
                <c:formatCode>General</c:formatCode>
                <c:ptCount val="2"/>
                <c:pt idx="0">
                  <c:v>0</c:v>
                </c:pt>
                <c:pt idx="1">
                  <c:v>8.625</c:v>
                </c:pt>
              </c:numCache>
            </c:numRef>
          </c:xVal>
          <c:yVal>
            <c:numRef>
              <c:f>Consol!$AH$163:$AH$164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02-4E9C-AE9C-23224079ED88}"/>
            </c:ext>
          </c:extLst>
        </c:ser>
        <c:ser>
          <c:idx val="3"/>
          <c:order val="3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Consol!$AG$168:$AG$170</c:f>
              <c:numCache>
                <c:formatCode>General</c:formatCode>
                <c:ptCount val="3"/>
                <c:pt idx="0">
                  <c:v>0</c:v>
                </c:pt>
                <c:pt idx="1">
                  <c:v>2.9</c:v>
                </c:pt>
                <c:pt idx="2">
                  <c:v>2.9</c:v>
                </c:pt>
              </c:numCache>
            </c:numRef>
          </c:xVal>
          <c:yVal>
            <c:numRef>
              <c:f>Consol!$AH$168:$AH$170</c:f>
              <c:numCache>
                <c:formatCode>General</c:formatCode>
                <c:ptCount val="3"/>
                <c:pt idx="0">
                  <c:v>6350</c:v>
                </c:pt>
                <c:pt idx="1">
                  <c:v>6350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02-4E9C-AE9C-23224079E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✓t (menit)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Penurunan Kumulatif (10-3 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Pressure 4  kg/cm2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Consol!$AA$177:$AA$190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Consol!$AE$177:$AE$190</c:f>
              <c:numCache>
                <c:formatCode>General</c:formatCode>
                <c:ptCount val="14"/>
                <c:pt idx="0">
                  <c:v>896</c:v>
                </c:pt>
                <c:pt idx="1">
                  <c:v>1777.4</c:v>
                </c:pt>
                <c:pt idx="2">
                  <c:v>2656.6</c:v>
                </c:pt>
                <c:pt idx="3">
                  <c:v>3532.7</c:v>
                </c:pt>
                <c:pt idx="4">
                  <c:v>4404.8</c:v>
                </c:pt>
                <c:pt idx="5">
                  <c:v>5272.9000000000005</c:v>
                </c:pt>
                <c:pt idx="6">
                  <c:v>6134.3000000000011</c:v>
                </c:pt>
                <c:pt idx="7">
                  <c:v>6988.4000000000015</c:v>
                </c:pt>
                <c:pt idx="8">
                  <c:v>7833.1000000000013</c:v>
                </c:pt>
                <c:pt idx="9">
                  <c:v>8668.6000000000022</c:v>
                </c:pt>
                <c:pt idx="10">
                  <c:v>9497.3000000000029</c:v>
                </c:pt>
                <c:pt idx="11">
                  <c:v>10319.500000000004</c:v>
                </c:pt>
                <c:pt idx="12">
                  <c:v>11138.800000000003</c:v>
                </c:pt>
                <c:pt idx="13">
                  <c:v>11954.000000000004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B9-48AE-AC1C-392A48950247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Consol!$AG$180:$AG$181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</c:v>
                </c:pt>
              </c:numCache>
            </c:numRef>
          </c:xVal>
          <c:yVal>
            <c:numRef>
              <c:f>Consol!$AH$180:$AH$181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B9-48AE-AC1C-392A48950247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Consol!$AG$186:$AG$187</c:f>
              <c:numCache>
                <c:formatCode>General</c:formatCode>
                <c:ptCount val="2"/>
                <c:pt idx="0">
                  <c:v>0</c:v>
                </c:pt>
                <c:pt idx="1">
                  <c:v>9.1999999999999993</c:v>
                </c:pt>
              </c:numCache>
            </c:numRef>
          </c:xVal>
          <c:yVal>
            <c:numRef>
              <c:f>Consol!$AH$186:$AH$187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DB9-48AE-AC1C-392A48950247}"/>
            </c:ext>
          </c:extLst>
        </c:ser>
        <c:ser>
          <c:idx val="3"/>
          <c:order val="3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Consol!$AG$191:$AG$193</c:f>
              <c:numCache>
                <c:formatCode>General</c:formatCode>
                <c:ptCount val="3"/>
                <c:pt idx="0">
                  <c:v>0</c:v>
                </c:pt>
                <c:pt idx="1">
                  <c:v>3.2</c:v>
                </c:pt>
                <c:pt idx="2">
                  <c:v>3.2</c:v>
                </c:pt>
              </c:numCache>
            </c:numRef>
          </c:xVal>
          <c:yVal>
            <c:numRef>
              <c:f>Consol!$AH$191:$AH$193</c:f>
              <c:numCache>
                <c:formatCode>General</c:formatCode>
                <c:ptCount val="3"/>
                <c:pt idx="0">
                  <c:v>5600</c:v>
                </c:pt>
                <c:pt idx="1">
                  <c:v>5600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DB9-48AE-AC1C-392A48950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✓t (menit)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Penurunan Kumulatif (10-3 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9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/>
              <a:t>Pressure 8  kg/cm2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Consol!$AA$199:$AA$212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1.4142135623730951</c:v>
                </c:pt>
                <c:pt idx="5">
                  <c:v>2</c:v>
                </c:pt>
                <c:pt idx="6">
                  <c:v>2.8284271247461903</c:v>
                </c:pt>
                <c:pt idx="7">
                  <c:v>3.872983346207417</c:v>
                </c:pt>
                <c:pt idx="8">
                  <c:v>5.4772255750516612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16</c:v>
                </c:pt>
                <c:pt idx="12">
                  <c:v>22</c:v>
                </c:pt>
                <c:pt idx="13">
                  <c:v>37.947331922020552</c:v>
                </c:pt>
              </c:numCache>
            </c:numRef>
          </c:xVal>
          <c:yVal>
            <c:numRef>
              <c:f>Consol!$AE$199:$AE$212</c:f>
              <c:numCache>
                <c:formatCode>General</c:formatCode>
                <c:ptCount val="14"/>
                <c:pt idx="0">
                  <c:v>815.2</c:v>
                </c:pt>
                <c:pt idx="1">
                  <c:v>1616.4</c:v>
                </c:pt>
                <c:pt idx="2">
                  <c:v>2413.1</c:v>
                </c:pt>
                <c:pt idx="3">
                  <c:v>3205.8999999999996</c:v>
                </c:pt>
                <c:pt idx="4">
                  <c:v>3994.4999999999995</c:v>
                </c:pt>
                <c:pt idx="5">
                  <c:v>4775.8999999999996</c:v>
                </c:pt>
                <c:pt idx="6">
                  <c:v>5549.0999999999995</c:v>
                </c:pt>
                <c:pt idx="7">
                  <c:v>6314.4999999999991</c:v>
                </c:pt>
                <c:pt idx="8">
                  <c:v>7068.5999999999995</c:v>
                </c:pt>
                <c:pt idx="9">
                  <c:v>7810.0999999999995</c:v>
                </c:pt>
                <c:pt idx="10">
                  <c:v>8537.2999999999993</c:v>
                </c:pt>
                <c:pt idx="11">
                  <c:v>9253.5999999999985</c:v>
                </c:pt>
                <c:pt idx="12">
                  <c:v>9963.7999999999993</c:v>
                </c:pt>
                <c:pt idx="13">
                  <c:v>10663.8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EB-450F-B97F-A28AAD5C9C0F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Consol!$AG$202:$AG$203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10.199999999999999</c:v>
                </c:pt>
              </c:numCache>
            </c:numRef>
          </c:xVal>
          <c:yVal>
            <c:numRef>
              <c:f>Consol!$AH$202:$AH$203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EB-450F-B97F-A28AAD5C9C0F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Consol!$AG$208:$AG$209</c:f>
              <c:numCache>
                <c:formatCode>General</c:formatCode>
                <c:ptCount val="2"/>
                <c:pt idx="0">
                  <c:v>0</c:v>
                </c:pt>
                <c:pt idx="1">
                  <c:v>11.729999999999999</c:v>
                </c:pt>
              </c:numCache>
            </c:numRef>
          </c:xVal>
          <c:yVal>
            <c:numRef>
              <c:f>Consol!$AH$208:$AH$209</c:f>
              <c:numCache>
                <c:formatCode>General</c:formatCode>
                <c:ptCount val="2"/>
                <c:pt idx="0">
                  <c:v>2000</c:v>
                </c:pt>
                <c:pt idx="1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9EB-450F-B97F-A28AAD5C9C0F}"/>
            </c:ext>
          </c:extLst>
        </c:ser>
        <c:ser>
          <c:idx val="3"/>
          <c:order val="3"/>
          <c:spPr>
            <a:ln w="1270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Consol!$AG$213:$AG$215</c:f>
              <c:numCache>
                <c:formatCode>General</c:formatCode>
                <c:ptCount val="3"/>
                <c:pt idx="0">
                  <c:v>0</c:v>
                </c:pt>
                <c:pt idx="1">
                  <c:v>3.4</c:v>
                </c:pt>
                <c:pt idx="2">
                  <c:v>3.4</c:v>
                </c:pt>
              </c:numCache>
            </c:numRef>
          </c:xVal>
          <c:yVal>
            <c:numRef>
              <c:f>Consol!$AH$213:$AH$215</c:f>
              <c:numCache>
                <c:formatCode>General</c:formatCode>
                <c:ptCount val="3"/>
                <c:pt idx="0">
                  <c:v>5650</c:v>
                </c:pt>
                <c:pt idx="1">
                  <c:v>5650</c:v>
                </c:pt>
                <c:pt idx="2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EB-450F-B97F-A28AAD5C9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6184895"/>
        <c:axId val="1415920911"/>
      </c:scatterChart>
      <c:valAx>
        <c:axId val="141618489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✓t (menit)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5920911"/>
        <c:crosses val="autoZero"/>
        <c:crossBetween val="midCat"/>
      </c:valAx>
      <c:valAx>
        <c:axId val="1415920911"/>
        <c:scaling>
          <c:orientation val="maxMin"/>
          <c:max val="1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Penurunan Kumulatif (10-3 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416184895"/>
        <c:crossesAt val="0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800"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056717847966991E-2"/>
          <c:y val="9.2741935483871024E-2"/>
          <c:w val="0.84434059498981462"/>
          <c:h val="0.7083333333333337"/>
        </c:manualLayout>
      </c:layout>
      <c:scatterChart>
        <c:scatterStyle val="lineMarker"/>
        <c:varyColors val="0"/>
        <c:ser>
          <c:idx val="0"/>
          <c:order val="0"/>
          <c:tx>
            <c:v>specimen-1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UU!$L$128:$L$148</c:f>
              <c:numCache>
                <c:formatCode>0.000</c:formatCode>
                <c:ptCount val="21"/>
                <c:pt idx="0">
                  <c:v>0.5</c:v>
                </c:pt>
                <c:pt idx="1">
                  <c:v>0.52791189826918772</c:v>
                </c:pt>
                <c:pt idx="2">
                  <c:v>0.55582379653837544</c:v>
                </c:pt>
                <c:pt idx="3">
                  <c:v>0.58373569480756315</c:v>
                </c:pt>
                <c:pt idx="4">
                  <c:v>0.61164759307675087</c:v>
                </c:pt>
                <c:pt idx="5">
                  <c:v>0.63955949134593859</c:v>
                </c:pt>
                <c:pt idx="6">
                  <c:v>0.66747138961512631</c:v>
                </c:pt>
                <c:pt idx="7">
                  <c:v>0.69538328788431403</c:v>
                </c:pt>
                <c:pt idx="8">
                  <c:v>0.72329518615350175</c:v>
                </c:pt>
                <c:pt idx="9">
                  <c:v>0.75120708442268946</c:v>
                </c:pt>
                <c:pt idx="10">
                  <c:v>0.77911898269187718</c:v>
                </c:pt>
                <c:pt idx="11">
                  <c:v>0.8070308809610649</c:v>
                </c:pt>
                <c:pt idx="12">
                  <c:v>0.83494277923025262</c:v>
                </c:pt>
                <c:pt idx="13">
                  <c:v>0.86285467749944034</c:v>
                </c:pt>
                <c:pt idx="14">
                  <c:v>0.89076657576862805</c:v>
                </c:pt>
                <c:pt idx="15">
                  <c:v>0.91867847403781577</c:v>
                </c:pt>
                <c:pt idx="16">
                  <c:v>0.94659037230700349</c:v>
                </c:pt>
                <c:pt idx="17">
                  <c:v>0.97450227057619121</c:v>
                </c:pt>
                <c:pt idx="18">
                  <c:v>1.0024141688453789</c:v>
                </c:pt>
                <c:pt idx="19">
                  <c:v>1.0303260671145666</c:v>
                </c:pt>
                <c:pt idx="20">
                  <c:v>1.0582379653837544</c:v>
                </c:pt>
              </c:numCache>
            </c:numRef>
          </c:xVal>
          <c:yVal>
            <c:numRef>
              <c:f>UU!$P$128:$P$148</c:f>
              <c:numCache>
                <c:formatCode>0.000</c:formatCode>
                <c:ptCount val="21"/>
                <c:pt idx="0">
                  <c:v>0</c:v>
                </c:pt>
                <c:pt idx="1">
                  <c:v>0.12166514387777708</c:v>
                </c:pt>
                <c:pt idx="2">
                  <c:v>0.16747138961512614</c:v>
                </c:pt>
                <c:pt idx="3">
                  <c:v>0.19933082379417336</c:v>
                </c:pt>
                <c:pt idx="4">
                  <c:v>0.22329518615350213</c:v>
                </c:pt>
                <c:pt idx="5">
                  <c:v>0.24172412968963494</c:v>
                </c:pt>
                <c:pt idx="6">
                  <c:v>0.25581677321691926</c:v>
                </c:pt>
                <c:pt idx="7">
                  <c:v>0.26626253944940004</c:v>
                </c:pt>
                <c:pt idx="8">
                  <c:v>0.27347963404793174</c:v>
                </c:pt>
                <c:pt idx="9">
                  <c:v>0.27771988123639818</c:v>
                </c:pt>
                <c:pt idx="10">
                  <c:v>0.27911898269187779</c:v>
                </c:pt>
                <c:pt idx="11">
                  <c:v>0.2777198812363984</c:v>
                </c:pt>
                <c:pt idx="12">
                  <c:v>0.27347963404793191</c:v>
                </c:pt>
                <c:pt idx="13">
                  <c:v>0.26626253944940043</c:v>
                </c:pt>
                <c:pt idx="14">
                  <c:v>0.25581677321692015</c:v>
                </c:pt>
                <c:pt idx="15">
                  <c:v>0.24172412968963539</c:v>
                </c:pt>
                <c:pt idx="16">
                  <c:v>0.22329518615350288</c:v>
                </c:pt>
                <c:pt idx="17">
                  <c:v>0.19933082379417447</c:v>
                </c:pt>
                <c:pt idx="18">
                  <c:v>0.16747138961512748</c:v>
                </c:pt>
                <c:pt idx="19">
                  <c:v>0.12166514387777981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C5-4443-B65E-FC93725A2DA6}"/>
            </c:ext>
          </c:extLst>
        </c:ser>
        <c:ser>
          <c:idx val="1"/>
          <c:order val="1"/>
          <c:tx>
            <c:v>specimen-2</c:v>
          </c:tx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UU!$N$128:$N$148</c:f>
              <c:numCache>
                <c:formatCode>0.000</c:formatCode>
                <c:ptCount val="21"/>
                <c:pt idx="0">
                  <c:v>1</c:v>
                </c:pt>
                <c:pt idx="1">
                  <c:v>1.0373987524697972</c:v>
                </c:pt>
                <c:pt idx="2">
                  <c:v>1.0747975049395944</c:v>
                </c:pt>
                <c:pt idx="3">
                  <c:v>1.1121962574093915</c:v>
                </c:pt>
                <c:pt idx="4">
                  <c:v>1.1495950098791887</c:v>
                </c:pt>
                <c:pt idx="5">
                  <c:v>1.1869937623489859</c:v>
                </c:pt>
                <c:pt idx="6">
                  <c:v>1.2243925148187831</c:v>
                </c:pt>
                <c:pt idx="7">
                  <c:v>1.2617912672885803</c:v>
                </c:pt>
                <c:pt idx="8">
                  <c:v>1.2991900197583774</c:v>
                </c:pt>
                <c:pt idx="9">
                  <c:v>1.3365887722281746</c:v>
                </c:pt>
                <c:pt idx="10">
                  <c:v>1.3739875246979718</c:v>
                </c:pt>
                <c:pt idx="11">
                  <c:v>1.411386277167769</c:v>
                </c:pt>
                <c:pt idx="12">
                  <c:v>1.4487850296375662</c:v>
                </c:pt>
                <c:pt idx="13">
                  <c:v>1.4861837821073633</c:v>
                </c:pt>
                <c:pt idx="14">
                  <c:v>1.5235825345771605</c:v>
                </c:pt>
                <c:pt idx="15">
                  <c:v>1.5609812870469577</c:v>
                </c:pt>
                <c:pt idx="16">
                  <c:v>1.5983800395167549</c:v>
                </c:pt>
                <c:pt idx="17">
                  <c:v>1.6357787919865521</c:v>
                </c:pt>
                <c:pt idx="18">
                  <c:v>1.6731775444563493</c:v>
                </c:pt>
                <c:pt idx="19">
                  <c:v>1.7105762969261464</c:v>
                </c:pt>
                <c:pt idx="20">
                  <c:v>1.7479750493959436</c:v>
                </c:pt>
              </c:numCache>
            </c:numRef>
          </c:xVal>
          <c:yVal>
            <c:numRef>
              <c:f>UU!$Q$128:$Q$148</c:f>
              <c:numCache>
                <c:formatCode>0.000</c:formatCode>
                <c:ptCount val="21"/>
                <c:pt idx="0">
                  <c:v>0</c:v>
                </c:pt>
                <c:pt idx="1">
                  <c:v>0.1630173826303381</c:v>
                </c:pt>
                <c:pt idx="2">
                  <c:v>0.22439251481878353</c:v>
                </c:pt>
                <c:pt idx="3">
                  <c:v>0.26708051407984695</c:v>
                </c:pt>
                <c:pt idx="4">
                  <c:v>0.2991900197583775</c:v>
                </c:pt>
                <c:pt idx="5">
                  <c:v>0.32388269708690465</c:v>
                </c:pt>
                <c:pt idx="6">
                  <c:v>0.34276522817952509</c:v>
                </c:pt>
                <c:pt idx="7">
                  <c:v>0.35676136065028341</c:v>
                </c:pt>
                <c:pt idx="8">
                  <c:v>0.3664314422706218</c:v>
                </c:pt>
                <c:pt idx="9">
                  <c:v>0.37211288870908443</c:v>
                </c:pt>
                <c:pt idx="10">
                  <c:v>0.37398752469797214</c:v>
                </c:pt>
                <c:pt idx="11">
                  <c:v>0.37211288870908504</c:v>
                </c:pt>
                <c:pt idx="12">
                  <c:v>0.3664314422706218</c:v>
                </c:pt>
                <c:pt idx="13">
                  <c:v>0.35676136065028463</c:v>
                </c:pt>
                <c:pt idx="14">
                  <c:v>0.3427652281795257</c:v>
                </c:pt>
                <c:pt idx="15">
                  <c:v>0.32388269708690598</c:v>
                </c:pt>
                <c:pt idx="16">
                  <c:v>0.29919001975837972</c:v>
                </c:pt>
                <c:pt idx="17">
                  <c:v>0.26708051407984945</c:v>
                </c:pt>
                <c:pt idx="18">
                  <c:v>0.224392514818786</c:v>
                </c:pt>
                <c:pt idx="19">
                  <c:v>0.16301738263034218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C5-4443-B65E-FC93725A2DA6}"/>
            </c:ext>
          </c:extLst>
        </c:ser>
        <c:ser>
          <c:idx val="2"/>
          <c:order val="2"/>
          <c:tx>
            <c:v>specimen-3</c:v>
          </c:tx>
          <c:marker>
            <c:symbol val="none"/>
          </c:marker>
          <c:xVal>
            <c:numRef>
              <c:f>UU!$O$128:$O$148</c:f>
              <c:numCache>
                <c:formatCode>0.000</c:formatCode>
                <c:ptCount val="21"/>
                <c:pt idx="0">
                  <c:v>2</c:v>
                </c:pt>
                <c:pt idx="1">
                  <c:v>2.0608737478449259</c:v>
                </c:pt>
                <c:pt idx="2">
                  <c:v>2.1217474956898519</c:v>
                </c:pt>
                <c:pt idx="3">
                  <c:v>2.1826212435347778</c:v>
                </c:pt>
                <c:pt idx="4">
                  <c:v>2.2434949913797038</c:v>
                </c:pt>
                <c:pt idx="5">
                  <c:v>2.3043687392246297</c:v>
                </c:pt>
                <c:pt idx="6">
                  <c:v>2.3652424870695556</c:v>
                </c:pt>
                <c:pt idx="7">
                  <c:v>2.4261162349144816</c:v>
                </c:pt>
                <c:pt idx="8">
                  <c:v>2.4869899827594075</c:v>
                </c:pt>
                <c:pt idx="9">
                  <c:v>2.5478637306043335</c:v>
                </c:pt>
                <c:pt idx="10">
                  <c:v>2.6087374784492594</c:v>
                </c:pt>
                <c:pt idx="11">
                  <c:v>2.6696112262941853</c:v>
                </c:pt>
                <c:pt idx="12">
                  <c:v>2.7304849741391113</c:v>
                </c:pt>
                <c:pt idx="13">
                  <c:v>2.7913587219840372</c:v>
                </c:pt>
                <c:pt idx="14">
                  <c:v>2.8522324698289632</c:v>
                </c:pt>
                <c:pt idx="15">
                  <c:v>2.9131062176738891</c:v>
                </c:pt>
                <c:pt idx="16">
                  <c:v>2.973979965518815</c:v>
                </c:pt>
                <c:pt idx="17">
                  <c:v>3.034853713363741</c:v>
                </c:pt>
                <c:pt idx="18">
                  <c:v>3.0957274612086669</c:v>
                </c:pt>
                <c:pt idx="19">
                  <c:v>3.1566012090535929</c:v>
                </c:pt>
                <c:pt idx="20">
                  <c:v>3.2174749568985188</c:v>
                </c:pt>
              </c:numCache>
            </c:numRef>
          </c:xVal>
          <c:yVal>
            <c:numRef>
              <c:f>UU!$R$128:$R$148</c:f>
              <c:numCache>
                <c:formatCode>0.000</c:formatCode>
                <c:ptCount val="21"/>
                <c:pt idx="0">
                  <c:v>0</c:v>
                </c:pt>
                <c:pt idx="1">
                  <c:v>0.26534251517060981</c:v>
                </c:pt>
                <c:pt idx="2">
                  <c:v>0.36524248706955526</c:v>
                </c:pt>
                <c:pt idx="3">
                  <c:v>0.4347255134117029</c:v>
                </c:pt>
                <c:pt idx="4">
                  <c:v>0.48698998275940802</c:v>
                </c:pt>
                <c:pt idx="5">
                  <c:v>0.52718212057274105</c:v>
                </c:pt>
                <c:pt idx="6">
                  <c:v>0.55791711467005656</c:v>
                </c:pt>
                <c:pt idx="7">
                  <c:v>0.58069854406445232</c:v>
                </c:pt>
                <c:pt idx="8">
                  <c:v>0.59643848380366338</c:v>
                </c:pt>
                <c:pt idx="9">
                  <c:v>0.60568614355297534</c:v>
                </c:pt>
                <c:pt idx="10">
                  <c:v>0.60873747844925963</c:v>
                </c:pt>
                <c:pt idx="11">
                  <c:v>0.60568614355297534</c:v>
                </c:pt>
                <c:pt idx="12">
                  <c:v>0.59643848380366338</c:v>
                </c:pt>
                <c:pt idx="13">
                  <c:v>0.58069854406445232</c:v>
                </c:pt>
                <c:pt idx="14">
                  <c:v>0.55791711467005822</c:v>
                </c:pt>
                <c:pt idx="15">
                  <c:v>0.52718212057274272</c:v>
                </c:pt>
                <c:pt idx="16">
                  <c:v>0.48698998275940891</c:v>
                </c:pt>
                <c:pt idx="17">
                  <c:v>0.4347255134117049</c:v>
                </c:pt>
                <c:pt idx="18">
                  <c:v>0.36524248706955648</c:v>
                </c:pt>
                <c:pt idx="19">
                  <c:v>0.26534251517061314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BC5-4443-B65E-FC93725A2DA6}"/>
            </c:ext>
          </c:extLst>
        </c:ser>
        <c:ser>
          <c:idx val="3"/>
          <c:order val="3"/>
          <c:tx>
            <c:v>cohesion</c:v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UU!$L$156:$L$166</c:f>
              <c:numCache>
                <c:formatCode>0.000</c:formatCode>
                <c:ptCount val="11"/>
                <c:pt idx="0">
                  <c:v>0</c:v>
                </c:pt>
                <c:pt idx="1">
                  <c:v>0.32174749568985206</c:v>
                </c:pt>
                <c:pt idx="2">
                  <c:v>0.64349499137970412</c:v>
                </c:pt>
                <c:pt idx="3">
                  <c:v>0.96524248706955618</c:v>
                </c:pt>
                <c:pt idx="4">
                  <c:v>1.2869899827594082</c:v>
                </c:pt>
                <c:pt idx="5">
                  <c:v>1.6087374784492603</c:v>
                </c:pt>
                <c:pt idx="6">
                  <c:v>1.9304849741391124</c:v>
                </c:pt>
                <c:pt idx="7">
                  <c:v>2.2522324698289644</c:v>
                </c:pt>
                <c:pt idx="8">
                  <c:v>2.5739799655188165</c:v>
                </c:pt>
                <c:pt idx="9">
                  <c:v>2.8957274612086685</c:v>
                </c:pt>
                <c:pt idx="10">
                  <c:v>3.2174749568985206</c:v>
                </c:pt>
              </c:numCache>
            </c:numRef>
          </c:xVal>
          <c:yVal>
            <c:numRef>
              <c:f>UU!$N$156:$N$166</c:f>
              <c:numCache>
                <c:formatCode>0.000</c:formatCode>
                <c:ptCount val="11"/>
                <c:pt idx="0">
                  <c:v>0.13122991413231042</c:v>
                </c:pt>
                <c:pt idx="1">
                  <c:v>0.19083914787018003</c:v>
                </c:pt>
                <c:pt idx="2">
                  <c:v>0.25044838160804961</c:v>
                </c:pt>
                <c:pt idx="3">
                  <c:v>0.31005761534591925</c:v>
                </c:pt>
                <c:pt idx="4">
                  <c:v>0.36966684908378883</c:v>
                </c:pt>
                <c:pt idx="5">
                  <c:v>0.42927608282165841</c:v>
                </c:pt>
                <c:pt idx="6">
                  <c:v>0.48888531655952805</c:v>
                </c:pt>
                <c:pt idx="7">
                  <c:v>0.54849455029739769</c:v>
                </c:pt>
                <c:pt idx="8">
                  <c:v>0.60810378403526721</c:v>
                </c:pt>
                <c:pt idx="9">
                  <c:v>0.66771301777313685</c:v>
                </c:pt>
                <c:pt idx="10">
                  <c:v>0.72732225151100649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C5-4443-B65E-FC93725A2D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5756064"/>
        <c:axId val="-35766400"/>
      </c:scatterChart>
      <c:valAx>
        <c:axId val="-35756064"/>
        <c:scaling>
          <c:orientation val="minMax"/>
          <c:max val="4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ysDash"/>
            </a:ln>
          </c:spPr>
        </c:minorGridlines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700" b="0" i="0" u="none" strike="noStrike" baseline="0">
                <a:solidFill>
                  <a:srgbClr val="000000"/>
                </a:solidFill>
                <a:latin typeface="AvantGarde Md BT"/>
                <a:ea typeface="AvantGarde Md BT"/>
                <a:cs typeface="AvantGarde Md BT"/>
              </a:defRPr>
            </a:pPr>
            <a:endParaRPr lang="en-US"/>
          </a:p>
        </c:txPr>
        <c:crossAx val="-35766400"/>
        <c:crosses val="autoZero"/>
        <c:crossBetween val="midCat"/>
      </c:valAx>
      <c:valAx>
        <c:axId val="-35766400"/>
        <c:scaling>
          <c:orientation val="minMax"/>
          <c:max val="1.5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numFmt formatCode="0.0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700" b="0" i="0" u="none" strike="noStrike" baseline="0">
                <a:solidFill>
                  <a:srgbClr val="000000"/>
                </a:solidFill>
                <a:latin typeface="AvantGarde Md BT"/>
                <a:ea typeface="AvantGarde Md BT"/>
                <a:cs typeface="AvantGarde Md BT"/>
              </a:defRPr>
            </a:pPr>
            <a:endParaRPr lang="en-US"/>
          </a:p>
        </c:txPr>
        <c:crossAx val="-35756064"/>
        <c:crosses val="autoZero"/>
        <c:crossBetween val="midCat"/>
      </c:valAx>
      <c:spPr>
        <a:noFill/>
        <a:ln w="25400">
          <a:noFill/>
        </a:ln>
      </c:spPr>
    </c:plotArea>
    <c:plotVisOnly val="0"/>
    <c:dispBlanksAs val="gap"/>
    <c:showDLblsOverMax val="0"/>
  </c:chart>
  <c:spPr>
    <a:noFill/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MS Sans Serif"/>
          <a:ea typeface="MS Sans Serif"/>
          <a:cs typeface="MS Sans Serif"/>
        </a:defRPr>
      </a:pPr>
      <a:endParaRPr lang="en-US"/>
    </a:p>
  </c:txPr>
  <c:printSettings>
    <c:headerFooter alignWithMargins="0">
      <c:oddHeader>&amp;F</c:oddHeader>
      <c:oddFooter>Page &amp;P</c:oddFooter>
    </c:headerFooter>
    <c:pageMargins b="1" l="0.750000000000002" r="0.750000000000002" t="1" header="0.5" footer="0.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Strain (%)</a:t>
            </a:r>
          </a:p>
        </c:rich>
      </c:tx>
      <c:layout>
        <c:manualLayout>
          <c:xMode val="edge"/>
          <c:yMode val="edge"/>
          <c:x val="0.4172185430463578"/>
          <c:y val="0.8888924611483295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20529801324528"/>
          <c:y val="6.1728643135300722E-2"/>
          <c:w val="0.76490066225165565"/>
          <c:h val="0.73251323187223183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strRef>
              <c:f>UU!$D$36:$D$63</c:f>
              <c:strCache>
                <c:ptCount val="27"/>
                <c:pt idx="0">
                  <c:v>0,000</c:v>
                </c:pt>
                <c:pt idx="1">
                  <c:v>0,526</c:v>
                </c:pt>
                <c:pt idx="2">
                  <c:v>1,053</c:v>
                </c:pt>
                <c:pt idx="3">
                  <c:v>1,579</c:v>
                </c:pt>
                <c:pt idx="4">
                  <c:v>2,105</c:v>
                </c:pt>
                <c:pt idx="5">
                  <c:v>2,632</c:v>
                </c:pt>
                <c:pt idx="6">
                  <c:v>3,158</c:v>
                </c:pt>
                <c:pt idx="7">
                  <c:v>3,684</c:v>
                </c:pt>
                <c:pt idx="8">
                  <c:v>4,211</c:v>
                </c:pt>
                <c:pt idx="9">
                  <c:v>4,737</c:v>
                </c:pt>
                <c:pt idx="10">
                  <c:v>5,263</c:v>
                </c:pt>
                <c:pt idx="11">
                  <c:v>5,789</c:v>
                </c:pt>
                <c:pt idx="12">
                  <c:v>6,316</c:v>
                </c:pt>
                <c:pt idx="13">
                  <c:v>6,842</c:v>
                </c:pt>
                <c:pt idx="14">
                  <c:v>7,368</c:v>
                </c:pt>
                <c:pt idx="15">
                  <c:v>7,895</c:v>
                </c:pt>
                <c:pt idx="16">
                  <c:v>8,421</c:v>
                </c:pt>
                <c:pt idx="17">
                  <c:v>8,947</c:v>
                </c:pt>
                <c:pt idx="18">
                  <c:v>9,474</c:v>
                </c:pt>
                <c:pt idx="19">
                  <c:v>10,000</c:v>
                </c:pt>
                <c:pt idx="20">
                  <c:v>10,526</c:v>
                </c:pt>
                <c:pt idx="21">
                  <c:v>11,053</c:v>
                </c:pt>
                <c:pt idx="22">
                  <c:v>11,579</c:v>
                </c:pt>
                <c:pt idx="23">
                  <c:v>12,105</c:v>
                </c:pt>
                <c:pt idx="24">
                  <c:v>12,632</c:v>
                </c:pt>
                <c:pt idx="25">
                  <c:v>13,158</c:v>
                </c:pt>
                <c:pt idx="26">
                  <c:v>13,684</c:v>
                </c:pt>
              </c:strCache>
            </c:strRef>
          </c:xVal>
          <c:yVal>
            <c:numRef>
              <c:f>UU!$F$36:$F$63</c:f>
              <c:numCache>
                <c:formatCode>0.000</c:formatCode>
                <c:ptCount val="28"/>
                <c:pt idx="0">
                  <c:v>0</c:v>
                </c:pt>
                <c:pt idx="1">
                  <c:v>6.3488301348428325E-2</c:v>
                </c:pt>
                <c:pt idx="2">
                  <c:v>0.11577937141847422</c:v>
                </c:pt>
                <c:pt idx="3">
                  <c:v>0.167510579924601</c:v>
                </c:pt>
                <c:pt idx="4">
                  <c:v>0.21868192686680865</c:v>
                </c:pt>
                <c:pt idx="5">
                  <c:v>0.25893597331259344</c:v>
                </c:pt>
                <c:pt idx="6">
                  <c:v>0.29874213050724291</c:v>
                </c:pt>
                <c:pt idx="7">
                  <c:v>0.31760946521131733</c:v>
                </c:pt>
                <c:pt idx="8">
                  <c:v>0.35663181621648005</c:v>
                </c:pt>
                <c:pt idx="9">
                  <c:v>0.37493928935663534</c:v>
                </c:pt>
                <c:pt idx="10">
                  <c:v>0.3930228178712229</c:v>
                </c:pt>
                <c:pt idx="11">
                  <c:v>0.41088240176024288</c:v>
                </c:pt>
                <c:pt idx="12">
                  <c:v>0.42851804102369523</c:v>
                </c:pt>
                <c:pt idx="13">
                  <c:v>0.44592973566157984</c:v>
                </c:pt>
                <c:pt idx="14">
                  <c:v>0.46311748567389688</c:v>
                </c:pt>
                <c:pt idx="15">
                  <c:v>0.48008129106064629</c:v>
                </c:pt>
                <c:pt idx="16">
                  <c:v>0.49682115182182801</c:v>
                </c:pt>
                <c:pt idx="17">
                  <c:v>0.51333706795744205</c:v>
                </c:pt>
                <c:pt idx="18">
                  <c:v>0.52962903946748852</c:v>
                </c:pt>
                <c:pt idx="19">
                  <c:v>0.53612343360895032</c:v>
                </c:pt>
                <c:pt idx="20">
                  <c:v>0.55202350202425332</c:v>
                </c:pt>
                <c:pt idx="21">
                  <c:v>0.55823796538375547</c:v>
                </c:pt>
                <c:pt idx="22">
                  <c:v>0.55493478215663261</c:v>
                </c:pt>
                <c:pt idx="23">
                  <c:v>0.55163159892950986</c:v>
                </c:pt>
                <c:pt idx="24">
                  <c:v>0.548328415702387</c:v>
                </c:pt>
                <c:pt idx="25">
                  <c:v>0.54502523247526424</c:v>
                </c:pt>
                <c:pt idx="26">
                  <c:v>0.54172204924814138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CD-4E74-A706-4B1A6D5DDB58}"/>
            </c:ext>
          </c:extLst>
        </c:ser>
        <c:ser>
          <c:idx val="1"/>
          <c:order val="1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strRef>
              <c:f>UU!$J$36:$J$67</c:f>
              <c:strCache>
                <c:ptCount val="29"/>
                <c:pt idx="0">
                  <c:v>0,000</c:v>
                </c:pt>
                <c:pt idx="1">
                  <c:v>0,526</c:v>
                </c:pt>
                <c:pt idx="2">
                  <c:v>1,053</c:v>
                </c:pt>
                <c:pt idx="3">
                  <c:v>1,579</c:v>
                </c:pt>
                <c:pt idx="4">
                  <c:v>2,105</c:v>
                </c:pt>
                <c:pt idx="5">
                  <c:v>2,632</c:v>
                </c:pt>
                <c:pt idx="6">
                  <c:v>3,158</c:v>
                </c:pt>
                <c:pt idx="7">
                  <c:v>3,684</c:v>
                </c:pt>
                <c:pt idx="8">
                  <c:v>4,211</c:v>
                </c:pt>
                <c:pt idx="9">
                  <c:v>4,737</c:v>
                </c:pt>
                <c:pt idx="10">
                  <c:v>5,263</c:v>
                </c:pt>
                <c:pt idx="11">
                  <c:v>5,789</c:v>
                </c:pt>
                <c:pt idx="12">
                  <c:v>6,316</c:v>
                </c:pt>
                <c:pt idx="13">
                  <c:v>6,842</c:v>
                </c:pt>
                <c:pt idx="14">
                  <c:v>7,368</c:v>
                </c:pt>
                <c:pt idx="15">
                  <c:v>7,895</c:v>
                </c:pt>
                <c:pt idx="16">
                  <c:v>8,421</c:v>
                </c:pt>
                <c:pt idx="17">
                  <c:v>8,947</c:v>
                </c:pt>
                <c:pt idx="18">
                  <c:v>9,474</c:v>
                </c:pt>
                <c:pt idx="19">
                  <c:v>10,000</c:v>
                </c:pt>
                <c:pt idx="20">
                  <c:v>10,526</c:v>
                </c:pt>
                <c:pt idx="21">
                  <c:v>11,053</c:v>
                </c:pt>
                <c:pt idx="22">
                  <c:v>11,579</c:v>
                </c:pt>
                <c:pt idx="23">
                  <c:v>12,105</c:v>
                </c:pt>
                <c:pt idx="24">
                  <c:v>12,632</c:v>
                </c:pt>
                <c:pt idx="25">
                  <c:v>13,158</c:v>
                </c:pt>
                <c:pt idx="26">
                  <c:v>13,684</c:v>
                </c:pt>
                <c:pt idx="27">
                  <c:v>14,211</c:v>
                </c:pt>
                <c:pt idx="28">
                  <c:v>14,737</c:v>
                </c:pt>
              </c:strCache>
            </c:strRef>
          </c:xVal>
          <c:yVal>
            <c:numRef>
              <c:f>UU!$L$36:$L$67</c:f>
              <c:numCache>
                <c:formatCode>0.000</c:formatCode>
                <c:ptCount val="32"/>
                <c:pt idx="0">
                  <c:v>0</c:v>
                </c:pt>
                <c:pt idx="1">
                  <c:v>0.15872075337107081</c:v>
                </c:pt>
                <c:pt idx="2">
                  <c:v>0.26313493504198687</c:v>
                </c:pt>
                <c:pt idx="3">
                  <c:v>0.34549057109448955</c:v>
                </c:pt>
                <c:pt idx="4">
                  <c:v>0.39571015337803467</c:v>
                </c:pt>
                <c:pt idx="5">
                  <c:v>0.44536987409766071</c:v>
                </c:pt>
                <c:pt idx="6">
                  <c:v>0.48416828047725574</c:v>
                </c:pt>
                <c:pt idx="7">
                  <c:v>0.52251879760571562</c:v>
                </c:pt>
                <c:pt idx="8">
                  <c:v>0.55023194501971207</c:v>
                </c:pt>
                <c:pt idx="9">
                  <c:v>0.58774266980229317</c:v>
                </c:pt>
                <c:pt idx="10">
                  <c:v>0.60465048903265062</c:v>
                </c:pt>
                <c:pt idx="11">
                  <c:v>0.62133436363744055</c:v>
                </c:pt>
                <c:pt idx="12">
                  <c:v>0.63779429361666262</c:v>
                </c:pt>
                <c:pt idx="13">
                  <c:v>0.65403027897031707</c:v>
                </c:pt>
                <c:pt idx="14">
                  <c:v>0.670042319698404</c:v>
                </c:pt>
                <c:pt idx="15">
                  <c:v>0.68583041580092319</c:v>
                </c:pt>
                <c:pt idx="16">
                  <c:v>0.70139456727787486</c:v>
                </c:pt>
                <c:pt idx="17">
                  <c:v>0.71673477412925879</c:v>
                </c:pt>
                <c:pt idx="18">
                  <c:v>0.73185103635507498</c:v>
                </c:pt>
                <c:pt idx="19">
                  <c:v>0.73716972121230662</c:v>
                </c:pt>
                <c:pt idx="20">
                  <c:v>0.74237643375675444</c:v>
                </c:pt>
                <c:pt idx="21">
                  <c:v>0.74747117398841834</c:v>
                </c:pt>
                <c:pt idx="22">
                  <c:v>0.74775110477037798</c:v>
                </c:pt>
                <c:pt idx="23">
                  <c:v>0.74797504939594561</c:v>
                </c:pt>
                <c:pt idx="24">
                  <c:v>0.74349615688459247</c:v>
                </c:pt>
                <c:pt idx="25">
                  <c:v>0.73901726437323956</c:v>
                </c:pt>
                <c:pt idx="26">
                  <c:v>0.73453837186188664</c:v>
                </c:pt>
                <c:pt idx="27">
                  <c:v>0.73005947935053361</c:v>
                </c:pt>
                <c:pt idx="28">
                  <c:v>0.72558058683918081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CD-4E74-A706-4B1A6D5DDB58}"/>
            </c:ext>
          </c:extLst>
        </c:ser>
        <c:ser>
          <c:idx val="2"/>
          <c:order val="2"/>
          <c:spPr>
            <a:ln w="127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strRef>
              <c:f>UU!$P$36:$P$69</c:f>
              <c:strCache>
                <c:ptCount val="31"/>
                <c:pt idx="0">
                  <c:v>0,000</c:v>
                </c:pt>
                <c:pt idx="1">
                  <c:v>0,526</c:v>
                </c:pt>
                <c:pt idx="2">
                  <c:v>1,053</c:v>
                </c:pt>
                <c:pt idx="3">
                  <c:v>1,579</c:v>
                </c:pt>
                <c:pt idx="4">
                  <c:v>2,105</c:v>
                </c:pt>
                <c:pt idx="5">
                  <c:v>2,632</c:v>
                </c:pt>
                <c:pt idx="6">
                  <c:v>3,158</c:v>
                </c:pt>
                <c:pt idx="7">
                  <c:v>3,684</c:v>
                </c:pt>
                <c:pt idx="8">
                  <c:v>4,211</c:v>
                </c:pt>
                <c:pt idx="9">
                  <c:v>4,737</c:v>
                </c:pt>
                <c:pt idx="10">
                  <c:v>5,263</c:v>
                </c:pt>
                <c:pt idx="11">
                  <c:v>5,789</c:v>
                </c:pt>
                <c:pt idx="12">
                  <c:v>6,316</c:v>
                </c:pt>
                <c:pt idx="13">
                  <c:v>6,842</c:v>
                </c:pt>
                <c:pt idx="14">
                  <c:v>7,368</c:v>
                </c:pt>
                <c:pt idx="15">
                  <c:v>7,895</c:v>
                </c:pt>
                <c:pt idx="16">
                  <c:v>8,421</c:v>
                </c:pt>
                <c:pt idx="17">
                  <c:v>8,947</c:v>
                </c:pt>
                <c:pt idx="18">
                  <c:v>9,474</c:v>
                </c:pt>
                <c:pt idx="19">
                  <c:v>10,000</c:v>
                </c:pt>
                <c:pt idx="20">
                  <c:v>10,526</c:v>
                </c:pt>
                <c:pt idx="21">
                  <c:v>11,053</c:v>
                </c:pt>
                <c:pt idx="22">
                  <c:v>11,579</c:v>
                </c:pt>
                <c:pt idx="23">
                  <c:v>12,105</c:v>
                </c:pt>
                <c:pt idx="24">
                  <c:v>12,632</c:v>
                </c:pt>
                <c:pt idx="25">
                  <c:v>13,158</c:v>
                </c:pt>
                <c:pt idx="26">
                  <c:v>13,684</c:v>
                </c:pt>
                <c:pt idx="27">
                  <c:v>14,211</c:v>
                </c:pt>
                <c:pt idx="28">
                  <c:v>14,737</c:v>
                </c:pt>
                <c:pt idx="29">
                  <c:v>15,263</c:v>
                </c:pt>
                <c:pt idx="30">
                  <c:v>15,789</c:v>
                </c:pt>
              </c:strCache>
            </c:strRef>
          </c:xVal>
          <c:yVal>
            <c:numRef>
              <c:f>UU!$R$36:$R$69</c:f>
              <c:numCache>
                <c:formatCode>0.000</c:formatCode>
                <c:ptCount val="34"/>
                <c:pt idx="0">
                  <c:v>0</c:v>
                </c:pt>
                <c:pt idx="1">
                  <c:v>0.34918565741635577</c:v>
                </c:pt>
                <c:pt idx="2">
                  <c:v>0.47364288307557634</c:v>
                </c:pt>
                <c:pt idx="3">
                  <c:v>0.57581761849081592</c:v>
                </c:pt>
                <c:pt idx="4">
                  <c:v>0.65604578060042595</c:v>
                </c:pt>
                <c:pt idx="5">
                  <c:v>0.71466328634275778</c:v>
                </c:pt>
                <c:pt idx="6">
                  <c:v>0.77260895820838693</c:v>
                </c:pt>
                <c:pt idx="7">
                  <c:v>0.81963732957759305</c:v>
                </c:pt>
                <c:pt idx="8">
                  <c:v>0.86610583938288022</c:v>
                </c:pt>
                <c:pt idx="9">
                  <c:v>0.90188099331731197</c:v>
                </c:pt>
                <c:pt idx="10">
                  <c:v>0.94728576615115268</c:v>
                </c:pt>
                <c:pt idx="11">
                  <c:v>1.0021521994152267</c:v>
                </c:pt>
                <c:pt idx="12">
                  <c:v>1.0164846554515561</c:v>
                </c:pt>
                <c:pt idx="13">
                  <c:v>1.0405027165436864</c:v>
                </c:pt>
                <c:pt idx="14">
                  <c:v>1.0838919877474182</c:v>
                </c:pt>
                <c:pt idx="15">
                  <c:v>1.1071262426500619</c:v>
                </c:pt>
                <c:pt idx="16">
                  <c:v>1.1202829894021613</c:v>
                </c:pt>
                <c:pt idx="17">
                  <c:v>1.1429013965844936</c:v>
                </c:pt>
                <c:pt idx="18">
                  <c:v>1.1555542679290658</c:v>
                </c:pt>
                <c:pt idx="19">
                  <c:v>1.1679831946480703</c:v>
                </c:pt>
                <c:pt idx="20">
                  <c:v>1.1801881767415072</c:v>
                </c:pt>
                <c:pt idx="21">
                  <c:v>1.192169214209376</c:v>
                </c:pt>
                <c:pt idx="22">
                  <c:v>1.2039263070516777</c:v>
                </c:pt>
                <c:pt idx="23">
                  <c:v>1.2154594552684117</c:v>
                </c:pt>
                <c:pt idx="24">
                  <c:v>1.2174749568985204</c:v>
                </c:pt>
                <c:pt idx="25">
                  <c:v>1.2147596283135127</c:v>
                </c:pt>
                <c:pt idx="26">
                  <c:v>1.211988313572113</c:v>
                </c:pt>
                <c:pt idx="27">
                  <c:v>1.2045981409283806</c:v>
                </c:pt>
                <c:pt idx="28">
                  <c:v>1.1972079682846484</c:v>
                </c:pt>
                <c:pt idx="29">
                  <c:v>1.1898177956409157</c:v>
                </c:pt>
                <c:pt idx="30">
                  <c:v>1.1824276229971835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BCD-4E74-A706-4B1A6D5DDB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5761504"/>
        <c:axId val="-35757152"/>
      </c:scatterChart>
      <c:valAx>
        <c:axId val="-35761504"/>
        <c:scaling>
          <c:orientation val="minMax"/>
          <c:max val="5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5757152"/>
        <c:crossesAt val="0"/>
        <c:crossBetween val="midCat"/>
      </c:valAx>
      <c:valAx>
        <c:axId val="-357571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5761504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Strain (%)</a:t>
            </a:r>
          </a:p>
        </c:rich>
      </c:tx>
      <c:layout>
        <c:manualLayout>
          <c:xMode val="edge"/>
          <c:yMode val="edge"/>
          <c:x val="0.4172185430463578"/>
          <c:y val="0.88889246114832954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920529801324528"/>
          <c:y val="6.1728643135300722E-2"/>
          <c:w val="0.76490066225165565"/>
          <c:h val="0.73251323187223183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strRef>
              <c:f>UU!$D$36:$D$69</c:f>
              <c:strCache>
                <c:ptCount val="27"/>
                <c:pt idx="0">
                  <c:v>0,000</c:v>
                </c:pt>
                <c:pt idx="1">
                  <c:v>0,526</c:v>
                </c:pt>
                <c:pt idx="2">
                  <c:v>1,053</c:v>
                </c:pt>
                <c:pt idx="3">
                  <c:v>1,579</c:v>
                </c:pt>
                <c:pt idx="4">
                  <c:v>2,105</c:v>
                </c:pt>
                <c:pt idx="5">
                  <c:v>2,632</c:v>
                </c:pt>
                <c:pt idx="6">
                  <c:v>3,158</c:v>
                </c:pt>
                <c:pt idx="7">
                  <c:v>3,684</c:v>
                </c:pt>
                <c:pt idx="8">
                  <c:v>4,211</c:v>
                </c:pt>
                <c:pt idx="9">
                  <c:v>4,737</c:v>
                </c:pt>
                <c:pt idx="10">
                  <c:v>5,263</c:v>
                </c:pt>
                <c:pt idx="11">
                  <c:v>5,789</c:v>
                </c:pt>
                <c:pt idx="12">
                  <c:v>6,316</c:v>
                </c:pt>
                <c:pt idx="13">
                  <c:v>6,842</c:v>
                </c:pt>
                <c:pt idx="14">
                  <c:v>7,368</c:v>
                </c:pt>
                <c:pt idx="15">
                  <c:v>7,895</c:v>
                </c:pt>
                <c:pt idx="16">
                  <c:v>8,421</c:v>
                </c:pt>
                <c:pt idx="17">
                  <c:v>8,947</c:v>
                </c:pt>
                <c:pt idx="18">
                  <c:v>9,474</c:v>
                </c:pt>
                <c:pt idx="19">
                  <c:v>10,000</c:v>
                </c:pt>
                <c:pt idx="20">
                  <c:v>10,526</c:v>
                </c:pt>
                <c:pt idx="21">
                  <c:v>11,053</c:v>
                </c:pt>
                <c:pt idx="22">
                  <c:v>11,579</c:v>
                </c:pt>
                <c:pt idx="23">
                  <c:v>12,105</c:v>
                </c:pt>
                <c:pt idx="24">
                  <c:v>12,632</c:v>
                </c:pt>
                <c:pt idx="25">
                  <c:v>13,158</c:v>
                </c:pt>
                <c:pt idx="26">
                  <c:v>13,684</c:v>
                </c:pt>
              </c:strCache>
            </c:strRef>
          </c:xVal>
          <c:yVal>
            <c:numRef>
              <c:f>UU!$F$36:$F$69</c:f>
              <c:numCache>
                <c:formatCode>0.000</c:formatCode>
                <c:ptCount val="34"/>
                <c:pt idx="0">
                  <c:v>0</c:v>
                </c:pt>
                <c:pt idx="1">
                  <c:v>6.3488301348428325E-2</c:v>
                </c:pt>
                <c:pt idx="2">
                  <c:v>0.11577937141847422</c:v>
                </c:pt>
                <c:pt idx="3">
                  <c:v>0.167510579924601</c:v>
                </c:pt>
                <c:pt idx="4">
                  <c:v>0.21868192686680865</c:v>
                </c:pt>
                <c:pt idx="5">
                  <c:v>0.25893597331259344</c:v>
                </c:pt>
                <c:pt idx="6">
                  <c:v>0.29874213050724291</c:v>
                </c:pt>
                <c:pt idx="7">
                  <c:v>0.31760946521131733</c:v>
                </c:pt>
                <c:pt idx="8">
                  <c:v>0.35663181621648005</c:v>
                </c:pt>
                <c:pt idx="9">
                  <c:v>0.37493928935663534</c:v>
                </c:pt>
                <c:pt idx="10">
                  <c:v>0.3930228178712229</c:v>
                </c:pt>
                <c:pt idx="11">
                  <c:v>0.41088240176024288</c:v>
                </c:pt>
                <c:pt idx="12">
                  <c:v>0.42851804102369523</c:v>
                </c:pt>
                <c:pt idx="13">
                  <c:v>0.44592973566157984</c:v>
                </c:pt>
                <c:pt idx="14">
                  <c:v>0.46311748567389688</c:v>
                </c:pt>
                <c:pt idx="15">
                  <c:v>0.48008129106064629</c:v>
                </c:pt>
                <c:pt idx="16">
                  <c:v>0.49682115182182801</c:v>
                </c:pt>
                <c:pt idx="17">
                  <c:v>0.51333706795744205</c:v>
                </c:pt>
                <c:pt idx="18">
                  <c:v>0.52962903946748852</c:v>
                </c:pt>
                <c:pt idx="19">
                  <c:v>0.53612343360895032</c:v>
                </c:pt>
                <c:pt idx="20">
                  <c:v>0.55202350202425332</c:v>
                </c:pt>
                <c:pt idx="21">
                  <c:v>0.55823796538375547</c:v>
                </c:pt>
                <c:pt idx="22">
                  <c:v>0.55493478215663261</c:v>
                </c:pt>
                <c:pt idx="23">
                  <c:v>0.55163159892950986</c:v>
                </c:pt>
                <c:pt idx="24">
                  <c:v>0.548328415702387</c:v>
                </c:pt>
                <c:pt idx="25">
                  <c:v>0.54502523247526424</c:v>
                </c:pt>
                <c:pt idx="26">
                  <c:v>0.54172204924814138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F-4046-8F2D-67924B5E124B}"/>
            </c:ext>
          </c:extLst>
        </c:ser>
        <c:ser>
          <c:idx val="1"/>
          <c:order val="1"/>
          <c:spPr>
            <a:ln w="127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strRef>
              <c:f>UU!$J$36:$J$69</c:f>
              <c:strCache>
                <c:ptCount val="29"/>
                <c:pt idx="0">
                  <c:v>0,000</c:v>
                </c:pt>
                <c:pt idx="1">
                  <c:v>0,526</c:v>
                </c:pt>
                <c:pt idx="2">
                  <c:v>1,053</c:v>
                </c:pt>
                <c:pt idx="3">
                  <c:v>1,579</c:v>
                </c:pt>
                <c:pt idx="4">
                  <c:v>2,105</c:v>
                </c:pt>
                <c:pt idx="5">
                  <c:v>2,632</c:v>
                </c:pt>
                <c:pt idx="6">
                  <c:v>3,158</c:v>
                </c:pt>
                <c:pt idx="7">
                  <c:v>3,684</c:v>
                </c:pt>
                <c:pt idx="8">
                  <c:v>4,211</c:v>
                </c:pt>
                <c:pt idx="9">
                  <c:v>4,737</c:v>
                </c:pt>
                <c:pt idx="10">
                  <c:v>5,263</c:v>
                </c:pt>
                <c:pt idx="11">
                  <c:v>5,789</c:v>
                </c:pt>
                <c:pt idx="12">
                  <c:v>6,316</c:v>
                </c:pt>
                <c:pt idx="13">
                  <c:v>6,842</c:v>
                </c:pt>
                <c:pt idx="14">
                  <c:v>7,368</c:v>
                </c:pt>
                <c:pt idx="15">
                  <c:v>7,895</c:v>
                </c:pt>
                <c:pt idx="16">
                  <c:v>8,421</c:v>
                </c:pt>
                <c:pt idx="17">
                  <c:v>8,947</c:v>
                </c:pt>
                <c:pt idx="18">
                  <c:v>9,474</c:v>
                </c:pt>
                <c:pt idx="19">
                  <c:v>10,000</c:v>
                </c:pt>
                <c:pt idx="20">
                  <c:v>10,526</c:v>
                </c:pt>
                <c:pt idx="21">
                  <c:v>11,053</c:v>
                </c:pt>
                <c:pt idx="22">
                  <c:v>11,579</c:v>
                </c:pt>
                <c:pt idx="23">
                  <c:v>12,105</c:v>
                </c:pt>
                <c:pt idx="24">
                  <c:v>12,632</c:v>
                </c:pt>
                <c:pt idx="25">
                  <c:v>13,158</c:v>
                </c:pt>
                <c:pt idx="26">
                  <c:v>13,684</c:v>
                </c:pt>
                <c:pt idx="27">
                  <c:v>14,211</c:v>
                </c:pt>
                <c:pt idx="28">
                  <c:v>14,737</c:v>
                </c:pt>
              </c:strCache>
            </c:strRef>
          </c:xVal>
          <c:yVal>
            <c:numRef>
              <c:f>UU!$L$36:$L$69</c:f>
              <c:numCache>
                <c:formatCode>0.000</c:formatCode>
                <c:ptCount val="34"/>
                <c:pt idx="0">
                  <c:v>0</c:v>
                </c:pt>
                <c:pt idx="1">
                  <c:v>0.15872075337107081</c:v>
                </c:pt>
                <c:pt idx="2">
                  <c:v>0.26313493504198687</c:v>
                </c:pt>
                <c:pt idx="3">
                  <c:v>0.34549057109448955</c:v>
                </c:pt>
                <c:pt idx="4">
                  <c:v>0.39571015337803467</c:v>
                </c:pt>
                <c:pt idx="5">
                  <c:v>0.44536987409766071</c:v>
                </c:pt>
                <c:pt idx="6">
                  <c:v>0.48416828047725574</c:v>
                </c:pt>
                <c:pt idx="7">
                  <c:v>0.52251879760571562</c:v>
                </c:pt>
                <c:pt idx="8">
                  <c:v>0.55023194501971207</c:v>
                </c:pt>
                <c:pt idx="9">
                  <c:v>0.58774266980229317</c:v>
                </c:pt>
                <c:pt idx="10">
                  <c:v>0.60465048903265062</c:v>
                </c:pt>
                <c:pt idx="11">
                  <c:v>0.62133436363744055</c:v>
                </c:pt>
                <c:pt idx="12">
                  <c:v>0.63779429361666262</c:v>
                </c:pt>
                <c:pt idx="13">
                  <c:v>0.65403027897031707</c:v>
                </c:pt>
                <c:pt idx="14">
                  <c:v>0.670042319698404</c:v>
                </c:pt>
                <c:pt idx="15">
                  <c:v>0.68583041580092319</c:v>
                </c:pt>
                <c:pt idx="16">
                  <c:v>0.70139456727787486</c:v>
                </c:pt>
                <c:pt idx="17">
                  <c:v>0.71673477412925879</c:v>
                </c:pt>
                <c:pt idx="18">
                  <c:v>0.73185103635507498</c:v>
                </c:pt>
                <c:pt idx="19">
                  <c:v>0.73716972121230662</c:v>
                </c:pt>
                <c:pt idx="20">
                  <c:v>0.74237643375675444</c:v>
                </c:pt>
                <c:pt idx="21">
                  <c:v>0.74747117398841834</c:v>
                </c:pt>
                <c:pt idx="22">
                  <c:v>0.74775110477037798</c:v>
                </c:pt>
                <c:pt idx="23">
                  <c:v>0.74797504939594561</c:v>
                </c:pt>
                <c:pt idx="24">
                  <c:v>0.74349615688459247</c:v>
                </c:pt>
                <c:pt idx="25">
                  <c:v>0.73901726437323956</c:v>
                </c:pt>
                <c:pt idx="26">
                  <c:v>0.73453837186188664</c:v>
                </c:pt>
                <c:pt idx="27">
                  <c:v>0.73005947935053361</c:v>
                </c:pt>
                <c:pt idx="28">
                  <c:v>0.72558058683918081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F-4046-8F2D-67924B5E124B}"/>
            </c:ext>
          </c:extLst>
        </c:ser>
        <c:ser>
          <c:idx val="2"/>
          <c:order val="2"/>
          <c:spPr>
            <a:ln w="127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strRef>
              <c:f>UU!$P$36:$P$69</c:f>
              <c:strCache>
                <c:ptCount val="31"/>
                <c:pt idx="0">
                  <c:v>0,000</c:v>
                </c:pt>
                <c:pt idx="1">
                  <c:v>0,526</c:v>
                </c:pt>
                <c:pt idx="2">
                  <c:v>1,053</c:v>
                </c:pt>
                <c:pt idx="3">
                  <c:v>1,579</c:v>
                </c:pt>
                <c:pt idx="4">
                  <c:v>2,105</c:v>
                </c:pt>
                <c:pt idx="5">
                  <c:v>2,632</c:v>
                </c:pt>
                <c:pt idx="6">
                  <c:v>3,158</c:v>
                </c:pt>
                <c:pt idx="7">
                  <c:v>3,684</c:v>
                </c:pt>
                <c:pt idx="8">
                  <c:v>4,211</c:v>
                </c:pt>
                <c:pt idx="9">
                  <c:v>4,737</c:v>
                </c:pt>
                <c:pt idx="10">
                  <c:v>5,263</c:v>
                </c:pt>
                <c:pt idx="11">
                  <c:v>5,789</c:v>
                </c:pt>
                <c:pt idx="12">
                  <c:v>6,316</c:v>
                </c:pt>
                <c:pt idx="13">
                  <c:v>6,842</c:v>
                </c:pt>
                <c:pt idx="14">
                  <c:v>7,368</c:v>
                </c:pt>
                <c:pt idx="15">
                  <c:v>7,895</c:v>
                </c:pt>
                <c:pt idx="16">
                  <c:v>8,421</c:v>
                </c:pt>
                <c:pt idx="17">
                  <c:v>8,947</c:v>
                </c:pt>
                <c:pt idx="18">
                  <c:v>9,474</c:v>
                </c:pt>
                <c:pt idx="19">
                  <c:v>10,000</c:v>
                </c:pt>
                <c:pt idx="20">
                  <c:v>10,526</c:v>
                </c:pt>
                <c:pt idx="21">
                  <c:v>11,053</c:v>
                </c:pt>
                <c:pt idx="22">
                  <c:v>11,579</c:v>
                </c:pt>
                <c:pt idx="23">
                  <c:v>12,105</c:v>
                </c:pt>
                <c:pt idx="24">
                  <c:v>12,632</c:v>
                </c:pt>
                <c:pt idx="25">
                  <c:v>13,158</c:v>
                </c:pt>
                <c:pt idx="26">
                  <c:v>13,684</c:v>
                </c:pt>
                <c:pt idx="27">
                  <c:v>14,211</c:v>
                </c:pt>
                <c:pt idx="28">
                  <c:v>14,737</c:v>
                </c:pt>
                <c:pt idx="29">
                  <c:v>15,263</c:v>
                </c:pt>
                <c:pt idx="30">
                  <c:v>15,789</c:v>
                </c:pt>
              </c:strCache>
            </c:strRef>
          </c:xVal>
          <c:yVal>
            <c:numRef>
              <c:f>UU!$R$36:$R$69</c:f>
              <c:numCache>
                <c:formatCode>0.000</c:formatCode>
                <c:ptCount val="34"/>
                <c:pt idx="0">
                  <c:v>0</c:v>
                </c:pt>
                <c:pt idx="1">
                  <c:v>0.34918565741635577</c:v>
                </c:pt>
                <c:pt idx="2">
                  <c:v>0.47364288307557634</c:v>
                </c:pt>
                <c:pt idx="3">
                  <c:v>0.57581761849081592</c:v>
                </c:pt>
                <c:pt idx="4">
                  <c:v>0.65604578060042595</c:v>
                </c:pt>
                <c:pt idx="5">
                  <c:v>0.71466328634275778</c:v>
                </c:pt>
                <c:pt idx="6">
                  <c:v>0.77260895820838693</c:v>
                </c:pt>
                <c:pt idx="7">
                  <c:v>0.81963732957759305</c:v>
                </c:pt>
                <c:pt idx="8">
                  <c:v>0.86610583938288022</c:v>
                </c:pt>
                <c:pt idx="9">
                  <c:v>0.90188099331731197</c:v>
                </c:pt>
                <c:pt idx="10">
                  <c:v>0.94728576615115268</c:v>
                </c:pt>
                <c:pt idx="11">
                  <c:v>1.0021521994152267</c:v>
                </c:pt>
                <c:pt idx="12">
                  <c:v>1.0164846554515561</c:v>
                </c:pt>
                <c:pt idx="13">
                  <c:v>1.0405027165436864</c:v>
                </c:pt>
                <c:pt idx="14">
                  <c:v>1.0838919877474182</c:v>
                </c:pt>
                <c:pt idx="15">
                  <c:v>1.1071262426500619</c:v>
                </c:pt>
                <c:pt idx="16">
                  <c:v>1.1202829894021613</c:v>
                </c:pt>
                <c:pt idx="17">
                  <c:v>1.1429013965844936</c:v>
                </c:pt>
                <c:pt idx="18">
                  <c:v>1.1555542679290658</c:v>
                </c:pt>
                <c:pt idx="19">
                  <c:v>1.1679831946480703</c:v>
                </c:pt>
                <c:pt idx="20">
                  <c:v>1.1801881767415072</c:v>
                </c:pt>
                <c:pt idx="21">
                  <c:v>1.192169214209376</c:v>
                </c:pt>
                <c:pt idx="22">
                  <c:v>1.2039263070516777</c:v>
                </c:pt>
                <c:pt idx="23">
                  <c:v>1.2154594552684117</c:v>
                </c:pt>
                <c:pt idx="24">
                  <c:v>1.2174749568985204</c:v>
                </c:pt>
                <c:pt idx="25">
                  <c:v>1.2147596283135127</c:v>
                </c:pt>
                <c:pt idx="26">
                  <c:v>1.211988313572113</c:v>
                </c:pt>
                <c:pt idx="27">
                  <c:v>1.2045981409283806</c:v>
                </c:pt>
                <c:pt idx="28">
                  <c:v>1.1972079682846484</c:v>
                </c:pt>
                <c:pt idx="29">
                  <c:v>1.1898177956409157</c:v>
                </c:pt>
                <c:pt idx="30">
                  <c:v>1.1824276229971835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08F-4046-8F2D-67924B5E1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35752800"/>
        <c:axId val="-35764768"/>
      </c:scatterChart>
      <c:valAx>
        <c:axId val="-35752800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5764768"/>
        <c:crossesAt val="0"/>
        <c:crossBetween val="midCat"/>
      </c:valAx>
      <c:valAx>
        <c:axId val="-357647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en-US"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-3575280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2" r="0.750000000000002" t="1" header="0.5" footer="0.5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82061101329937E-2"/>
          <c:y val="2.1148386586285883E-2"/>
          <c:w val="0.88345984237597919"/>
          <c:h val="0.86007622717373089"/>
        </c:manualLayout>
      </c:layout>
      <c:scatterChart>
        <c:scatterStyle val="smoothMarker"/>
        <c:varyColors val="0"/>
        <c:ser>
          <c:idx val="0"/>
          <c:order val="0"/>
          <c:spPr>
            <a:ln w="38100" cap="flat" cmpd="sng" algn="ctr">
              <a:solidFill>
                <a:schemeClr val="accent1">
                  <a:alpha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UU!$Y$128:$Y$307</c:f>
              <c:numCache>
                <c:formatCode>0.0000</c:formatCode>
                <c:ptCount val="180"/>
                <c:pt idx="0">
                  <c:v>1.0581954542107472</c:v>
                </c:pt>
                <c:pt idx="1">
                  <c:v>1.058067933641041</c:v>
                </c:pt>
                <c:pt idx="2">
                  <c:v>1.0578554425186364</c:v>
                </c:pt>
                <c:pt idx="3">
                  <c:v>1.0575580455703879</c:v>
                </c:pt>
                <c:pt idx="4">
                  <c:v>1.0571758333862868</c:v>
                </c:pt>
                <c:pt idx="5">
                  <c:v>1.0567089223918671</c:v>
                </c:pt>
                <c:pt idx="6">
                  <c:v>1.0561574548127406</c:v>
                </c:pt>
                <c:pt idx="7">
                  <c:v>1.0555215986312743</c:v>
                </c:pt>
                <c:pt idx="8">
                  <c:v>1.0548015475354204</c:v>
                </c:pt>
                <c:pt idx="9">
                  <c:v>1.0539975208597181</c:v>
                </c:pt>
                <c:pt idx="10">
                  <c:v>1.0531097635184818</c:v>
                </c:pt>
                <c:pt idx="11">
                  <c:v>1.0521385459311974</c:v>
                </c:pt>
                <c:pt idx="12">
                  <c:v>1.0510841639401505</c:v>
                </c:pt>
                <c:pt idx="13">
                  <c:v>1.0499469387203093</c:v>
                </c:pt>
                <c:pt idx="14">
                  <c:v>1.0487272166814927</c:v>
                </c:pt>
                <c:pt idx="15">
                  <c:v>1.0474253693628492</c:v>
                </c:pt>
                <c:pt idx="16">
                  <c:v>1.0460417933196835</c:v>
                </c:pt>
                <c:pt idx="17">
                  <c:v>1.0445769100026612</c:v>
                </c:pt>
                <c:pt idx="18">
                  <c:v>1.0430311656294313</c:v>
                </c:pt>
                <c:pt idx="19">
                  <c:v>1.0414050310487037</c:v>
                </c:pt>
                <c:pt idx="20">
                  <c:v>1.039699001596825</c:v>
                </c:pt>
                <c:pt idx="21">
                  <c:v>1.0379135969468922</c:v>
                </c:pt>
                <c:pt idx="22">
                  <c:v>1.0360493609504577</c:v>
                </c:pt>
                <c:pt idx="23">
                  <c:v>1.0341068614718654</c:v>
                </c:pt>
                <c:pt idx="24">
                  <c:v>1.0320866902152734</c:v>
                </c:pt>
                <c:pt idx="25">
                  <c:v>1.0299894625444166</c:v>
                </c:pt>
                <c:pt idx="26">
                  <c:v>1.0278158172951599</c:v>
                </c:pt>
                <c:pt idx="27">
                  <c:v>1.0255664165809026</c:v>
                </c:pt>
                <c:pt idx="28">
                  <c:v>1.0232419455908928</c:v>
                </c:pt>
                <c:pt idx="29">
                  <c:v>1.0208431123815118</c:v>
                </c:pt>
                <c:pt idx="30">
                  <c:v>1.0183706476605932</c:v>
                </c:pt>
                <c:pt idx="31">
                  <c:v>1.015825304564842</c:v>
                </c:pt>
                <c:pt idx="32">
                  <c:v>1.0132078584304227</c:v>
                </c:pt>
                <c:pt idx="33">
                  <c:v>1.0105191065567838</c:v>
                </c:pt>
                <c:pt idx="34">
                  <c:v>1.007759867963792</c:v>
                </c:pt>
                <c:pt idx="35">
                  <c:v>1.0049309831422526</c:v>
                </c:pt>
                <c:pt idx="36">
                  <c:v>1.0020333137978861</c:v>
                </c:pt>
                <c:pt idx="37">
                  <c:v>0.9990677425888449</c:v>
                </c:pt>
                <c:pt idx="38">
                  <c:v>0.99603517285684773</c:v>
                </c:pt>
                <c:pt idx="39">
                  <c:v>0.99293652835201196</c:v>
                </c:pt>
                <c:pt idx="40">
                  <c:v>0.98977275295147105</c:v>
                </c:pt>
                <c:pt idx="41">
                  <c:v>0.98654481037186004</c:v>
                </c:pt>
                <c:pt idx="42">
                  <c:v>0.98325368387575873</c:v>
                </c:pt>
                <c:pt idx="43">
                  <c:v>0.9799003759721796</c:v>
                </c:pt>
                <c:pt idx="44">
                  <c:v>0.97648590811119418</c:v>
                </c:pt>
                <c:pt idx="45">
                  <c:v>0.9730113203727897</c:v>
                </c:pt>
                <c:pt idx="46">
                  <c:v>0.96947767115005035</c:v>
                </c:pt>
                <c:pt idx="47">
                  <c:v>0.96588603682676055</c:v>
                </c:pt>
                <c:pt idx="48">
                  <c:v>0.96223751144952829</c:v>
                </c:pt>
                <c:pt idx="49">
                  <c:v>0.95853320639452744</c:v>
                </c:pt>
                <c:pt idx="50">
                  <c:v>0.95477425002896221</c:v>
                </c:pt>
                <c:pt idx="51">
                  <c:v>0.95096178736735515</c:v>
                </c:pt>
                <c:pt idx="52">
                  <c:v>0.94709697972276541</c:v>
                </c:pt>
                <c:pt idx="53">
                  <c:v>0.94318100435304064</c:v>
                </c:pt>
                <c:pt idx="54">
                  <c:v>0.9392150541022134</c:v>
                </c:pt>
                <c:pt idx="55">
                  <c:v>0.93520033703714911</c:v>
                </c:pt>
                <c:pt idx="56">
                  <c:v>0.93113807607955723</c:v>
                </c:pt>
                <c:pt idx="57">
                  <c:v>0.92702950863347744</c:v>
                </c:pt>
                <c:pt idx="58">
                  <c:v>0.92287588620835437</c:v>
                </c:pt>
                <c:pt idx="59">
                  <c:v>0.91867847403781577</c:v>
                </c:pt>
                <c:pt idx="60">
                  <c:v>0.91443855069427005</c:v>
                </c:pt>
                <c:pt idx="61">
                  <c:v>0.91015740769944076</c:v>
                </c:pt>
                <c:pt idx="62">
                  <c:v>0.90583634913095645</c:v>
                </c:pt>
                <c:pt idx="63">
                  <c:v>0.90147669122511609</c:v>
                </c:pt>
                <c:pt idx="64">
                  <c:v>0.89707976197595074</c:v>
                </c:pt>
                <c:pt idx="65">
                  <c:v>0.89264690073070363</c:v>
                </c:pt>
                <c:pt idx="66">
                  <c:v>0.88817945778185237</c:v>
                </c:pt>
                <c:pt idx="67">
                  <c:v>0.88367879395579618</c:v>
                </c:pt>
                <c:pt idx="68">
                  <c:v>0.87914628019833541</c:v>
                </c:pt>
                <c:pt idx="69">
                  <c:v>0.87458329715706795</c:v>
                </c:pt>
                <c:pt idx="70">
                  <c:v>0.86999123476083073</c:v>
                </c:pt>
                <c:pt idx="71">
                  <c:v>0.86537149179631401</c:v>
                </c:pt>
                <c:pt idx="72">
                  <c:v>0.86072547548197742</c:v>
                </c:pt>
                <c:pt idx="73">
                  <c:v>0.85605460103939701</c:v>
                </c:pt>
                <c:pt idx="74">
                  <c:v>0.85136029126217583</c:v>
                </c:pt>
                <c:pt idx="75">
                  <c:v>0.84664397608254693</c:v>
                </c:pt>
                <c:pt idx="76">
                  <c:v>0.84190709213580195</c:v>
                </c:pt>
                <c:pt idx="77">
                  <c:v>0.83715108232267832</c:v>
                </c:pt>
                <c:pt idx="78">
                  <c:v>0.83237739536983746</c:v>
                </c:pt>
                <c:pt idx="79">
                  <c:v>0.82758748538856919</c:v>
                </c:pt>
                <c:pt idx="80">
                  <c:v>0.8227828114318545</c:v>
                </c:pt>
                <c:pt idx="81">
                  <c:v>0.81796483704992462</c:v>
                </c:pt>
                <c:pt idx="82">
                  <c:v>0.81313502984444896</c:v>
                </c:pt>
                <c:pt idx="83">
                  <c:v>0.80829486102148984</c:v>
                </c:pt>
                <c:pt idx="84">
                  <c:v>0.80344580494335849</c:v>
                </c:pt>
                <c:pt idx="85">
                  <c:v>0.7985893386795101</c:v>
                </c:pt>
                <c:pt idx="86">
                  <c:v>0.79372694155661427</c:v>
                </c:pt>
                <c:pt idx="87">
                  <c:v>0.78886009470793783</c:v>
                </c:pt>
                <c:pt idx="88">
                  <c:v>0.7839902806221769</c:v>
                </c:pt>
                <c:pt idx="89">
                  <c:v>0.77911898269187718</c:v>
                </c:pt>
                <c:pt idx="90">
                  <c:v>0.77424768476157746</c:v>
                </c:pt>
                <c:pt idx="91">
                  <c:v>0.76937787067581664</c:v>
                </c:pt>
                <c:pt idx="92">
                  <c:v>0.76451102382714009</c:v>
                </c:pt>
                <c:pt idx="93">
                  <c:v>0.75964862670424427</c:v>
                </c:pt>
                <c:pt idx="94">
                  <c:v>0.75479216044039588</c:v>
                </c:pt>
                <c:pt idx="95">
                  <c:v>0.74994310436226452</c:v>
                </c:pt>
                <c:pt idx="96">
                  <c:v>0.7451029355393054</c:v>
                </c:pt>
                <c:pt idx="97">
                  <c:v>0.74027312833382986</c:v>
                </c:pt>
                <c:pt idx="98">
                  <c:v>0.73545515395189998</c:v>
                </c:pt>
                <c:pt idx="99">
                  <c:v>0.73065047999518529</c:v>
                </c:pt>
                <c:pt idx="100">
                  <c:v>0.72586057001391691</c:v>
                </c:pt>
                <c:pt idx="101">
                  <c:v>0.72108688306107604</c:v>
                </c:pt>
                <c:pt idx="102">
                  <c:v>0.71633087324795242</c:v>
                </c:pt>
                <c:pt idx="103">
                  <c:v>0.71159398930120743</c:v>
                </c:pt>
                <c:pt idx="104">
                  <c:v>0.70687767412157854</c:v>
                </c:pt>
                <c:pt idx="105">
                  <c:v>0.70218336434435746</c:v>
                </c:pt>
                <c:pt idx="106">
                  <c:v>0.69751248990177706</c:v>
                </c:pt>
                <c:pt idx="107">
                  <c:v>0.69286647358744036</c:v>
                </c:pt>
                <c:pt idx="108">
                  <c:v>0.68824673062292363</c:v>
                </c:pt>
                <c:pt idx="109">
                  <c:v>0.68365466822668652</c:v>
                </c:pt>
                <c:pt idx="110">
                  <c:v>0.67909168518541896</c:v>
                </c:pt>
                <c:pt idx="111">
                  <c:v>0.67455917142795818</c:v>
                </c:pt>
                <c:pt idx="112">
                  <c:v>0.67005850760190189</c:v>
                </c:pt>
                <c:pt idx="113">
                  <c:v>0.66559106465305062</c:v>
                </c:pt>
                <c:pt idx="114">
                  <c:v>0.66115820340780374</c:v>
                </c:pt>
                <c:pt idx="115">
                  <c:v>0.65676127415863828</c:v>
                </c:pt>
                <c:pt idx="116">
                  <c:v>0.65240161625279791</c:v>
                </c:pt>
                <c:pt idx="117">
                  <c:v>0.64808055768431361</c:v>
                </c:pt>
                <c:pt idx="118">
                  <c:v>0.64379941468948432</c:v>
                </c:pt>
                <c:pt idx="119">
                  <c:v>0.63955949134593859</c:v>
                </c:pt>
                <c:pt idx="120">
                  <c:v>0.6353620791754</c:v>
                </c:pt>
                <c:pt idx="121">
                  <c:v>0.63120845675027704</c:v>
                </c:pt>
                <c:pt idx="122">
                  <c:v>0.62709988930419713</c:v>
                </c:pt>
                <c:pt idx="123">
                  <c:v>0.62303762834660525</c:v>
                </c:pt>
                <c:pt idx="124">
                  <c:v>0.61902291128154097</c:v>
                </c:pt>
                <c:pt idx="125">
                  <c:v>0.61505696103071372</c:v>
                </c:pt>
                <c:pt idx="126">
                  <c:v>0.61114098566098896</c:v>
                </c:pt>
                <c:pt idx="127">
                  <c:v>0.60727617801639922</c:v>
                </c:pt>
                <c:pt idx="128">
                  <c:v>0.60346371535479226</c:v>
                </c:pt>
                <c:pt idx="129">
                  <c:v>0.59970475898922693</c:v>
                </c:pt>
                <c:pt idx="130">
                  <c:v>0.59600045393422607</c:v>
                </c:pt>
                <c:pt idx="131">
                  <c:v>0.59235192855699381</c:v>
                </c:pt>
                <c:pt idx="132">
                  <c:v>0.58876029423370402</c:v>
                </c:pt>
                <c:pt idx="133">
                  <c:v>0.58522664501096466</c:v>
                </c:pt>
                <c:pt idx="134">
                  <c:v>0.5817520572725603</c:v>
                </c:pt>
                <c:pt idx="135">
                  <c:v>0.57833758941157476</c:v>
                </c:pt>
                <c:pt idx="136">
                  <c:v>0.57498428150799563</c:v>
                </c:pt>
                <c:pt idx="137">
                  <c:v>0.57169315501189433</c:v>
                </c:pt>
                <c:pt idx="138">
                  <c:v>0.56846521243228332</c:v>
                </c:pt>
                <c:pt idx="139">
                  <c:v>0.56530143703174252</c:v>
                </c:pt>
                <c:pt idx="140">
                  <c:v>0.56220279252690664</c:v>
                </c:pt>
                <c:pt idx="141">
                  <c:v>0.55917022279490947</c:v>
                </c:pt>
                <c:pt idx="142">
                  <c:v>0.55620465158586829</c:v>
                </c:pt>
                <c:pt idx="143">
                  <c:v>0.55330698224150177</c:v>
                </c:pt>
                <c:pt idx="144">
                  <c:v>0.55047809741996223</c:v>
                </c:pt>
                <c:pt idx="145">
                  <c:v>0.54771885882697058</c:v>
                </c:pt>
                <c:pt idx="146">
                  <c:v>0.54503010695333165</c:v>
                </c:pt>
                <c:pt idx="147">
                  <c:v>0.54241266081891237</c:v>
                </c:pt>
                <c:pt idx="148">
                  <c:v>0.53986731772316121</c:v>
                </c:pt>
                <c:pt idx="149">
                  <c:v>0.53739485300224255</c:v>
                </c:pt>
                <c:pt idx="150">
                  <c:v>0.53499601979286149</c:v>
                </c:pt>
                <c:pt idx="151">
                  <c:v>0.53267154880285172</c:v>
                </c:pt>
                <c:pt idx="152">
                  <c:v>0.53042214808859445</c:v>
                </c:pt>
                <c:pt idx="153">
                  <c:v>0.52824850283933777</c:v>
                </c:pt>
                <c:pt idx="154">
                  <c:v>0.52615127516848093</c:v>
                </c:pt>
                <c:pt idx="155">
                  <c:v>0.52413110391188911</c:v>
                </c:pt>
                <c:pt idx="156">
                  <c:v>0.52218860443329651</c:v>
                </c:pt>
                <c:pt idx="157">
                  <c:v>0.52032436843686214</c:v>
                </c:pt>
                <c:pt idx="158">
                  <c:v>0.51853896378692943</c:v>
                </c:pt>
                <c:pt idx="159">
                  <c:v>0.51683293433505051</c:v>
                </c:pt>
                <c:pt idx="160">
                  <c:v>0.51520679975432304</c:v>
                </c:pt>
                <c:pt idx="161">
                  <c:v>0.51366105538109319</c:v>
                </c:pt>
                <c:pt idx="162">
                  <c:v>0.51219617206407086</c:v>
                </c:pt>
                <c:pt idx="163">
                  <c:v>0.51081259602090512</c:v>
                </c:pt>
                <c:pt idx="164">
                  <c:v>0.50951074870226165</c:v>
                </c:pt>
                <c:pt idx="165">
                  <c:v>0.50829102666344494</c:v>
                </c:pt>
                <c:pt idx="166">
                  <c:v>0.50715380144360389</c:v>
                </c:pt>
                <c:pt idx="167">
                  <c:v>0.50609941945255688</c:v>
                </c:pt>
                <c:pt idx="168">
                  <c:v>0.50512820186527252</c:v>
                </c:pt>
                <c:pt idx="169">
                  <c:v>0.50424044452403627</c:v>
                </c:pt>
                <c:pt idx="170">
                  <c:v>0.50343641784833404</c:v>
                </c:pt>
                <c:pt idx="171">
                  <c:v>0.5027163667524801</c:v>
                </c:pt>
                <c:pt idx="172">
                  <c:v>0.50208051057101377</c:v>
                </c:pt>
                <c:pt idx="173">
                  <c:v>0.50152904299188727</c:v>
                </c:pt>
                <c:pt idx="174">
                  <c:v>0.50106213199746752</c:v>
                </c:pt>
                <c:pt idx="175">
                  <c:v>0.50067991981336646</c:v>
                </c:pt>
                <c:pt idx="176">
                  <c:v>0.50038252286511797</c:v>
                </c:pt>
                <c:pt idx="177">
                  <c:v>0.50017003174271335</c:v>
                </c:pt>
                <c:pt idx="178">
                  <c:v>0.50004251117300713</c:v>
                </c:pt>
                <c:pt idx="179">
                  <c:v>0.5</c:v>
                </c:pt>
              </c:numCache>
            </c:numRef>
          </c:xVal>
          <c:yVal>
            <c:numRef>
              <c:f>UU!$Z$128:$Z$307</c:f>
              <c:numCache>
                <c:formatCode>0.000</c:formatCode>
                <c:ptCount val="180"/>
                <c:pt idx="0">
                  <c:v>4.8712979302997427E-3</c:v>
                </c:pt>
                <c:pt idx="1">
                  <c:v>9.7411120160605935E-3</c:v>
                </c:pt>
                <c:pt idx="2">
                  <c:v>1.4607958864737081E-2</c:v>
                </c:pt>
                <c:pt idx="3">
                  <c:v>1.9470355987632894E-2</c:v>
                </c:pt>
                <c:pt idx="4">
                  <c:v>2.4326822251481299E-2</c:v>
                </c:pt>
                <c:pt idx="5">
                  <c:v>2.917587832961269E-2</c:v>
                </c:pt>
                <c:pt idx="6">
                  <c:v>3.4016047152571796E-2</c:v>
                </c:pt>
                <c:pt idx="7">
                  <c:v>3.8845854358047383E-2</c:v>
                </c:pt>
                <c:pt idx="8">
                  <c:v>4.3663828739977269E-2</c:v>
                </c:pt>
                <c:pt idx="9">
                  <c:v>4.8468502696691944E-2</c:v>
                </c:pt>
                <c:pt idx="10">
                  <c:v>5.3258412677960283E-2</c:v>
                </c:pt>
                <c:pt idx="11">
                  <c:v>5.8032099630801089E-2</c:v>
                </c:pt>
                <c:pt idx="12">
                  <c:v>6.2788109443924781E-2</c:v>
                </c:pt>
                <c:pt idx="13">
                  <c:v>6.752499339066978E-2</c:v>
                </c:pt>
                <c:pt idx="14">
                  <c:v>7.224130857029866E-2</c:v>
                </c:pt>
                <c:pt idx="15">
                  <c:v>7.6935618347519788E-2</c:v>
                </c:pt>
                <c:pt idx="16">
                  <c:v>8.1606492790100196E-2</c:v>
                </c:pt>
                <c:pt idx="17">
                  <c:v>8.6252509104436853E-2</c:v>
                </c:pt>
                <c:pt idx="18">
                  <c:v>9.0872252068953524E-2</c:v>
                </c:pt>
                <c:pt idx="19">
                  <c:v>9.5464314465190672E-2</c:v>
                </c:pt>
                <c:pt idx="20">
                  <c:v>0.10002729750645818</c:v>
                </c:pt>
                <c:pt idx="21">
                  <c:v>0.10455981126391901</c:v>
                </c:pt>
                <c:pt idx="22">
                  <c:v>0.10906047508997524</c:v>
                </c:pt>
                <c:pt idx="23">
                  <c:v>0.1135279180388265</c:v>
                </c:pt>
                <c:pt idx="24">
                  <c:v>0.1179607792840735</c:v>
                </c:pt>
                <c:pt idx="25">
                  <c:v>0.12235770853323885</c:v>
                </c:pt>
                <c:pt idx="26">
                  <c:v>0.12671736643907922</c:v>
                </c:pt>
                <c:pt idx="27">
                  <c:v>0.13103842500756357</c:v>
                </c:pt>
                <c:pt idx="28">
                  <c:v>0.13531956800239289</c:v>
                </c:pt>
                <c:pt idx="29">
                  <c:v>0.13955949134593856</c:v>
                </c:pt>
                <c:pt idx="30">
                  <c:v>0.14375690351647716</c:v>
                </c:pt>
                <c:pt idx="31">
                  <c:v>0.1479105259416002</c:v>
                </c:pt>
                <c:pt idx="32">
                  <c:v>0.15201909338768005</c:v>
                </c:pt>
                <c:pt idx="33">
                  <c:v>0.15608135434527196</c:v>
                </c:pt>
                <c:pt idx="34">
                  <c:v>0.16009607141033622</c:v>
                </c:pt>
                <c:pt idx="35">
                  <c:v>0.16406202166116346</c:v>
                </c:pt>
                <c:pt idx="36">
                  <c:v>0.16797799703088823</c:v>
                </c:pt>
                <c:pt idx="37">
                  <c:v>0.17184280467547799</c:v>
                </c:pt>
                <c:pt idx="38">
                  <c:v>0.17565526733708495</c:v>
                </c:pt>
                <c:pt idx="39">
                  <c:v>0.17941422370265026</c:v>
                </c:pt>
                <c:pt idx="40">
                  <c:v>0.18311852875765114</c:v>
                </c:pt>
                <c:pt idx="41">
                  <c:v>0.18676705413488343</c:v>
                </c:pt>
                <c:pt idx="42">
                  <c:v>0.19035868845817314</c:v>
                </c:pt>
                <c:pt idx="43">
                  <c:v>0.19389233768091246</c:v>
                </c:pt>
                <c:pt idx="44">
                  <c:v>0.19736692541931691</c:v>
                </c:pt>
                <c:pt idx="45">
                  <c:v>0.20078139328030234</c:v>
                </c:pt>
                <c:pt idx="46">
                  <c:v>0.20413470118388155</c:v>
                </c:pt>
                <c:pt idx="47">
                  <c:v>0.20742582767998288</c:v>
                </c:pt>
                <c:pt idx="48">
                  <c:v>0.21065377025959381</c:v>
                </c:pt>
                <c:pt idx="49">
                  <c:v>0.21381754566013472</c:v>
                </c:pt>
                <c:pt idx="50">
                  <c:v>0.21691619016497052</c:v>
                </c:pt>
                <c:pt idx="51">
                  <c:v>0.21994875989696774</c:v>
                </c:pt>
                <c:pt idx="52">
                  <c:v>0.22291433110600883</c:v>
                </c:pt>
                <c:pt idx="53">
                  <c:v>0.22581200045037544</c:v>
                </c:pt>
                <c:pt idx="54">
                  <c:v>0.22864088527191492</c:v>
                </c:pt>
                <c:pt idx="55">
                  <c:v>0.23140012386490658</c:v>
                </c:pt>
                <c:pt idx="56">
                  <c:v>0.23408887573854562</c:v>
                </c:pt>
                <c:pt idx="57">
                  <c:v>0.23670632187296486</c:v>
                </c:pt>
                <c:pt idx="58">
                  <c:v>0.23925166496871597</c:v>
                </c:pt>
                <c:pt idx="59">
                  <c:v>0.24172412968963466</c:v>
                </c:pt>
                <c:pt idx="60">
                  <c:v>0.24412296289901569</c:v>
                </c:pt>
                <c:pt idx="61">
                  <c:v>0.24644743388902543</c:v>
                </c:pt>
                <c:pt idx="62">
                  <c:v>0.24869683460328268</c:v>
                </c:pt>
                <c:pt idx="63">
                  <c:v>0.25087047985253946</c:v>
                </c:pt>
                <c:pt idx="64">
                  <c:v>0.2529677075233962</c:v>
                </c:pt>
                <c:pt idx="65">
                  <c:v>0.25498787877998813</c:v>
                </c:pt>
                <c:pt idx="66">
                  <c:v>0.25693037825858067</c:v>
                </c:pt>
                <c:pt idx="67">
                  <c:v>0.2587946142550151</c:v>
                </c:pt>
                <c:pt idx="68">
                  <c:v>0.26058001890494775</c:v>
                </c:pt>
                <c:pt idx="69">
                  <c:v>0.26228604835682667</c:v>
                </c:pt>
                <c:pt idx="70">
                  <c:v>0.26391218293755403</c:v>
                </c:pt>
                <c:pt idx="71">
                  <c:v>0.26545792731078399</c:v>
                </c:pt>
                <c:pt idx="72">
                  <c:v>0.26692281062780632</c:v>
                </c:pt>
                <c:pt idx="73">
                  <c:v>0.26830638667097212</c:v>
                </c:pt>
                <c:pt idx="74">
                  <c:v>0.26960823398961564</c:v>
                </c:pt>
                <c:pt idx="75">
                  <c:v>0.27082795602843224</c:v>
                </c:pt>
                <c:pt idx="76">
                  <c:v>0.27196518124827335</c:v>
                </c:pt>
                <c:pt idx="77">
                  <c:v>0.27301956323932025</c:v>
                </c:pt>
                <c:pt idx="78">
                  <c:v>0.27399078082660466</c:v>
                </c:pt>
                <c:pt idx="79">
                  <c:v>0.27487853816784097</c:v>
                </c:pt>
                <c:pt idx="80">
                  <c:v>0.27568256484354314</c:v>
                </c:pt>
                <c:pt idx="81">
                  <c:v>0.27640261593939702</c:v>
                </c:pt>
                <c:pt idx="82">
                  <c:v>0.27703847212086347</c:v>
                </c:pt>
                <c:pt idx="83">
                  <c:v>0.27758993969998996</c:v>
                </c:pt>
                <c:pt idx="84">
                  <c:v>0.27805685069440972</c:v>
                </c:pt>
                <c:pt idx="85">
                  <c:v>0.27843906287851078</c:v>
                </c:pt>
                <c:pt idx="86">
                  <c:v>0.27873645982675926</c:v>
                </c:pt>
                <c:pt idx="87">
                  <c:v>0.27894895094916383</c:v>
                </c:pt>
                <c:pt idx="88">
                  <c:v>0.27907647151887005</c:v>
                </c:pt>
                <c:pt idx="89">
                  <c:v>0.27911898269187718</c:v>
                </c:pt>
                <c:pt idx="90">
                  <c:v>0.27907647151887005</c:v>
                </c:pt>
                <c:pt idx="91">
                  <c:v>0.27894895094916383</c:v>
                </c:pt>
                <c:pt idx="92">
                  <c:v>0.27873645982675926</c:v>
                </c:pt>
                <c:pt idx="93">
                  <c:v>0.27843906287851078</c:v>
                </c:pt>
                <c:pt idx="94">
                  <c:v>0.27805685069440972</c:v>
                </c:pt>
                <c:pt idx="95">
                  <c:v>0.27758993969998996</c:v>
                </c:pt>
                <c:pt idx="96">
                  <c:v>0.27703847212086347</c:v>
                </c:pt>
                <c:pt idx="97">
                  <c:v>0.27640261593939702</c:v>
                </c:pt>
                <c:pt idx="98">
                  <c:v>0.27568256484354314</c:v>
                </c:pt>
                <c:pt idx="99">
                  <c:v>0.27487853816784097</c:v>
                </c:pt>
                <c:pt idx="100">
                  <c:v>0.27399078082660466</c:v>
                </c:pt>
                <c:pt idx="101">
                  <c:v>0.27301956323932031</c:v>
                </c:pt>
                <c:pt idx="102">
                  <c:v>0.27196518124827335</c:v>
                </c:pt>
                <c:pt idx="103">
                  <c:v>0.27082795602843224</c:v>
                </c:pt>
                <c:pt idx="104">
                  <c:v>0.26960823398961564</c:v>
                </c:pt>
                <c:pt idx="105">
                  <c:v>0.26830638667097212</c:v>
                </c:pt>
                <c:pt idx="106">
                  <c:v>0.26692281062780637</c:v>
                </c:pt>
                <c:pt idx="107">
                  <c:v>0.26545792731078399</c:v>
                </c:pt>
                <c:pt idx="108">
                  <c:v>0.26391218293755409</c:v>
                </c:pt>
                <c:pt idx="109">
                  <c:v>0.26228604835682667</c:v>
                </c:pt>
                <c:pt idx="110">
                  <c:v>0.26058001890494775</c:v>
                </c:pt>
                <c:pt idx="111">
                  <c:v>0.2587946142550151</c:v>
                </c:pt>
                <c:pt idx="112">
                  <c:v>0.25693037825858062</c:v>
                </c:pt>
                <c:pt idx="113">
                  <c:v>0.25498787877998813</c:v>
                </c:pt>
                <c:pt idx="114">
                  <c:v>0.25296770752339626</c:v>
                </c:pt>
                <c:pt idx="115">
                  <c:v>0.25087047985253941</c:v>
                </c:pt>
                <c:pt idx="116">
                  <c:v>0.24869683460328271</c:v>
                </c:pt>
                <c:pt idx="117">
                  <c:v>0.24644743388902543</c:v>
                </c:pt>
                <c:pt idx="118">
                  <c:v>0.24412296289901572</c:v>
                </c:pt>
                <c:pt idx="119">
                  <c:v>0.24172412968963469</c:v>
                </c:pt>
                <c:pt idx="120">
                  <c:v>0.23925166496871597</c:v>
                </c:pt>
                <c:pt idx="121">
                  <c:v>0.23670632187296489</c:v>
                </c:pt>
                <c:pt idx="122">
                  <c:v>0.23408887573854559</c:v>
                </c:pt>
                <c:pt idx="123">
                  <c:v>0.23140012386490658</c:v>
                </c:pt>
                <c:pt idx="124">
                  <c:v>0.2286408852719149</c:v>
                </c:pt>
                <c:pt idx="125">
                  <c:v>0.22581200045037544</c:v>
                </c:pt>
                <c:pt idx="126">
                  <c:v>0.22291433110600881</c:v>
                </c:pt>
                <c:pt idx="127">
                  <c:v>0.21994875989696774</c:v>
                </c:pt>
                <c:pt idx="128">
                  <c:v>0.21691619016497055</c:v>
                </c:pt>
                <c:pt idx="129">
                  <c:v>0.21381754566013472</c:v>
                </c:pt>
                <c:pt idx="130">
                  <c:v>0.21065377025959384</c:v>
                </c:pt>
                <c:pt idx="131">
                  <c:v>0.20742582767998288</c:v>
                </c:pt>
                <c:pt idx="132">
                  <c:v>0.20413470118388158</c:v>
                </c:pt>
                <c:pt idx="133">
                  <c:v>0.20078139328030234</c:v>
                </c:pt>
                <c:pt idx="134">
                  <c:v>0.19736692541931697</c:v>
                </c:pt>
                <c:pt idx="135">
                  <c:v>0.19389233768091244</c:v>
                </c:pt>
                <c:pt idx="136">
                  <c:v>0.19035868845817316</c:v>
                </c:pt>
                <c:pt idx="137">
                  <c:v>0.18676705413488348</c:v>
                </c:pt>
                <c:pt idx="138">
                  <c:v>0.18311852875765114</c:v>
                </c:pt>
                <c:pt idx="139">
                  <c:v>0.17941422370265031</c:v>
                </c:pt>
                <c:pt idx="140">
                  <c:v>0.17565526733708495</c:v>
                </c:pt>
                <c:pt idx="141">
                  <c:v>0.17184280467547802</c:v>
                </c:pt>
                <c:pt idx="142">
                  <c:v>0.1679779970308882</c:v>
                </c:pt>
                <c:pt idx="143">
                  <c:v>0.16406202166116352</c:v>
                </c:pt>
                <c:pt idx="144">
                  <c:v>0.16009607141033619</c:v>
                </c:pt>
                <c:pt idx="145">
                  <c:v>0.15608135434527196</c:v>
                </c:pt>
                <c:pt idx="146">
                  <c:v>0.1520190933876801</c:v>
                </c:pt>
                <c:pt idx="147">
                  <c:v>0.1479105259416002</c:v>
                </c:pt>
                <c:pt idx="148">
                  <c:v>0.14375690351647721</c:v>
                </c:pt>
                <c:pt idx="149">
                  <c:v>0.13955949134593856</c:v>
                </c:pt>
                <c:pt idx="150">
                  <c:v>0.13531956800239292</c:v>
                </c:pt>
                <c:pt idx="151">
                  <c:v>0.13103842500756355</c:v>
                </c:pt>
                <c:pt idx="152">
                  <c:v>0.12671736643907924</c:v>
                </c:pt>
                <c:pt idx="153">
                  <c:v>0.12235770853323881</c:v>
                </c:pt>
                <c:pt idx="154">
                  <c:v>0.11796077928407353</c:v>
                </c:pt>
                <c:pt idx="155">
                  <c:v>0.11352791803882657</c:v>
                </c:pt>
                <c:pt idx="156">
                  <c:v>0.10906047508997524</c:v>
                </c:pt>
                <c:pt idx="157">
                  <c:v>0.10455981126391908</c:v>
                </c:pt>
                <c:pt idx="158">
                  <c:v>0.10002729750645817</c:v>
                </c:pt>
                <c:pt idx="159">
                  <c:v>9.5464314465190728E-2</c:v>
                </c:pt>
                <c:pt idx="160">
                  <c:v>9.0872252068953482E-2</c:v>
                </c:pt>
                <c:pt idx="161">
                  <c:v>8.6252509104436881E-2</c:v>
                </c:pt>
                <c:pt idx="162">
                  <c:v>8.1606492790100141E-2</c:v>
                </c:pt>
                <c:pt idx="163">
                  <c:v>7.6935618347519802E-2</c:v>
                </c:pt>
                <c:pt idx="164">
                  <c:v>7.2241308570298743E-2</c:v>
                </c:pt>
                <c:pt idx="165">
                  <c:v>6.752499339066978E-2</c:v>
                </c:pt>
                <c:pt idx="166">
                  <c:v>6.2788109443924836E-2</c:v>
                </c:pt>
                <c:pt idx="167">
                  <c:v>5.8032099630801082E-2</c:v>
                </c:pt>
                <c:pt idx="168">
                  <c:v>5.3258412677960332E-2</c:v>
                </c:pt>
                <c:pt idx="169">
                  <c:v>4.8468502696691923E-2</c:v>
                </c:pt>
                <c:pt idx="170">
                  <c:v>4.3663828739977296E-2</c:v>
                </c:pt>
                <c:pt idx="171">
                  <c:v>3.8845854358047348E-2</c:v>
                </c:pt>
                <c:pt idx="172">
                  <c:v>3.4016047152571817E-2</c:v>
                </c:pt>
                <c:pt idx="173">
                  <c:v>2.9175878329612763E-2</c:v>
                </c:pt>
                <c:pt idx="174">
                  <c:v>2.4326822251481306E-2</c:v>
                </c:pt>
                <c:pt idx="175">
                  <c:v>1.9470355987632956E-2</c:v>
                </c:pt>
                <c:pt idx="176">
                  <c:v>1.4607958864737074E-2</c:v>
                </c:pt>
                <c:pt idx="177">
                  <c:v>9.7411120160606421E-3</c:v>
                </c:pt>
                <c:pt idx="178">
                  <c:v>4.8712979302997219E-3</c:v>
                </c:pt>
                <c:pt idx="179">
                  <c:v>3.4196219038061918E-17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A5-7B47-8544-3E52C66CD994}"/>
            </c:ext>
          </c:extLst>
        </c:ser>
        <c:ser>
          <c:idx val="1"/>
          <c:order val="1"/>
          <c:spPr>
            <a:ln w="38100" cap="flat" cmpd="sng" algn="ctr">
              <a:solidFill>
                <a:schemeClr val="accent2">
                  <a:alpha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UU!$AA$128:$AA$307</c:f>
              <c:numCache>
                <c:formatCode>0.0000</c:formatCode>
                <c:ptCount val="180"/>
                <c:pt idx="0">
                  <c:v>1.7479180892844828</c:v>
                </c:pt>
                <c:pt idx="1">
                  <c:v>1.7477472263007023</c:v>
                </c:pt>
                <c:pt idx="2">
                  <c:v>1.7474625124911221</c:v>
                </c:pt>
                <c:pt idx="3">
                  <c:v>1.7470640345823267</c:v>
                </c:pt>
                <c:pt idx="4">
                  <c:v>1.7465519139545471</c:v>
                </c:pt>
                <c:pt idx="5">
                  <c:v>1.7459263066046877</c:v>
                </c:pt>
                <c:pt idx="6">
                  <c:v>1.7451874030988077</c:v>
                </c:pt>
                <c:pt idx="7">
                  <c:v>1.7443354285140726</c:v>
                </c:pt>
                <c:pt idx="8">
                  <c:v>1.7433706423701947</c:v>
                </c:pt>
                <c:pt idx="9">
                  <c:v>1.7422933385503792</c:v>
                </c:pt>
                <c:pt idx="10">
                  <c:v>1.7411038452118055</c:v>
                </c:pt>
                <c:pt idx="11">
                  <c:v>1.7398025246856679</c:v>
                </c:pt>
                <c:pt idx="12">
                  <c:v>1.7383897733668043</c:v>
                </c:pt>
                <c:pt idx="13">
                  <c:v>1.7368660215929526</c:v>
                </c:pt>
                <c:pt idx="14">
                  <c:v>1.7352317335136636</c:v>
                </c:pt>
                <c:pt idx="15">
                  <c:v>1.7334874069489181</c:v>
                </c:pt>
                <c:pt idx="16">
                  <c:v>1.7316335732374855</c:v>
                </c:pt>
                <c:pt idx="17">
                  <c:v>1.7296707970750727</c:v>
                </c:pt>
                <c:pt idx="18">
                  <c:v>1.7275996763423125</c:v>
                </c:pt>
                <c:pt idx="19">
                  <c:v>1.7254208419226436</c:v>
                </c:pt>
                <c:pt idx="20">
                  <c:v>1.7231349575101371</c:v>
                </c:pt>
                <c:pt idx="21">
                  <c:v>1.7207427194073288</c:v>
                </c:pt>
                <c:pt idx="22">
                  <c:v>1.7182448563131194</c:v>
                </c:pt>
                <c:pt idx="23">
                  <c:v>1.7156421291008039</c:v>
                </c:pt>
                <c:pt idx="24">
                  <c:v>1.7129353305863051</c:v>
                </c:pt>
                <c:pt idx="25">
                  <c:v>1.7101252852866715</c:v>
                </c:pt>
                <c:pt idx="26">
                  <c:v>1.7072128491689231</c:v>
                </c:pt>
                <c:pt idx="27">
                  <c:v>1.7041989093893144</c:v>
                </c:pt>
                <c:pt idx="28">
                  <c:v>1.7010843840230994</c:v>
                </c:pt>
                <c:pt idx="29">
                  <c:v>1.6978702217848756</c:v>
                </c:pt>
                <c:pt idx="30">
                  <c:v>1.6945574017395968</c:v>
                </c:pt>
                <c:pt idx="31">
                  <c:v>1.6911469330043412</c:v>
                </c:pt>
                <c:pt idx="32">
                  <c:v>1.6876398544409232</c:v>
                </c:pt>
                <c:pt idx="33">
                  <c:v>1.684037234339447</c:v>
                </c:pt>
                <c:pt idx="34">
                  <c:v>1.6803401700928953</c:v>
                </c:pt>
                <c:pt idx="35">
                  <c:v>1.6765497878628515</c:v>
                </c:pt>
                <c:pt idx="36">
                  <c:v>1.672667242236461</c:v>
                </c:pt>
                <c:pt idx="37">
                  <c:v>1.668693715874733</c:v>
                </c:pt>
                <c:pt idx="38">
                  <c:v>1.6646304191522898</c:v>
                </c:pt>
                <c:pt idx="39">
                  <c:v>1.6604785897886747</c:v>
                </c:pt>
                <c:pt idx="40">
                  <c:v>1.6562394924713317</c:v>
                </c:pt>
                <c:pt idx="41">
                  <c:v>1.6519144184703687</c:v>
                </c:pt>
                <c:pt idx="42">
                  <c:v>1.6475046852452244</c:v>
                </c:pt>
                <c:pt idx="43">
                  <c:v>1.6430116360433571</c:v>
                </c:pt>
                <c:pt idx="44">
                  <c:v>1.6384366394910792</c:v>
                </c:pt>
                <c:pt idx="45">
                  <c:v>1.6337810891766589</c:v>
                </c:pt>
                <c:pt idx="46">
                  <c:v>1.6290464032258218</c:v>
                </c:pt>
                <c:pt idx="47">
                  <c:v>1.6242340238697741</c:v>
                </c:pt>
                <c:pt idx="48">
                  <c:v>1.6193454170058865</c:v>
                </c:pt>
                <c:pt idx="49">
                  <c:v>1.6143820717511668</c:v>
                </c:pt>
                <c:pt idx="50">
                  <c:v>1.6093454999886603</c:v>
                </c:pt>
                <c:pt idx="51">
                  <c:v>1.6042372359069161</c:v>
                </c:pt>
                <c:pt idx="52">
                  <c:v>1.5990588355326589</c:v>
                </c:pt>
                <c:pt idx="53">
                  <c:v>1.5938118762568068</c:v>
                </c:pt>
                <c:pt idx="54">
                  <c:v>1.5884979563539834</c:v>
                </c:pt>
                <c:pt idx="55">
                  <c:v>1.5831186944956683</c:v>
                </c:pt>
                <c:pt idx="56">
                  <c:v>1.5776757292571337</c:v>
                </c:pt>
                <c:pt idx="57">
                  <c:v>1.5721707186183185</c:v>
                </c:pt>
                <c:pt idx="58">
                  <c:v>1.5666053394587915</c:v>
                </c:pt>
                <c:pt idx="59">
                  <c:v>1.5609812870469577</c:v>
                </c:pt>
                <c:pt idx="60">
                  <c:v>1.5553002745236633</c:v>
                </c:pt>
                <c:pt idx="61">
                  <c:v>1.5495640323803557</c:v>
                </c:pt>
                <c:pt idx="62">
                  <c:v>1.5437743079319601</c:v>
                </c:pt>
                <c:pt idx="63">
                  <c:v>1.5379328647846302</c:v>
                </c:pt>
                <c:pt idx="64">
                  <c:v>1.5320414822985355</c:v>
                </c:pt>
                <c:pt idx="65">
                  <c:v>1.5261019550458528</c:v>
                </c:pt>
                <c:pt idx="66">
                  <c:v>1.5201160922641204</c:v>
                </c:pt>
                <c:pt idx="67">
                  <c:v>1.5140857173051283</c:v>
                </c:pt>
                <c:pt idx="68">
                  <c:v>1.5080126670795064</c:v>
                </c:pt>
                <c:pt idx="69">
                  <c:v>1.5018987914971842</c:v>
                </c:pt>
                <c:pt idx="70">
                  <c:v>1.4957459529038908</c:v>
                </c:pt>
                <c:pt idx="71">
                  <c:v>1.4895560255138656</c:v>
                </c:pt>
                <c:pt idx="72">
                  <c:v>1.4833308948389545</c:v>
                </c:pt>
                <c:pt idx="73">
                  <c:v>1.4770724571142655</c:v>
                </c:pt>
                <c:pt idx="74">
                  <c:v>1.4707826187205564</c:v>
                </c:pt>
                <c:pt idx="75">
                  <c:v>1.4644632956035326</c:v>
                </c:pt>
                <c:pt idx="76">
                  <c:v>1.4581164126902328</c:v>
                </c:pt>
                <c:pt idx="77">
                  <c:v>1.4517439033026758</c:v>
                </c:pt>
                <c:pt idx="78">
                  <c:v>1.4453477085689526</c:v>
                </c:pt>
                <c:pt idx="79">
                  <c:v>1.4389297768319407</c:v>
                </c:pt>
                <c:pt idx="80">
                  <c:v>1.4324920630558191</c:v>
                </c:pt>
                <c:pt idx="81">
                  <c:v>1.4260365282305676</c:v>
                </c:pt>
                <c:pt idx="82">
                  <c:v>1.41956513877463</c:v>
                </c:pt>
                <c:pt idx="83">
                  <c:v>1.4130798659359245</c:v>
                </c:pt>
                <c:pt idx="84">
                  <c:v>1.4065826851913816</c:v>
                </c:pt>
                <c:pt idx="85">
                  <c:v>1.4000755756451964</c:v>
                </c:pt>
                <c:pt idx="86">
                  <c:v>1.3935605194259717</c:v>
                </c:pt>
                <c:pt idx="87">
                  <c:v>1.3870395010829453</c:v>
                </c:pt>
                <c:pt idx="88">
                  <c:v>1.3805145069814744</c:v>
                </c:pt>
                <c:pt idx="89">
                  <c:v>1.3739875246979718</c:v>
                </c:pt>
                <c:pt idx="90">
                  <c:v>1.3674605424144692</c:v>
                </c:pt>
                <c:pt idx="91">
                  <c:v>1.3609355483129983</c:v>
                </c:pt>
                <c:pt idx="92">
                  <c:v>1.3544145299699719</c:v>
                </c:pt>
                <c:pt idx="93">
                  <c:v>1.3478994737507473</c:v>
                </c:pt>
                <c:pt idx="94">
                  <c:v>1.341392364204562</c:v>
                </c:pt>
                <c:pt idx="95">
                  <c:v>1.3348951834600191</c:v>
                </c:pt>
                <c:pt idx="96">
                  <c:v>1.3284099106213136</c:v>
                </c:pt>
                <c:pt idx="97">
                  <c:v>1.321938521165376</c:v>
                </c:pt>
                <c:pt idx="98">
                  <c:v>1.3154829863401245</c:v>
                </c:pt>
                <c:pt idx="99">
                  <c:v>1.3090452725640029</c:v>
                </c:pt>
                <c:pt idx="100">
                  <c:v>1.3026273408269911</c:v>
                </c:pt>
                <c:pt idx="101">
                  <c:v>1.2962311460932681</c:v>
                </c:pt>
                <c:pt idx="102">
                  <c:v>1.2898586367057108</c:v>
                </c:pt>
                <c:pt idx="103">
                  <c:v>1.283511753792411</c:v>
                </c:pt>
                <c:pt idx="104">
                  <c:v>1.2771924306753872</c:v>
                </c:pt>
                <c:pt idx="105">
                  <c:v>1.2709025922816783</c:v>
                </c:pt>
                <c:pt idx="106">
                  <c:v>1.2646441545569893</c:v>
                </c:pt>
                <c:pt idx="107">
                  <c:v>1.2584190238820783</c:v>
                </c:pt>
                <c:pt idx="108">
                  <c:v>1.2522290964920528</c:v>
                </c:pt>
                <c:pt idx="109">
                  <c:v>1.2460762578987594</c:v>
                </c:pt>
                <c:pt idx="110">
                  <c:v>1.2399623823164374</c:v>
                </c:pt>
                <c:pt idx="111">
                  <c:v>1.2338893320908153</c:v>
                </c:pt>
                <c:pt idx="112">
                  <c:v>1.227858957131823</c:v>
                </c:pt>
                <c:pt idx="113">
                  <c:v>1.2218730943500908</c:v>
                </c:pt>
                <c:pt idx="114">
                  <c:v>1.2159335670974081</c:v>
                </c:pt>
                <c:pt idx="115">
                  <c:v>1.2100421846113134</c:v>
                </c:pt>
                <c:pt idx="116">
                  <c:v>1.2042007414639835</c:v>
                </c:pt>
                <c:pt idx="117">
                  <c:v>1.1984110170155879</c:v>
                </c:pt>
                <c:pt idx="118">
                  <c:v>1.1926747748722806</c:v>
                </c:pt>
                <c:pt idx="119">
                  <c:v>1.1869937623489859</c:v>
                </c:pt>
                <c:pt idx="120">
                  <c:v>1.1813697099371521</c:v>
                </c:pt>
                <c:pt idx="121">
                  <c:v>1.1758043307776251</c:v>
                </c:pt>
                <c:pt idx="122">
                  <c:v>1.1702993201388099</c:v>
                </c:pt>
                <c:pt idx="123">
                  <c:v>1.1648563549002753</c:v>
                </c:pt>
                <c:pt idx="124">
                  <c:v>1.1594770930419602</c:v>
                </c:pt>
                <c:pt idx="125">
                  <c:v>1.1541631731391369</c:v>
                </c:pt>
                <c:pt idx="126">
                  <c:v>1.1489162138632847</c:v>
                </c:pt>
                <c:pt idx="127">
                  <c:v>1.1437378134890275</c:v>
                </c:pt>
                <c:pt idx="128">
                  <c:v>1.1386295494072836</c:v>
                </c:pt>
                <c:pt idx="129">
                  <c:v>1.1335929776447768</c:v>
                </c:pt>
                <c:pt idx="130">
                  <c:v>1.1286296323900571</c:v>
                </c:pt>
                <c:pt idx="131">
                  <c:v>1.1237410255261695</c:v>
                </c:pt>
                <c:pt idx="132">
                  <c:v>1.118928646170122</c:v>
                </c:pt>
                <c:pt idx="133">
                  <c:v>1.1141939602192847</c:v>
                </c:pt>
                <c:pt idx="134">
                  <c:v>1.1095384099048644</c:v>
                </c:pt>
                <c:pt idx="135">
                  <c:v>1.1049634133525865</c:v>
                </c:pt>
                <c:pt idx="136">
                  <c:v>1.1004703641507192</c:v>
                </c:pt>
                <c:pt idx="137">
                  <c:v>1.0960606309255749</c:v>
                </c:pt>
                <c:pt idx="138">
                  <c:v>1.0917355569246119</c:v>
                </c:pt>
                <c:pt idx="139">
                  <c:v>1.0874964596072689</c:v>
                </c:pt>
                <c:pt idx="140">
                  <c:v>1.0833446302436538</c:v>
                </c:pt>
                <c:pt idx="141">
                  <c:v>1.0792813335212106</c:v>
                </c:pt>
                <c:pt idx="142">
                  <c:v>1.0753078071594826</c:v>
                </c:pt>
                <c:pt idx="143">
                  <c:v>1.0714252615330921</c:v>
                </c:pt>
                <c:pt idx="144">
                  <c:v>1.0676348793030483</c:v>
                </c:pt>
                <c:pt idx="145">
                  <c:v>1.0639378150564966</c:v>
                </c:pt>
                <c:pt idx="146">
                  <c:v>1.0603351949550206</c:v>
                </c:pt>
                <c:pt idx="147">
                  <c:v>1.0568281163916025</c:v>
                </c:pt>
                <c:pt idx="148">
                  <c:v>1.0534176476563468</c:v>
                </c:pt>
                <c:pt idx="149">
                  <c:v>1.050104827611068</c:v>
                </c:pt>
                <c:pt idx="150">
                  <c:v>1.0468906653728443</c:v>
                </c:pt>
                <c:pt idx="151">
                  <c:v>1.0437761400066292</c:v>
                </c:pt>
                <c:pt idx="152">
                  <c:v>1.0407622002270207</c:v>
                </c:pt>
                <c:pt idx="153">
                  <c:v>1.0378497641092721</c:v>
                </c:pt>
                <c:pt idx="154">
                  <c:v>1.0350397188096385</c:v>
                </c:pt>
                <c:pt idx="155">
                  <c:v>1.0323329202951397</c:v>
                </c:pt>
                <c:pt idx="156">
                  <c:v>1.0297301930828242</c:v>
                </c:pt>
                <c:pt idx="157">
                  <c:v>1.0272323299886148</c:v>
                </c:pt>
                <c:pt idx="158">
                  <c:v>1.0248400918858065</c:v>
                </c:pt>
                <c:pt idx="159">
                  <c:v>1.0225542074733001</c:v>
                </c:pt>
                <c:pt idx="160">
                  <c:v>1.0203753730536311</c:v>
                </c:pt>
                <c:pt idx="161">
                  <c:v>1.018304252320871</c:v>
                </c:pt>
                <c:pt idx="162">
                  <c:v>1.0163414761584582</c:v>
                </c:pt>
                <c:pt idx="163">
                  <c:v>1.0144876424470255</c:v>
                </c:pt>
                <c:pt idx="164">
                  <c:v>1.0127433158822801</c:v>
                </c:pt>
                <c:pt idx="165">
                  <c:v>1.0111090278029911</c:v>
                </c:pt>
                <c:pt idx="166">
                  <c:v>1.0095852760291393</c:v>
                </c:pt>
                <c:pt idx="167">
                  <c:v>1.0081725247102757</c:v>
                </c:pt>
                <c:pt idx="168">
                  <c:v>1.0068712041841381</c:v>
                </c:pt>
                <c:pt idx="169">
                  <c:v>1.0056817108455645</c:v>
                </c:pt>
                <c:pt idx="170">
                  <c:v>1.0046044070257489</c:v>
                </c:pt>
                <c:pt idx="171">
                  <c:v>1.003639620881871</c:v>
                </c:pt>
                <c:pt idx="172">
                  <c:v>1.0027876462971359</c:v>
                </c:pt>
                <c:pt idx="173">
                  <c:v>1.0020487427912559</c:v>
                </c:pt>
                <c:pt idx="174">
                  <c:v>1.0014231354413965</c:v>
                </c:pt>
                <c:pt idx="175">
                  <c:v>1.0009110148136169</c:v>
                </c:pt>
                <c:pt idx="176">
                  <c:v>1.0005125369048216</c:v>
                </c:pt>
                <c:pt idx="177">
                  <c:v>1.0002278230952413</c:v>
                </c:pt>
                <c:pt idx="178">
                  <c:v>1.0000569601114608</c:v>
                </c:pt>
                <c:pt idx="179">
                  <c:v>1</c:v>
                </c:pt>
              </c:numCache>
            </c:numRef>
          </c:xVal>
          <c:yVal>
            <c:numRef>
              <c:f>UU!$AB$128:$AB$307</c:f>
              <c:numCache>
                <c:formatCode>0.000</c:formatCode>
                <c:ptCount val="180"/>
                <c:pt idx="0">
                  <c:v>6.5269822835026092E-3</c:v>
                </c:pt>
                <c:pt idx="1">
                  <c:v>1.3051976384973367E-2</c:v>
                </c:pt>
                <c:pt idx="2">
                  <c:v>1.9572994727999928E-2</c:v>
                </c:pt>
                <c:pt idx="3">
                  <c:v>2.6088050947224484E-2</c:v>
                </c:pt>
                <c:pt idx="4">
                  <c:v>3.2595160493409887E-2</c:v>
                </c:pt>
                <c:pt idx="5">
                  <c:v>3.9092341237952591E-2</c:v>
                </c:pt>
                <c:pt idx="6">
                  <c:v>4.5577614076658196E-2</c:v>
                </c:pt>
                <c:pt idx="7">
                  <c:v>5.2049003532595797E-2</c:v>
                </c:pt>
                <c:pt idx="8">
                  <c:v>5.8504538357847351E-2</c:v>
                </c:pt>
                <c:pt idx="9">
                  <c:v>6.4942252133968897E-2</c:v>
                </c:pt>
                <c:pt idx="10">
                  <c:v>7.136018387098074E-2</c:v>
                </c:pt>
                <c:pt idx="11">
                  <c:v>7.7756378604703844E-2</c:v>
                </c:pt>
                <c:pt idx="12">
                  <c:v>8.4128887992261009E-2</c:v>
                </c:pt>
                <c:pt idx="13">
                  <c:v>9.0475770905560887E-2</c:v>
                </c:pt>
                <c:pt idx="14">
                  <c:v>9.679509402258446E-2</c:v>
                </c:pt>
                <c:pt idx="15">
                  <c:v>0.10308493241629361</c:v>
                </c:pt>
                <c:pt idx="16">
                  <c:v>0.10934337014098264</c:v>
                </c:pt>
                <c:pt idx="17">
                  <c:v>0.11556850081589365</c:v>
                </c:pt>
                <c:pt idx="18">
                  <c:v>0.12175842820591899</c:v>
                </c:pt>
                <c:pt idx="19">
                  <c:v>0.12791126679921239</c:v>
                </c:pt>
                <c:pt idx="20">
                  <c:v>0.13402514238153451</c:v>
                </c:pt>
                <c:pt idx="21">
                  <c:v>0.14009819260715647</c:v>
                </c:pt>
                <c:pt idx="22">
                  <c:v>0.14612856756614867</c:v>
                </c:pt>
                <c:pt idx="23">
                  <c:v>0.15211443034788097</c:v>
                </c:pt>
                <c:pt idx="24">
                  <c:v>0.15805395760056373</c:v>
                </c:pt>
                <c:pt idx="25">
                  <c:v>0.16394534008665831</c:v>
                </c:pt>
                <c:pt idx="26">
                  <c:v>0.1697867832339883</c:v>
                </c:pt>
                <c:pt idx="27">
                  <c:v>0.17557650768238375</c:v>
                </c:pt>
                <c:pt idx="28">
                  <c:v>0.18131274982569132</c:v>
                </c:pt>
                <c:pt idx="29">
                  <c:v>0.18699376234898588</c:v>
                </c:pt>
                <c:pt idx="30">
                  <c:v>0.19261781476081974</c:v>
                </c:pt>
                <c:pt idx="31">
                  <c:v>0.19818319392034678</c:v>
                </c:pt>
                <c:pt idx="32">
                  <c:v>0.20368820455916198</c:v>
                </c:pt>
                <c:pt idx="33">
                  <c:v>0.20913116979769653</c:v>
                </c:pt>
                <c:pt idx="34">
                  <c:v>0.2145104316560115</c:v>
                </c:pt>
                <c:pt idx="35">
                  <c:v>0.2198243515588349</c:v>
                </c:pt>
                <c:pt idx="36">
                  <c:v>0.22507131083468712</c:v>
                </c:pt>
                <c:pt idx="37">
                  <c:v>0.23024971120894439</c:v>
                </c:pt>
                <c:pt idx="38">
                  <c:v>0.23535797529068833</c:v>
                </c:pt>
                <c:pt idx="39">
                  <c:v>0.24039454705319485</c:v>
                </c:pt>
                <c:pt idx="40">
                  <c:v>0.24535789230791474</c:v>
                </c:pt>
                <c:pt idx="41">
                  <c:v>0.25024649917180236</c:v>
                </c:pt>
                <c:pt idx="42">
                  <c:v>0.25505887852784992</c:v>
                </c:pt>
                <c:pt idx="43">
                  <c:v>0.25979356447868707</c:v>
                </c:pt>
                <c:pt idx="44">
                  <c:v>0.26444911479310729</c:v>
                </c:pt>
                <c:pt idx="45">
                  <c:v>0.2690241113453854</c:v>
                </c:pt>
                <c:pt idx="46">
                  <c:v>0.27351716054725261</c:v>
                </c:pt>
                <c:pt idx="47">
                  <c:v>0.27792689377239693</c:v>
                </c:pt>
                <c:pt idx="48">
                  <c:v>0.28225196777335987</c:v>
                </c:pt>
                <c:pt idx="49">
                  <c:v>0.28649106509070282</c:v>
                </c:pt>
                <c:pt idx="50">
                  <c:v>0.29064289445431796</c:v>
                </c:pt>
                <c:pt idx="51">
                  <c:v>0.29470619117676133</c:v>
                </c:pt>
                <c:pt idx="52">
                  <c:v>0.29867971753848926</c:v>
                </c:pt>
                <c:pt idx="53">
                  <c:v>0.30256226316487955</c:v>
                </c:pt>
                <c:pt idx="54">
                  <c:v>0.30635264539492341</c:v>
                </c:pt>
                <c:pt idx="55">
                  <c:v>0.31004970964147527</c:v>
                </c:pt>
                <c:pt idx="56">
                  <c:v>0.31365232974295132</c:v>
                </c:pt>
                <c:pt idx="57">
                  <c:v>0.31715940830636929</c:v>
                </c:pt>
                <c:pt idx="58">
                  <c:v>0.32056987704162504</c:v>
                </c:pt>
                <c:pt idx="59">
                  <c:v>0.32388269708690376</c:v>
                </c:pt>
                <c:pt idx="60">
                  <c:v>0.32709685932512761</c:v>
                </c:pt>
                <c:pt idx="61">
                  <c:v>0.33021138469134265</c:v>
                </c:pt>
                <c:pt idx="62">
                  <c:v>0.33322532447095121</c:v>
                </c:pt>
                <c:pt idx="63">
                  <c:v>0.33613776058869976</c:v>
                </c:pt>
                <c:pt idx="64">
                  <c:v>0.33894780588833329</c:v>
                </c:pt>
                <c:pt idx="65">
                  <c:v>0.34165460440283213</c:v>
                </c:pt>
                <c:pt idx="66">
                  <c:v>0.34425733161514749</c:v>
                </c:pt>
                <c:pt idx="67">
                  <c:v>0.34675519470935712</c:v>
                </c:pt>
                <c:pt idx="68">
                  <c:v>0.34914743281216531</c:v>
                </c:pt>
                <c:pt idx="69">
                  <c:v>0.35143331722467175</c:v>
                </c:pt>
                <c:pt idx="70">
                  <c:v>0.35361215164434057</c:v>
                </c:pt>
                <c:pt idx="71">
                  <c:v>0.35568327237710073</c:v>
                </c:pt>
                <c:pt idx="72">
                  <c:v>0.35764604853951359</c:v>
                </c:pt>
                <c:pt idx="73">
                  <c:v>0.35949988225094631</c:v>
                </c:pt>
                <c:pt idx="74">
                  <c:v>0.36124420881569175</c:v>
                </c:pt>
                <c:pt idx="75">
                  <c:v>0.3628784968949807</c:v>
                </c:pt>
                <c:pt idx="76">
                  <c:v>0.36440224866883253</c:v>
                </c:pt>
                <c:pt idx="77">
                  <c:v>0.36581499998769595</c:v>
                </c:pt>
                <c:pt idx="78">
                  <c:v>0.36711632051383375</c:v>
                </c:pt>
                <c:pt idx="79">
                  <c:v>0.36830581385240729</c:v>
                </c:pt>
                <c:pt idx="80">
                  <c:v>0.36938311767222287</c:v>
                </c:pt>
                <c:pt idx="81">
                  <c:v>0.37034790381610089</c:v>
                </c:pt>
                <c:pt idx="82">
                  <c:v>0.37119987840083579</c:v>
                </c:pt>
                <c:pt idx="83">
                  <c:v>0.37193878190671587</c:v>
                </c:pt>
                <c:pt idx="84">
                  <c:v>0.37256438925657526</c:v>
                </c:pt>
                <c:pt idx="85">
                  <c:v>0.37307650988435481</c:v>
                </c:pt>
                <c:pt idx="86">
                  <c:v>0.3734749877931503</c:v>
                </c:pt>
                <c:pt idx="87">
                  <c:v>0.37375970160273053</c:v>
                </c:pt>
                <c:pt idx="88">
                  <c:v>0.37393056458651108</c:v>
                </c:pt>
                <c:pt idx="89">
                  <c:v>0.37398752469797181</c:v>
                </c:pt>
                <c:pt idx="90">
                  <c:v>0.37393056458651108</c:v>
                </c:pt>
                <c:pt idx="91">
                  <c:v>0.37375970160273053</c:v>
                </c:pt>
                <c:pt idx="92">
                  <c:v>0.3734749877931503</c:v>
                </c:pt>
                <c:pt idx="93">
                  <c:v>0.37307650988435481</c:v>
                </c:pt>
                <c:pt idx="94">
                  <c:v>0.37256438925657526</c:v>
                </c:pt>
                <c:pt idx="95">
                  <c:v>0.37193878190671587</c:v>
                </c:pt>
                <c:pt idx="96">
                  <c:v>0.37119987840083579</c:v>
                </c:pt>
                <c:pt idx="97">
                  <c:v>0.37034790381610089</c:v>
                </c:pt>
                <c:pt idx="98">
                  <c:v>0.36938311767222287</c:v>
                </c:pt>
                <c:pt idx="99">
                  <c:v>0.36830581385240729</c:v>
                </c:pt>
                <c:pt idx="100">
                  <c:v>0.36711632051383375</c:v>
                </c:pt>
                <c:pt idx="101">
                  <c:v>0.36581499998769601</c:v>
                </c:pt>
                <c:pt idx="102">
                  <c:v>0.36440224866883253</c:v>
                </c:pt>
                <c:pt idx="103">
                  <c:v>0.3628784968949807</c:v>
                </c:pt>
                <c:pt idx="104">
                  <c:v>0.36124420881569175</c:v>
                </c:pt>
                <c:pt idx="105">
                  <c:v>0.35949988225094631</c:v>
                </c:pt>
                <c:pt idx="106">
                  <c:v>0.35764604853951365</c:v>
                </c:pt>
                <c:pt idx="107">
                  <c:v>0.35568327237710079</c:v>
                </c:pt>
                <c:pt idx="108">
                  <c:v>0.35361215164434062</c:v>
                </c:pt>
                <c:pt idx="109">
                  <c:v>0.3514333172246718</c:v>
                </c:pt>
                <c:pt idx="110">
                  <c:v>0.34914743281216531</c:v>
                </c:pt>
                <c:pt idx="111">
                  <c:v>0.34675519470935712</c:v>
                </c:pt>
                <c:pt idx="112">
                  <c:v>0.34425733161514743</c:v>
                </c:pt>
                <c:pt idx="113">
                  <c:v>0.34165460440283213</c:v>
                </c:pt>
                <c:pt idx="114">
                  <c:v>0.33894780588833334</c:v>
                </c:pt>
                <c:pt idx="115">
                  <c:v>0.33613776058869971</c:v>
                </c:pt>
                <c:pt idx="116">
                  <c:v>0.33322532447095127</c:v>
                </c:pt>
                <c:pt idx="117">
                  <c:v>0.33021138469134265</c:v>
                </c:pt>
                <c:pt idx="118">
                  <c:v>0.32709685932512766</c:v>
                </c:pt>
                <c:pt idx="119">
                  <c:v>0.32388269708690376</c:v>
                </c:pt>
                <c:pt idx="120">
                  <c:v>0.32056987704162504</c:v>
                </c:pt>
                <c:pt idx="121">
                  <c:v>0.31715940830636935</c:v>
                </c:pt>
                <c:pt idx="122">
                  <c:v>0.31365232974295126</c:v>
                </c:pt>
                <c:pt idx="123">
                  <c:v>0.31004970964147527</c:v>
                </c:pt>
                <c:pt idx="124">
                  <c:v>0.30635264539492335</c:v>
                </c:pt>
                <c:pt idx="125">
                  <c:v>0.30256226316487955</c:v>
                </c:pt>
                <c:pt idx="126">
                  <c:v>0.29867971753848921</c:v>
                </c:pt>
                <c:pt idx="127">
                  <c:v>0.29470619117676133</c:v>
                </c:pt>
                <c:pt idx="128">
                  <c:v>0.29064289445431801</c:v>
                </c:pt>
                <c:pt idx="129">
                  <c:v>0.28649106509070282</c:v>
                </c:pt>
                <c:pt idx="130">
                  <c:v>0.28225196777335992</c:v>
                </c:pt>
                <c:pt idx="131">
                  <c:v>0.27792689377239693</c:v>
                </c:pt>
                <c:pt idx="132">
                  <c:v>0.27351716054725267</c:v>
                </c:pt>
                <c:pt idx="133">
                  <c:v>0.2690241113453854</c:v>
                </c:pt>
                <c:pt idx="134">
                  <c:v>0.26444911479310729</c:v>
                </c:pt>
                <c:pt idx="135">
                  <c:v>0.25979356447868707</c:v>
                </c:pt>
                <c:pt idx="136">
                  <c:v>0.25505887852784997</c:v>
                </c:pt>
                <c:pt idx="137">
                  <c:v>0.25024649917180236</c:v>
                </c:pt>
                <c:pt idx="138">
                  <c:v>0.24535789230791474</c:v>
                </c:pt>
                <c:pt idx="139">
                  <c:v>0.24039454705319493</c:v>
                </c:pt>
                <c:pt idx="140">
                  <c:v>0.23535797529068833</c:v>
                </c:pt>
                <c:pt idx="141">
                  <c:v>0.23024971120894444</c:v>
                </c:pt>
                <c:pt idx="142">
                  <c:v>0.22507131083468709</c:v>
                </c:pt>
                <c:pt idx="143">
                  <c:v>0.21982435155883492</c:v>
                </c:pt>
                <c:pt idx="144">
                  <c:v>0.21451043165601144</c:v>
                </c:pt>
                <c:pt idx="145">
                  <c:v>0.20913116979769653</c:v>
                </c:pt>
                <c:pt idx="146">
                  <c:v>0.20368820455916206</c:v>
                </c:pt>
                <c:pt idx="147">
                  <c:v>0.19818319392034678</c:v>
                </c:pt>
                <c:pt idx="148">
                  <c:v>0.19261781476081982</c:v>
                </c:pt>
                <c:pt idx="149">
                  <c:v>0.18699376234898588</c:v>
                </c:pt>
                <c:pt idx="150">
                  <c:v>0.18131274982569134</c:v>
                </c:pt>
                <c:pt idx="151">
                  <c:v>0.17557650768238373</c:v>
                </c:pt>
                <c:pt idx="152">
                  <c:v>0.16978678323398835</c:v>
                </c:pt>
                <c:pt idx="153">
                  <c:v>0.16394534008665826</c:v>
                </c:pt>
                <c:pt idx="154">
                  <c:v>0.15805395760056376</c:v>
                </c:pt>
                <c:pt idx="155">
                  <c:v>0.15211443034788105</c:v>
                </c:pt>
                <c:pt idx="156">
                  <c:v>0.14612856756614867</c:v>
                </c:pt>
                <c:pt idx="157">
                  <c:v>0.14009819260715656</c:v>
                </c:pt>
                <c:pt idx="158">
                  <c:v>0.13402514238153448</c:v>
                </c:pt>
                <c:pt idx="159">
                  <c:v>0.12791126679921244</c:v>
                </c:pt>
                <c:pt idx="160">
                  <c:v>0.12175842820591895</c:v>
                </c:pt>
                <c:pt idx="161">
                  <c:v>0.11556850081589369</c:v>
                </c:pt>
                <c:pt idx="162">
                  <c:v>0.10934337014098258</c:v>
                </c:pt>
                <c:pt idx="163">
                  <c:v>0.10308493241629364</c:v>
                </c:pt>
                <c:pt idx="164">
                  <c:v>9.6795094022584557E-2</c:v>
                </c:pt>
                <c:pt idx="165">
                  <c:v>9.0475770905560887E-2</c:v>
                </c:pt>
                <c:pt idx="166">
                  <c:v>8.4128887992261078E-2</c:v>
                </c:pt>
                <c:pt idx="167">
                  <c:v>7.7756378604703844E-2</c:v>
                </c:pt>
                <c:pt idx="168">
                  <c:v>7.1360183870980795E-2</c:v>
                </c:pt>
                <c:pt idx="169">
                  <c:v>6.4942252133968884E-2</c:v>
                </c:pt>
                <c:pt idx="170">
                  <c:v>5.8504538357847392E-2</c:v>
                </c:pt>
                <c:pt idx="171">
                  <c:v>5.2049003532595756E-2</c:v>
                </c:pt>
                <c:pt idx="172">
                  <c:v>4.5577614076658224E-2</c:v>
                </c:pt>
                <c:pt idx="173">
                  <c:v>3.9092341237952688E-2</c:v>
                </c:pt>
                <c:pt idx="174">
                  <c:v>3.2595160493409894E-2</c:v>
                </c:pt>
                <c:pt idx="175">
                  <c:v>2.6088050947224568E-2</c:v>
                </c:pt>
                <c:pt idx="176">
                  <c:v>1.9572994727999917E-2</c:v>
                </c:pt>
                <c:pt idx="177">
                  <c:v>1.3051976384973431E-2</c:v>
                </c:pt>
                <c:pt idx="178">
                  <c:v>6.5269822835025823E-3</c:v>
                </c:pt>
                <c:pt idx="179">
                  <c:v>4.581902380388195E-17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A5-7B47-8544-3E52C66CD994}"/>
            </c:ext>
          </c:extLst>
        </c:ser>
        <c:ser>
          <c:idx val="2"/>
          <c:order val="2"/>
          <c:spPr>
            <a:ln w="38100" cap="flat" cmpd="sng" algn="ctr">
              <a:solidFill>
                <a:schemeClr val="accent3">
                  <a:alpha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UU!$AC$128:$AC$307</c:f>
              <c:numCache>
                <c:formatCode>0.0000</c:formatCode>
                <c:ptCount val="180"/>
                <c:pt idx="0">
                  <c:v>3.2173822432320649</c:v>
                </c:pt>
                <c:pt idx="1">
                  <c:v>3.2171041304741839</c:v>
                </c:pt>
                <c:pt idx="2">
                  <c:v>3.2166407033407158</c:v>
                </c:pt>
                <c:pt idx="3">
                  <c:v>3.2159921029960552</c:v>
                </c:pt>
                <c:pt idx="4">
                  <c:v>3.2151585270101499</c:v>
                </c:pt>
                <c:pt idx="5">
                  <c:v>3.2141402292983203</c:v>
                </c:pt>
                <c:pt idx="6">
                  <c:v>3.2129375200439139</c:v>
                </c:pt>
                <c:pt idx="7">
                  <c:v>3.2115507656038207</c:v>
                </c:pt>
                <c:pt idx="8">
                  <c:v>3.2099803883968767</c:v>
                </c:pt>
                <c:pt idx="9">
                  <c:v>3.2082268667751919</c:v>
                </c:pt>
                <c:pt idx="10">
                  <c:v>3.2062907348784391</c:v>
                </c:pt>
                <c:pt idx="11">
                  <c:v>3.2041725824711493</c:v>
                </c:pt>
                <c:pt idx="12">
                  <c:v>3.2018730547630652</c:v>
                </c:pt>
                <c:pt idx="13">
                  <c:v>3.1993928522126023</c:v>
                </c:pt>
                <c:pt idx="14">
                  <c:v>3.1967327303134843</c:v>
                </c:pt>
                <c:pt idx="15">
                  <c:v>3.1938934993646102</c:v>
                </c:pt>
                <c:pt idx="16">
                  <c:v>3.1908760242232317</c:v>
                </c:pt>
                <c:pt idx="17">
                  <c:v>3.187681224041508</c:v>
                </c:pt>
                <c:pt idx="18">
                  <c:v>3.1843100719865229</c:v>
                </c:pt>
                <c:pt idx="19">
                  <c:v>3.1807635949438495</c:v>
                </c:pt>
                <c:pt idx="20">
                  <c:v>3.1770428732047504</c:v>
                </c:pt>
                <c:pt idx="21">
                  <c:v>3.1731490401371105</c:v>
                </c:pt>
                <c:pt idx="22">
                  <c:v>3.1690832818402033</c:v>
                </c:pt>
                <c:pt idx="23">
                  <c:v>3.1648468367833908</c:v>
                </c:pt>
                <c:pt idx="24">
                  <c:v>3.1604409954288784</c:v>
                </c:pt>
                <c:pt idx="25">
                  <c:v>3.1558670998386211</c:v>
                </c:pt>
                <c:pt idx="26">
                  <c:v>3.1511265432655255</c:v>
                </c:pt>
                <c:pt idx="27">
                  <c:v>3.1462207697290459</c:v>
                </c:pt>
                <c:pt idx="28">
                  <c:v>3.1411512735753249</c:v>
                </c:pt>
                <c:pt idx="29">
                  <c:v>3.1359195990220003</c:v>
                </c:pt>
                <c:pt idx="30">
                  <c:v>3.1305273396878213</c:v>
                </c:pt>
                <c:pt idx="31">
                  <c:v>3.1249761381072174</c:v>
                </c:pt>
                <c:pt idx="32">
                  <c:v>3.119267685229965</c:v>
                </c:pt>
                <c:pt idx="33">
                  <c:v>3.1134037199061106</c:v>
                </c:pt>
                <c:pt idx="34">
                  <c:v>3.1073860283562964</c:v>
                </c:pt>
                <c:pt idx="35">
                  <c:v>3.1012164436276635</c:v>
                </c:pt>
                <c:pt idx="36">
                  <c:v>3.0948968450354868</c:v>
                </c:pt>
                <c:pt idx="37">
                  <c:v>3.0884291575907161</c:v>
                </c:pt>
                <c:pt idx="38">
                  <c:v>3.0818153514136011</c:v>
                </c:pt>
                <c:pt idx="39">
                  <c:v>3.0750574411335734</c:v>
                </c:pt>
                <c:pt idx="40">
                  <c:v>3.0681574852755689</c:v>
                </c:pt>
                <c:pt idx="41">
                  <c:v>3.0611175856329833</c:v>
                </c:pt>
                <c:pt idx="42">
                  <c:v>3.0539398866274454</c:v>
                </c:pt>
                <c:pt idx="43">
                  <c:v>3.0466265746556038</c:v>
                </c:pt>
                <c:pt idx="44">
                  <c:v>3.0391798774231304</c:v>
                </c:pt>
                <c:pt idx="45">
                  <c:v>3.0316020632661411</c:v>
                </c:pt>
                <c:pt idx="46">
                  <c:v>3.023895440460235</c:v>
                </c:pt>
                <c:pt idx="47">
                  <c:v>3.0160623565173745</c:v>
                </c:pt>
                <c:pt idx="48">
                  <c:v>3.0081051974708104</c:v>
                </c:pt>
                <c:pt idx="49">
                  <c:v>3.00002638714827</c:v>
                </c:pt>
                <c:pt idx="50">
                  <c:v>2.9918283864336392</c:v>
                </c:pt>
                <c:pt idx="51">
                  <c:v>2.9835136925173513</c:v>
                </c:pt>
                <c:pt idx="52">
                  <c:v>2.9750848381357198</c:v>
                </c:pt>
                <c:pt idx="53">
                  <c:v>2.9665443907994411</c:v>
                </c:pt>
                <c:pt idx="54">
                  <c:v>2.9578949520115074</c:v>
                </c:pt>
                <c:pt idx="55">
                  <c:v>2.9491391564747618</c:v>
                </c:pt>
                <c:pt idx="56">
                  <c:v>2.9402796712893449</c:v>
                </c:pt>
                <c:pt idx="57">
                  <c:v>2.9313191951402673</c:v>
                </c:pt>
                <c:pt idx="58">
                  <c:v>2.9222604574753666</c:v>
                </c:pt>
                <c:pt idx="59">
                  <c:v>2.9131062176738891</c:v>
                </c:pt>
                <c:pt idx="60">
                  <c:v>2.9038592642059577</c:v>
                </c:pt>
                <c:pt idx="61">
                  <c:v>2.894522413783176</c:v>
                </c:pt>
                <c:pt idx="62">
                  <c:v>2.8850985105006304</c:v>
                </c:pt>
                <c:pt idx="63">
                  <c:v>2.8755904249705524</c:v>
                </c:pt>
                <c:pt idx="64">
                  <c:v>2.8660010534479019</c:v>
                </c:pt>
                <c:pt idx="65">
                  <c:v>2.8563333169481386</c:v>
                </c:pt>
                <c:pt idx="66">
                  <c:v>2.8465901603574535</c:v>
                </c:pt>
                <c:pt idx="67">
                  <c:v>2.8367745515357288</c:v>
                </c:pt>
                <c:pt idx="68">
                  <c:v>2.8268894804124969</c:v>
                </c:pt>
                <c:pt idx="69">
                  <c:v>2.8169379580761813</c:v>
                </c:pt>
                <c:pt idx="70">
                  <c:v>2.8069230158568881</c:v>
                </c:pt>
                <c:pt idx="71">
                  <c:v>2.7968477044030338</c:v>
                </c:pt>
                <c:pt idx="72">
                  <c:v>2.7867150927520896</c:v>
                </c:pt>
                <c:pt idx="73">
                  <c:v>2.7765282673957206</c:v>
                </c:pt>
                <c:pt idx="74">
                  <c:v>2.7662903313396132</c:v>
                </c:pt>
                <c:pt idx="75">
                  <c:v>2.7560044031582662</c:v>
                </c:pt>
                <c:pt idx="76">
                  <c:v>2.7456736160450461</c:v>
                </c:pt>
                <c:pt idx="77">
                  <c:v>2.7353011168577845</c:v>
                </c:pt>
                <c:pt idx="78">
                  <c:v>2.7248900651602139</c:v>
                </c:pt>
                <c:pt idx="79">
                  <c:v>2.7144436322595356</c:v>
                </c:pt>
                <c:pt idx="80">
                  <c:v>2.7039650002404083</c:v>
                </c:pt>
                <c:pt idx="81">
                  <c:v>2.6934573609956538</c:v>
                </c:pt>
                <c:pt idx="82">
                  <c:v>2.6829239152539759</c:v>
                </c:pt>
                <c:pt idx="83">
                  <c:v>2.6723678716049868</c:v>
                </c:pt>
                <c:pt idx="84">
                  <c:v>2.6617924455218414</c:v>
                </c:pt>
                <c:pt idx="85">
                  <c:v>2.6512008583817703</c:v>
                </c:pt>
                <c:pt idx="86">
                  <c:v>2.64059633648482</c:v>
                </c:pt>
                <c:pt idx="87">
                  <c:v>2.6299821100710883</c:v>
                </c:pt>
                <c:pt idx="88">
                  <c:v>2.619361412336763</c:v>
                </c:pt>
                <c:pt idx="89">
                  <c:v>2.6087374784492594</c:v>
                </c:pt>
                <c:pt idx="90">
                  <c:v>2.5981135445617558</c:v>
                </c:pt>
                <c:pt idx="91">
                  <c:v>2.5874928468274305</c:v>
                </c:pt>
                <c:pt idx="92">
                  <c:v>2.5768786204136989</c:v>
                </c:pt>
                <c:pt idx="93">
                  <c:v>2.5662740985167485</c:v>
                </c:pt>
                <c:pt idx="94">
                  <c:v>2.5556825113766775</c:v>
                </c:pt>
                <c:pt idx="95">
                  <c:v>2.545107085293532</c:v>
                </c:pt>
                <c:pt idx="96">
                  <c:v>2.5345510416445429</c:v>
                </c:pt>
                <c:pt idx="97">
                  <c:v>2.524017595902865</c:v>
                </c:pt>
                <c:pt idx="98">
                  <c:v>2.5135099566581105</c:v>
                </c:pt>
                <c:pt idx="99">
                  <c:v>2.5030313246389833</c:v>
                </c:pt>
                <c:pt idx="100">
                  <c:v>2.4925848917383053</c:v>
                </c:pt>
                <c:pt idx="101">
                  <c:v>2.4821738400407347</c:v>
                </c:pt>
                <c:pt idx="102">
                  <c:v>2.4718013408534727</c:v>
                </c:pt>
                <c:pt idx="103">
                  <c:v>2.4614705537402526</c:v>
                </c:pt>
                <c:pt idx="104">
                  <c:v>2.4511846255589056</c:v>
                </c:pt>
                <c:pt idx="105">
                  <c:v>2.4409466895027983</c:v>
                </c:pt>
                <c:pt idx="106">
                  <c:v>2.4307598641464292</c:v>
                </c:pt>
                <c:pt idx="107">
                  <c:v>2.420627252495485</c:v>
                </c:pt>
                <c:pt idx="108">
                  <c:v>2.4105519410416307</c:v>
                </c:pt>
                <c:pt idx="109">
                  <c:v>2.4005369988223375</c:v>
                </c:pt>
                <c:pt idx="110">
                  <c:v>2.3905854764860219</c:v>
                </c:pt>
                <c:pt idx="111">
                  <c:v>2.38070040536279</c:v>
                </c:pt>
                <c:pt idx="112">
                  <c:v>2.3708847965410653</c:v>
                </c:pt>
                <c:pt idx="113">
                  <c:v>2.3611416399503802</c:v>
                </c:pt>
                <c:pt idx="114">
                  <c:v>2.3514739034506169</c:v>
                </c:pt>
                <c:pt idx="115">
                  <c:v>2.341884531927966</c:v>
                </c:pt>
                <c:pt idx="116">
                  <c:v>2.3323764463978884</c:v>
                </c:pt>
                <c:pt idx="117">
                  <c:v>2.3229525431153428</c:v>
                </c:pt>
                <c:pt idx="118">
                  <c:v>2.3136156926925611</c:v>
                </c:pt>
                <c:pt idx="119">
                  <c:v>2.3043687392246297</c:v>
                </c:pt>
                <c:pt idx="120">
                  <c:v>2.2952144994231523</c:v>
                </c:pt>
                <c:pt idx="121">
                  <c:v>2.2861557617582515</c:v>
                </c:pt>
                <c:pt idx="122">
                  <c:v>2.2771952856091739</c:v>
                </c:pt>
                <c:pt idx="123">
                  <c:v>2.268335800423757</c:v>
                </c:pt>
                <c:pt idx="124">
                  <c:v>2.2595800048870114</c:v>
                </c:pt>
                <c:pt idx="125">
                  <c:v>2.2509305660990777</c:v>
                </c:pt>
                <c:pt idx="126">
                  <c:v>2.242390118762799</c:v>
                </c:pt>
                <c:pt idx="127">
                  <c:v>2.2339612643811675</c:v>
                </c:pt>
                <c:pt idx="128">
                  <c:v>2.2256465704648796</c:v>
                </c:pt>
                <c:pt idx="129">
                  <c:v>2.2174485697502488</c:v>
                </c:pt>
                <c:pt idx="130">
                  <c:v>2.2093697594277084</c:v>
                </c:pt>
                <c:pt idx="131">
                  <c:v>2.2014126003811443</c:v>
                </c:pt>
                <c:pt idx="132">
                  <c:v>2.1935795164382839</c:v>
                </c:pt>
                <c:pt idx="133">
                  <c:v>2.1858728936323777</c:v>
                </c:pt>
                <c:pt idx="134">
                  <c:v>2.1782950794753884</c:v>
                </c:pt>
                <c:pt idx="135">
                  <c:v>2.170848382242915</c:v>
                </c:pt>
                <c:pt idx="136">
                  <c:v>2.1635350702710734</c:v>
                </c:pt>
                <c:pt idx="137">
                  <c:v>2.1563573712655355</c:v>
                </c:pt>
                <c:pt idx="138">
                  <c:v>2.1493174716229499</c:v>
                </c:pt>
                <c:pt idx="139">
                  <c:v>2.1424175157649454</c:v>
                </c:pt>
                <c:pt idx="140">
                  <c:v>2.1356596054849177</c:v>
                </c:pt>
                <c:pt idx="141">
                  <c:v>2.1290457993078027</c:v>
                </c:pt>
                <c:pt idx="142">
                  <c:v>2.122578111863032</c:v>
                </c:pt>
                <c:pt idx="143">
                  <c:v>2.1162585132708553</c:v>
                </c:pt>
                <c:pt idx="144">
                  <c:v>2.1100889285422224</c:v>
                </c:pt>
                <c:pt idx="145">
                  <c:v>2.1040712369924082</c:v>
                </c:pt>
                <c:pt idx="146">
                  <c:v>2.0982072716685538</c:v>
                </c:pt>
                <c:pt idx="147">
                  <c:v>2.0924988187913014</c:v>
                </c:pt>
                <c:pt idx="148">
                  <c:v>2.0869476172106975</c:v>
                </c:pt>
                <c:pt idx="149">
                  <c:v>2.0815553578765185</c:v>
                </c:pt>
                <c:pt idx="150">
                  <c:v>2.0763236833231939</c:v>
                </c:pt>
                <c:pt idx="151">
                  <c:v>2.071254187169473</c:v>
                </c:pt>
                <c:pt idx="152">
                  <c:v>2.0663484136329933</c:v>
                </c:pt>
                <c:pt idx="153">
                  <c:v>2.0616078570598977</c:v>
                </c:pt>
                <c:pt idx="154">
                  <c:v>2.0570339614696405</c:v>
                </c:pt>
                <c:pt idx="155">
                  <c:v>2.052628120115128</c:v>
                </c:pt>
                <c:pt idx="156">
                  <c:v>2.0483916750583155</c:v>
                </c:pt>
                <c:pt idx="157">
                  <c:v>2.0443259167614083</c:v>
                </c:pt>
                <c:pt idx="158">
                  <c:v>2.0404320836937684</c:v>
                </c:pt>
                <c:pt idx="159">
                  <c:v>2.0367113619546693</c:v>
                </c:pt>
                <c:pt idx="160">
                  <c:v>2.0331648849119959</c:v>
                </c:pt>
                <c:pt idx="161">
                  <c:v>2.0297937328570108</c:v>
                </c:pt>
                <c:pt idx="162">
                  <c:v>2.0265989326752867</c:v>
                </c:pt>
                <c:pt idx="163">
                  <c:v>2.0235814575339086</c:v>
                </c:pt>
                <c:pt idx="164">
                  <c:v>2.0207422265850346</c:v>
                </c:pt>
                <c:pt idx="165">
                  <c:v>2.0180821046859165</c:v>
                </c:pt>
                <c:pt idx="166">
                  <c:v>2.0156019021354536</c:v>
                </c:pt>
                <c:pt idx="167">
                  <c:v>2.0133023744273695</c:v>
                </c:pt>
                <c:pt idx="168">
                  <c:v>2.0111842220200797</c:v>
                </c:pt>
                <c:pt idx="169">
                  <c:v>2.0092480901233269</c:v>
                </c:pt>
                <c:pt idx="170">
                  <c:v>2.0074945685016421</c:v>
                </c:pt>
                <c:pt idx="171">
                  <c:v>2.0059241912946981</c:v>
                </c:pt>
                <c:pt idx="172">
                  <c:v>2.0045374368546049</c:v>
                </c:pt>
                <c:pt idx="173">
                  <c:v>2.0033347276001985</c:v>
                </c:pt>
                <c:pt idx="174">
                  <c:v>2.0023164298883689</c:v>
                </c:pt>
                <c:pt idx="175">
                  <c:v>2.0014828539024636</c:v>
                </c:pt>
                <c:pt idx="176">
                  <c:v>2.000834253557803</c:v>
                </c:pt>
                <c:pt idx="177">
                  <c:v>2.0003708264243349</c:v>
                </c:pt>
                <c:pt idx="178">
                  <c:v>2.0000927136664539</c:v>
                </c:pt>
                <c:pt idx="179">
                  <c:v>2</c:v>
                </c:pt>
              </c:numCache>
            </c:numRef>
          </c:xVal>
          <c:yVal>
            <c:numRef>
              <c:f>UU!$AD$128:$AD$307</c:f>
              <c:numCache>
                <c:formatCode>0.000</c:formatCode>
                <c:ptCount val="180"/>
                <c:pt idx="0">
                  <c:v>1.0623933887503588E-2</c:v>
                </c:pt>
                <c:pt idx="1">
                  <c:v>2.1244631621828682E-2</c:v>
                </c:pt>
                <c:pt idx="2">
                  <c:v>3.1858858035560406E-2</c:v>
                </c:pt>
                <c:pt idx="3">
                  <c:v>4.2463379932510807E-2</c:v>
                </c:pt>
                <c:pt idx="4">
                  <c:v>5.3054967072581762E-2</c:v>
                </c:pt>
                <c:pt idx="5">
                  <c:v>6.3630393155727411E-2</c:v>
                </c:pt>
                <c:pt idx="6">
                  <c:v>7.4186436804716357E-2</c:v>
                </c:pt>
                <c:pt idx="7">
                  <c:v>8.471988254639444E-2</c:v>
                </c:pt>
                <c:pt idx="8">
                  <c:v>9.5227521791148961E-2</c:v>
                </c:pt>
                <c:pt idx="9">
                  <c:v>0.10570615381027618</c:v>
                </c:pt>
                <c:pt idx="10">
                  <c:v>0.11615258671095428</c:v>
                </c:pt>
                <c:pt idx="11">
                  <c:v>0.12656363840852486</c:v>
                </c:pt>
                <c:pt idx="12">
                  <c:v>0.13693613759578671</c:v>
                </c:pt>
                <c:pt idx="13">
                  <c:v>0.14726692470900671</c:v>
                </c:pt>
                <c:pt idx="14">
                  <c:v>0.15755285289035362</c:v>
                </c:pt>
                <c:pt idx="15">
                  <c:v>0.16779078894646138</c:v>
                </c:pt>
                <c:pt idx="16">
                  <c:v>0.17797761430283021</c:v>
                </c:pt>
                <c:pt idx="17">
                  <c:v>0.18811022595377447</c:v>
                </c:pt>
                <c:pt idx="18">
                  <c:v>0.19818553740762859</c:v>
                </c:pt>
                <c:pt idx="19">
                  <c:v>0.20820047962692187</c:v>
                </c:pt>
                <c:pt idx="20">
                  <c:v>0.2181520019632375</c:v>
                </c:pt>
                <c:pt idx="21">
                  <c:v>0.22803707308646923</c:v>
                </c:pt>
                <c:pt idx="22">
                  <c:v>0.23785268190819411</c:v>
                </c:pt>
                <c:pt idx="23">
                  <c:v>0.24759583849887903</c:v>
                </c:pt>
                <c:pt idx="24">
                  <c:v>0.2572635749986425</c:v>
                </c:pt>
                <c:pt idx="25">
                  <c:v>0.26685294652129316</c:v>
                </c:pt>
                <c:pt idx="26">
                  <c:v>0.27636103205137086</c:v>
                </c:pt>
                <c:pt idx="27">
                  <c:v>0.28578493533391636</c:v>
                </c:pt>
                <c:pt idx="28">
                  <c:v>0.29512178575669823</c:v>
                </c:pt>
                <c:pt idx="29">
                  <c:v>0.30436873922462965</c:v>
                </c:pt>
                <c:pt idx="30">
                  <c:v>0.31352297902610715</c:v>
                </c:pt>
                <c:pt idx="31">
                  <c:v>0.32258171669100799</c:v>
                </c:pt>
                <c:pt idx="32">
                  <c:v>0.33154219284008551</c:v>
                </c:pt>
                <c:pt idx="33">
                  <c:v>0.34040167802550259</c:v>
                </c:pt>
                <c:pt idx="34">
                  <c:v>0.34915747356224791</c:v>
                </c:pt>
                <c:pt idx="35">
                  <c:v>0.35780691235018186</c:v>
                </c:pt>
                <c:pt idx="36">
                  <c:v>0.36634735968646054</c:v>
                </c:pt>
                <c:pt idx="37">
                  <c:v>0.37477621406809214</c:v>
                </c:pt>
                <c:pt idx="38">
                  <c:v>0.38309090798437989</c:v>
                </c:pt>
                <c:pt idx="39">
                  <c:v>0.39128890869901067</c:v>
                </c:pt>
                <c:pt idx="40">
                  <c:v>0.39936771902155099</c:v>
                </c:pt>
                <c:pt idx="41">
                  <c:v>0.40732487806811535</c:v>
                </c:pt>
                <c:pt idx="42">
                  <c:v>0.41515796201097543</c:v>
                </c:pt>
                <c:pt idx="43">
                  <c:v>0.42286458481688149</c:v>
                </c:pt>
                <c:pt idx="44">
                  <c:v>0.4304423989738711</c:v>
                </c:pt>
                <c:pt idx="45">
                  <c:v>0.4378890962063442</c:v>
                </c:pt>
                <c:pt idx="46">
                  <c:v>0.44520240817818585</c:v>
                </c:pt>
                <c:pt idx="47">
                  <c:v>0.4523801071837239</c:v>
                </c:pt>
                <c:pt idx="48">
                  <c:v>0.45942000682630929</c:v>
                </c:pt>
                <c:pt idx="49">
                  <c:v>0.4663199626843138</c:v>
                </c:pt>
                <c:pt idx="50">
                  <c:v>0.47307787296434178</c:v>
                </c:pt>
                <c:pt idx="51">
                  <c:v>0.47969167914145661</c:v>
                </c:pt>
                <c:pt idx="52">
                  <c:v>0.48615936658622722</c:v>
                </c:pt>
                <c:pt idx="53">
                  <c:v>0.49247896517840417</c:v>
                </c:pt>
                <c:pt idx="54">
                  <c:v>0.49864854990703694</c:v>
                </c:pt>
                <c:pt idx="55">
                  <c:v>0.50466624145685102</c:v>
                </c:pt>
                <c:pt idx="56">
                  <c:v>0.51053020678070571</c:v>
                </c:pt>
                <c:pt idx="57">
                  <c:v>0.51623865965795779</c:v>
                </c:pt>
                <c:pt idx="58">
                  <c:v>0.52178986123856197</c:v>
                </c:pt>
                <c:pt idx="59">
                  <c:v>0.52718212057274083</c:v>
                </c:pt>
                <c:pt idx="60">
                  <c:v>0.53241379512606546</c:v>
                </c:pt>
                <c:pt idx="61">
                  <c:v>0.53748329127978645</c:v>
                </c:pt>
                <c:pt idx="62">
                  <c:v>0.54238906481626603</c:v>
                </c:pt>
                <c:pt idx="63">
                  <c:v>0.54712962138936183</c:v>
                </c:pt>
                <c:pt idx="64">
                  <c:v>0.55170351697961872</c:v>
                </c:pt>
                <c:pt idx="65">
                  <c:v>0.55610935833413155</c:v>
                </c:pt>
                <c:pt idx="66">
                  <c:v>0.56034580339094364</c:v>
                </c:pt>
                <c:pt idx="67">
                  <c:v>0.564411561687851</c:v>
                </c:pt>
                <c:pt idx="68">
                  <c:v>0.5683053947554908</c:v>
                </c:pt>
                <c:pt idx="69">
                  <c:v>0.57202611649459001</c:v>
                </c:pt>
                <c:pt idx="70">
                  <c:v>0.57557259353726353</c:v>
                </c:pt>
                <c:pt idx="71">
                  <c:v>0.5789437455922487</c:v>
                </c:pt>
                <c:pt idx="72">
                  <c:v>0.5821385457739725</c:v>
                </c:pt>
                <c:pt idx="73">
                  <c:v>0.58515602091535091</c:v>
                </c:pt>
                <c:pt idx="74">
                  <c:v>0.58799525186422485</c:v>
                </c:pt>
                <c:pt idx="75">
                  <c:v>0.59065537376334287</c:v>
                </c:pt>
                <c:pt idx="76">
                  <c:v>0.59313557631380565</c:v>
                </c:pt>
                <c:pt idx="77">
                  <c:v>0.59543510402188982</c:v>
                </c:pt>
                <c:pt idx="78">
                  <c:v>0.59755325642917956</c:v>
                </c:pt>
                <c:pt idx="79">
                  <c:v>0.59948938832593257</c:v>
                </c:pt>
                <c:pt idx="80">
                  <c:v>0.60124290994761742</c:v>
                </c:pt>
                <c:pt idx="81">
                  <c:v>0.60281328715456139</c:v>
                </c:pt>
                <c:pt idx="82">
                  <c:v>0.60420004159465457</c:v>
                </c:pt>
                <c:pt idx="83">
                  <c:v>0.60540275084906092</c:v>
                </c:pt>
                <c:pt idx="84">
                  <c:v>0.60642104856089041</c:v>
                </c:pt>
                <c:pt idx="85">
                  <c:v>0.60725462454679568</c:v>
                </c:pt>
                <c:pt idx="86">
                  <c:v>0.60790322489145632</c:v>
                </c:pt>
                <c:pt idx="87">
                  <c:v>0.60836665202492435</c:v>
                </c:pt>
                <c:pt idx="88">
                  <c:v>0.60864476478280538</c:v>
                </c:pt>
                <c:pt idx="89">
                  <c:v>0.60873747844925941</c:v>
                </c:pt>
                <c:pt idx="90">
                  <c:v>0.60864476478280538</c:v>
                </c:pt>
                <c:pt idx="91">
                  <c:v>0.60836665202492435</c:v>
                </c:pt>
                <c:pt idx="92">
                  <c:v>0.60790322489145632</c:v>
                </c:pt>
                <c:pt idx="93">
                  <c:v>0.60725462454679568</c:v>
                </c:pt>
                <c:pt idx="94">
                  <c:v>0.60642104856089041</c:v>
                </c:pt>
                <c:pt idx="95">
                  <c:v>0.60540275084906092</c:v>
                </c:pt>
                <c:pt idx="96">
                  <c:v>0.60420004159465468</c:v>
                </c:pt>
                <c:pt idx="97">
                  <c:v>0.60281328715456139</c:v>
                </c:pt>
                <c:pt idx="98">
                  <c:v>0.60124290994761742</c:v>
                </c:pt>
                <c:pt idx="99">
                  <c:v>0.59948938832593257</c:v>
                </c:pt>
                <c:pt idx="100">
                  <c:v>0.59755325642917956</c:v>
                </c:pt>
                <c:pt idx="101">
                  <c:v>0.59543510402188982</c:v>
                </c:pt>
                <c:pt idx="102">
                  <c:v>0.59313557631380565</c:v>
                </c:pt>
                <c:pt idx="103">
                  <c:v>0.59065537376334287</c:v>
                </c:pt>
                <c:pt idx="104">
                  <c:v>0.58799525186422485</c:v>
                </c:pt>
                <c:pt idx="105">
                  <c:v>0.58515602091535091</c:v>
                </c:pt>
                <c:pt idx="106">
                  <c:v>0.58213854577397262</c:v>
                </c:pt>
                <c:pt idx="107">
                  <c:v>0.57894374559224882</c:v>
                </c:pt>
                <c:pt idx="108">
                  <c:v>0.57557259353726364</c:v>
                </c:pt>
                <c:pt idx="109">
                  <c:v>0.57202611649459001</c:v>
                </c:pt>
                <c:pt idx="110">
                  <c:v>0.5683053947554908</c:v>
                </c:pt>
                <c:pt idx="111">
                  <c:v>0.564411561687851</c:v>
                </c:pt>
                <c:pt idx="112">
                  <c:v>0.56034580339094353</c:v>
                </c:pt>
                <c:pt idx="113">
                  <c:v>0.55610935833413155</c:v>
                </c:pt>
                <c:pt idx="114">
                  <c:v>0.55170351697961872</c:v>
                </c:pt>
                <c:pt idx="115">
                  <c:v>0.54712962138936183</c:v>
                </c:pt>
                <c:pt idx="116">
                  <c:v>0.54238906481626614</c:v>
                </c:pt>
                <c:pt idx="117">
                  <c:v>0.53748329127978645</c:v>
                </c:pt>
                <c:pt idx="118">
                  <c:v>0.53241379512606557</c:v>
                </c:pt>
                <c:pt idx="119">
                  <c:v>0.52718212057274094</c:v>
                </c:pt>
                <c:pt idx="120">
                  <c:v>0.52178986123856197</c:v>
                </c:pt>
                <c:pt idx="121">
                  <c:v>0.5162386596579579</c:v>
                </c:pt>
                <c:pt idx="122">
                  <c:v>0.5105302067807056</c:v>
                </c:pt>
                <c:pt idx="123">
                  <c:v>0.50466624145685102</c:v>
                </c:pt>
                <c:pt idx="124">
                  <c:v>0.49864854990703689</c:v>
                </c:pt>
                <c:pt idx="125">
                  <c:v>0.49247896517840417</c:v>
                </c:pt>
                <c:pt idx="126">
                  <c:v>0.48615936658622716</c:v>
                </c:pt>
                <c:pt idx="127">
                  <c:v>0.47969167914145661</c:v>
                </c:pt>
                <c:pt idx="128">
                  <c:v>0.47307787296434189</c:v>
                </c:pt>
                <c:pt idx="129">
                  <c:v>0.4663199626843138</c:v>
                </c:pt>
                <c:pt idx="130">
                  <c:v>0.45942000682630935</c:v>
                </c:pt>
                <c:pt idx="131">
                  <c:v>0.4523801071837239</c:v>
                </c:pt>
                <c:pt idx="132">
                  <c:v>0.44520240817818596</c:v>
                </c:pt>
                <c:pt idx="133">
                  <c:v>0.4378890962063442</c:v>
                </c:pt>
                <c:pt idx="134">
                  <c:v>0.43044239897387121</c:v>
                </c:pt>
                <c:pt idx="135">
                  <c:v>0.42286458481688144</c:v>
                </c:pt>
                <c:pt idx="136">
                  <c:v>0.41515796201097549</c:v>
                </c:pt>
                <c:pt idx="137">
                  <c:v>0.4073248780681154</c:v>
                </c:pt>
                <c:pt idx="138">
                  <c:v>0.39936771902155099</c:v>
                </c:pt>
                <c:pt idx="139">
                  <c:v>0.39128890869901078</c:v>
                </c:pt>
                <c:pt idx="140">
                  <c:v>0.38309090798437989</c:v>
                </c:pt>
                <c:pt idx="141">
                  <c:v>0.37477621406809225</c:v>
                </c:pt>
                <c:pt idx="142">
                  <c:v>0.36634735968646048</c:v>
                </c:pt>
                <c:pt idx="143">
                  <c:v>0.35780691235018192</c:v>
                </c:pt>
                <c:pt idx="144">
                  <c:v>0.34915747356224786</c:v>
                </c:pt>
                <c:pt idx="145">
                  <c:v>0.34040167802550259</c:v>
                </c:pt>
                <c:pt idx="146">
                  <c:v>0.33154219284008563</c:v>
                </c:pt>
                <c:pt idx="147">
                  <c:v>0.32258171669100799</c:v>
                </c:pt>
                <c:pt idx="148">
                  <c:v>0.31352297902610726</c:v>
                </c:pt>
                <c:pt idx="149">
                  <c:v>0.30436873922462965</c:v>
                </c:pt>
                <c:pt idx="150">
                  <c:v>0.29512178575669828</c:v>
                </c:pt>
                <c:pt idx="151">
                  <c:v>0.28578493533391625</c:v>
                </c:pt>
                <c:pt idx="152">
                  <c:v>0.27636103205137091</c:v>
                </c:pt>
                <c:pt idx="153">
                  <c:v>0.26685294652129304</c:v>
                </c:pt>
                <c:pt idx="154">
                  <c:v>0.25726357499864255</c:v>
                </c:pt>
                <c:pt idx="155">
                  <c:v>0.24759583849887917</c:v>
                </c:pt>
                <c:pt idx="156">
                  <c:v>0.23785268190819411</c:v>
                </c:pt>
                <c:pt idx="157">
                  <c:v>0.22803707308646937</c:v>
                </c:pt>
                <c:pt idx="158">
                  <c:v>0.21815200196323747</c:v>
                </c:pt>
                <c:pt idx="159">
                  <c:v>0.20820047962692198</c:v>
                </c:pt>
                <c:pt idx="160">
                  <c:v>0.19818553740762851</c:v>
                </c:pt>
                <c:pt idx="161">
                  <c:v>0.18811022595377452</c:v>
                </c:pt>
                <c:pt idx="162">
                  <c:v>0.1779776143028301</c:v>
                </c:pt>
                <c:pt idx="163">
                  <c:v>0.16779078894646141</c:v>
                </c:pt>
                <c:pt idx="164">
                  <c:v>0.15755285289035378</c:v>
                </c:pt>
                <c:pt idx="165">
                  <c:v>0.14726692470900671</c:v>
                </c:pt>
                <c:pt idx="166">
                  <c:v>0.13693613759578682</c:v>
                </c:pt>
                <c:pt idx="167">
                  <c:v>0.12656363840852486</c:v>
                </c:pt>
                <c:pt idx="168">
                  <c:v>0.11615258671095438</c:v>
                </c:pt>
                <c:pt idx="169">
                  <c:v>0.10570615381027613</c:v>
                </c:pt>
                <c:pt idx="170">
                  <c:v>9.5227521791149031E-2</c:v>
                </c:pt>
                <c:pt idx="171">
                  <c:v>8.4719882546394371E-2</c:v>
                </c:pt>
                <c:pt idx="172">
                  <c:v>7.4186436804716399E-2</c:v>
                </c:pt>
                <c:pt idx="173">
                  <c:v>6.3630393155727563E-2</c:v>
                </c:pt>
                <c:pt idx="174">
                  <c:v>5.3054967072581775E-2</c:v>
                </c:pt>
                <c:pt idx="175">
                  <c:v>4.2463379932510939E-2</c:v>
                </c:pt>
                <c:pt idx="176">
                  <c:v>3.1858858035560392E-2</c:v>
                </c:pt>
                <c:pt idx="177">
                  <c:v>2.124463162182879E-2</c:v>
                </c:pt>
                <c:pt idx="178">
                  <c:v>1.0623933887503543E-2</c:v>
                </c:pt>
                <c:pt idx="179">
                  <c:v>7.4579378116707947E-17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7A5-7B47-8544-3E52C66CD994}"/>
            </c:ext>
          </c:extLst>
        </c:ser>
        <c:ser>
          <c:idx val="3"/>
          <c:order val="3"/>
          <c:tx>
            <c:v>Line Env. Failure</c:v>
          </c:tx>
          <c:spPr>
            <a:ln w="19050" cap="flat" cmpd="sng" algn="ctr">
              <a:solidFill>
                <a:schemeClr val="accent1">
                  <a:alpha val="70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A6B7-4593-9A75-04E92B31ED73}"/>
              </c:ext>
            </c:extLst>
          </c:dPt>
          <c:trendline>
            <c:spPr>
              <a:ln w="12700" cap="rnd">
                <a:solidFill>
                  <a:schemeClr val="accent5">
                    <a:lumMod val="75000"/>
                  </a:schemeClr>
                </a:solidFill>
              </a:ln>
              <a:effectLst/>
            </c:spPr>
            <c:trendlineType val="log"/>
            <c:dispRSqr val="0"/>
            <c:dispEq val="0"/>
          </c:trendline>
          <c:xVal>
            <c:numRef>
              <c:f>UU!$L$156:$L$166</c:f>
              <c:numCache>
                <c:formatCode>0.000</c:formatCode>
                <c:ptCount val="11"/>
                <c:pt idx="0">
                  <c:v>0</c:v>
                </c:pt>
                <c:pt idx="1">
                  <c:v>0.32174749568985206</c:v>
                </c:pt>
                <c:pt idx="2">
                  <c:v>0.64349499137970412</c:v>
                </c:pt>
                <c:pt idx="3">
                  <c:v>0.96524248706955618</c:v>
                </c:pt>
                <c:pt idx="4">
                  <c:v>1.2869899827594082</c:v>
                </c:pt>
                <c:pt idx="5">
                  <c:v>1.6087374784492603</c:v>
                </c:pt>
                <c:pt idx="6">
                  <c:v>1.9304849741391124</c:v>
                </c:pt>
                <c:pt idx="7">
                  <c:v>2.2522324698289644</c:v>
                </c:pt>
                <c:pt idx="8">
                  <c:v>2.5739799655188165</c:v>
                </c:pt>
                <c:pt idx="9">
                  <c:v>2.8957274612086685</c:v>
                </c:pt>
                <c:pt idx="10">
                  <c:v>3.2174749568985206</c:v>
                </c:pt>
              </c:numCache>
            </c:numRef>
          </c:xVal>
          <c:yVal>
            <c:numRef>
              <c:f>UU!$N$156:$N$166</c:f>
              <c:numCache>
                <c:formatCode>0.000</c:formatCode>
                <c:ptCount val="11"/>
                <c:pt idx="0">
                  <c:v>0.13122991413231042</c:v>
                </c:pt>
                <c:pt idx="1">
                  <c:v>0.19083914787018003</c:v>
                </c:pt>
                <c:pt idx="2">
                  <c:v>0.25044838160804961</c:v>
                </c:pt>
                <c:pt idx="3">
                  <c:v>0.31005761534591925</c:v>
                </c:pt>
                <c:pt idx="4">
                  <c:v>0.36966684908378883</c:v>
                </c:pt>
                <c:pt idx="5">
                  <c:v>0.42927608282165841</c:v>
                </c:pt>
                <c:pt idx="6">
                  <c:v>0.48888531655952805</c:v>
                </c:pt>
                <c:pt idx="7">
                  <c:v>0.54849455029739769</c:v>
                </c:pt>
                <c:pt idx="8">
                  <c:v>0.60810378403526721</c:v>
                </c:pt>
                <c:pt idx="9">
                  <c:v>0.66771301777313685</c:v>
                </c:pt>
                <c:pt idx="10">
                  <c:v>0.72732225151100649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7A5-7B47-8544-3E52C66C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1724720"/>
        <c:axId val="490763200"/>
      </c:scatterChart>
      <c:valAx>
        <c:axId val="49172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Aptos" panose="020B0004020202020204" pitchFamily="34" charset="0"/>
                  </a:rPr>
                  <a:t>Normal Stress,  </a:t>
                </a:r>
                <a:r>
                  <a:rPr lang="el-GR">
                    <a:latin typeface="Aptos" panose="020B0004020202020204" pitchFamily="34" charset="0"/>
                  </a:rPr>
                  <a:t>σ</a:t>
                </a:r>
                <a:r>
                  <a:rPr lang="en-US">
                    <a:latin typeface="Aptos" panose="020B0004020202020204" pitchFamily="34" charset="0"/>
                  </a:rPr>
                  <a:t> (kg/cm</a:t>
                </a:r>
                <a:r>
                  <a:rPr lang="en-US" baseline="30000">
                    <a:latin typeface="Aptos" panose="020B0004020202020204" pitchFamily="34" charset="0"/>
                  </a:rPr>
                  <a:t>2</a:t>
                </a:r>
                <a:r>
                  <a:rPr lang="en-US">
                    <a:latin typeface="Aptos" panose="020B0004020202020204" pitchFamily="34" charset="0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0.39481755562916016"/>
              <c:y val="0.94751996425978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0763200"/>
        <c:crosses val="autoZero"/>
        <c:crossBetween val="midCat"/>
      </c:valAx>
      <c:valAx>
        <c:axId val="490763200"/>
        <c:scaling>
          <c:orientation val="minMax"/>
          <c:max val="2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Stress, t (kg/cm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5.4471401671838914E-3"/>
              <c:y val="0.32355337032032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72472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174975431387313"/>
          <c:y val="5.6100490721741898E-2"/>
          <c:w val="0.80424073409529262"/>
          <c:h val="0.79083385883987367"/>
        </c:manualLayout>
      </c:layout>
      <c:scatterChart>
        <c:scatterStyle val="smoothMarker"/>
        <c:varyColors val="0"/>
        <c:ser>
          <c:idx val="0"/>
          <c:order val="0"/>
          <c:tx>
            <c:v>0,5 kg/cm2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[0]!X_UU</c:f>
              <c:numCache>
                <c:formatCode>0.000</c:formatCode>
                <c:ptCount val="27"/>
                <c:pt idx="0">
                  <c:v>0</c:v>
                </c:pt>
                <c:pt idx="1">
                  <c:v>0.52631578947368429</c:v>
                </c:pt>
                <c:pt idx="2">
                  <c:v>1.0526315789473686</c:v>
                </c:pt>
                <c:pt idx="3">
                  <c:v>1.5789473684210527</c:v>
                </c:pt>
                <c:pt idx="4">
                  <c:v>2.1052631578947372</c:v>
                </c:pt>
                <c:pt idx="5">
                  <c:v>2.6315789473684212</c:v>
                </c:pt>
                <c:pt idx="6">
                  <c:v>3.1578947368421053</c:v>
                </c:pt>
                <c:pt idx="7">
                  <c:v>3.6842105263157898</c:v>
                </c:pt>
                <c:pt idx="8">
                  <c:v>4.2105263157894743</c:v>
                </c:pt>
                <c:pt idx="9">
                  <c:v>4.7368421052631584</c:v>
                </c:pt>
                <c:pt idx="10">
                  <c:v>5.2631578947368425</c:v>
                </c:pt>
                <c:pt idx="11">
                  <c:v>5.7894736842105265</c:v>
                </c:pt>
                <c:pt idx="12">
                  <c:v>6.3157894736842106</c:v>
                </c:pt>
                <c:pt idx="13">
                  <c:v>6.8421052631578956</c:v>
                </c:pt>
                <c:pt idx="14">
                  <c:v>7.3684210526315796</c:v>
                </c:pt>
                <c:pt idx="15">
                  <c:v>7.8947368421052628</c:v>
                </c:pt>
                <c:pt idx="16">
                  <c:v>8.4210526315789487</c:v>
                </c:pt>
                <c:pt idx="17">
                  <c:v>8.9473684210526336</c:v>
                </c:pt>
                <c:pt idx="18">
                  <c:v>9.4736842105263168</c:v>
                </c:pt>
                <c:pt idx="19">
                  <c:v>10</c:v>
                </c:pt>
                <c:pt idx="20">
                  <c:v>10.526315789473685</c:v>
                </c:pt>
                <c:pt idx="21">
                  <c:v>11.052631578947368</c:v>
                </c:pt>
                <c:pt idx="22">
                  <c:v>11.578947368421053</c:v>
                </c:pt>
                <c:pt idx="23">
                  <c:v>12.105263157894738</c:v>
                </c:pt>
                <c:pt idx="24">
                  <c:v>12.631578947368421</c:v>
                </c:pt>
                <c:pt idx="25">
                  <c:v>13.157894736842104</c:v>
                </c:pt>
                <c:pt idx="26">
                  <c:v>13.684210526315791</c:v>
                </c:pt>
              </c:numCache>
            </c:numRef>
          </c:xVal>
          <c:yVal>
            <c:numRef>
              <c:f>[0]!Y_UU</c:f>
              <c:numCache>
                <c:formatCode>0.000</c:formatCode>
                <c:ptCount val="27"/>
                <c:pt idx="0">
                  <c:v>0</c:v>
                </c:pt>
                <c:pt idx="1">
                  <c:v>6.3488301348428325E-2</c:v>
                </c:pt>
                <c:pt idx="2">
                  <c:v>0.11577937141847422</c:v>
                </c:pt>
                <c:pt idx="3">
                  <c:v>0.167510579924601</c:v>
                </c:pt>
                <c:pt idx="4">
                  <c:v>0.21868192686680865</c:v>
                </c:pt>
                <c:pt idx="5">
                  <c:v>0.25893597331259344</c:v>
                </c:pt>
                <c:pt idx="6">
                  <c:v>0.29874213050724291</c:v>
                </c:pt>
                <c:pt idx="7">
                  <c:v>0.31760946521131733</c:v>
                </c:pt>
                <c:pt idx="8">
                  <c:v>0.35663181621648005</c:v>
                </c:pt>
                <c:pt idx="9">
                  <c:v>0.37493928935663534</c:v>
                </c:pt>
                <c:pt idx="10">
                  <c:v>0.3930228178712229</c:v>
                </c:pt>
                <c:pt idx="11">
                  <c:v>0.41088240176024288</c:v>
                </c:pt>
                <c:pt idx="12">
                  <c:v>0.42851804102369523</c:v>
                </c:pt>
                <c:pt idx="13">
                  <c:v>0.44592973566157984</c:v>
                </c:pt>
                <c:pt idx="14">
                  <c:v>0.46311748567389688</c:v>
                </c:pt>
                <c:pt idx="15">
                  <c:v>0.48008129106064629</c:v>
                </c:pt>
                <c:pt idx="16">
                  <c:v>0.49682115182182801</c:v>
                </c:pt>
                <c:pt idx="17">
                  <c:v>0.51333706795744205</c:v>
                </c:pt>
                <c:pt idx="18">
                  <c:v>0.52962903946748852</c:v>
                </c:pt>
                <c:pt idx="19">
                  <c:v>0.53612343360895032</c:v>
                </c:pt>
                <c:pt idx="20">
                  <c:v>0.55202350202425332</c:v>
                </c:pt>
                <c:pt idx="21">
                  <c:v>0.55823796538375547</c:v>
                </c:pt>
                <c:pt idx="22">
                  <c:v>0.55493478215663261</c:v>
                </c:pt>
                <c:pt idx="23">
                  <c:v>0.55163159892950986</c:v>
                </c:pt>
                <c:pt idx="24">
                  <c:v>0.548328415702387</c:v>
                </c:pt>
                <c:pt idx="25">
                  <c:v>0.54502523247526424</c:v>
                </c:pt>
                <c:pt idx="26">
                  <c:v>0.54172204924814138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92-1341-9757-6930C2354D94}"/>
            </c:ext>
          </c:extLst>
        </c:ser>
        <c:ser>
          <c:idx val="1"/>
          <c:order val="1"/>
          <c:tx>
            <c:v>1 kg/cm2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[0]!X_UU_1kg</c:f>
              <c:numCache>
                <c:formatCode>0.000</c:formatCode>
                <c:ptCount val="29"/>
                <c:pt idx="0">
                  <c:v>0</c:v>
                </c:pt>
                <c:pt idx="1">
                  <c:v>0.52631578947368429</c:v>
                </c:pt>
                <c:pt idx="2">
                  <c:v>1.0526315789473686</c:v>
                </c:pt>
                <c:pt idx="3">
                  <c:v>1.5789473684210527</c:v>
                </c:pt>
                <c:pt idx="4">
                  <c:v>2.1052631578947372</c:v>
                </c:pt>
                <c:pt idx="5">
                  <c:v>2.6315789473684212</c:v>
                </c:pt>
                <c:pt idx="6">
                  <c:v>3.1578947368421053</c:v>
                </c:pt>
                <c:pt idx="7">
                  <c:v>3.6842105263157898</c:v>
                </c:pt>
                <c:pt idx="8">
                  <c:v>4.2105263157894743</c:v>
                </c:pt>
                <c:pt idx="9">
                  <c:v>4.7368421052631584</c:v>
                </c:pt>
                <c:pt idx="10">
                  <c:v>5.2631578947368425</c:v>
                </c:pt>
                <c:pt idx="11">
                  <c:v>5.7894736842105265</c:v>
                </c:pt>
                <c:pt idx="12">
                  <c:v>6.3157894736842106</c:v>
                </c:pt>
                <c:pt idx="13">
                  <c:v>6.8421052631578956</c:v>
                </c:pt>
                <c:pt idx="14">
                  <c:v>7.3684210526315796</c:v>
                </c:pt>
                <c:pt idx="15">
                  <c:v>7.8947368421052628</c:v>
                </c:pt>
                <c:pt idx="16">
                  <c:v>8.4210526315789487</c:v>
                </c:pt>
                <c:pt idx="17">
                  <c:v>8.9473684210526336</c:v>
                </c:pt>
                <c:pt idx="18">
                  <c:v>9.4736842105263168</c:v>
                </c:pt>
                <c:pt idx="19">
                  <c:v>10</c:v>
                </c:pt>
                <c:pt idx="20">
                  <c:v>10.526315789473685</c:v>
                </c:pt>
                <c:pt idx="21">
                  <c:v>11.052631578947368</c:v>
                </c:pt>
                <c:pt idx="22">
                  <c:v>11.578947368421053</c:v>
                </c:pt>
                <c:pt idx="23">
                  <c:v>12.105263157894738</c:v>
                </c:pt>
                <c:pt idx="24">
                  <c:v>12.631578947368421</c:v>
                </c:pt>
                <c:pt idx="25">
                  <c:v>13.157894736842104</c:v>
                </c:pt>
                <c:pt idx="26">
                  <c:v>13.684210526315791</c:v>
                </c:pt>
                <c:pt idx="27">
                  <c:v>14.210526315789476</c:v>
                </c:pt>
                <c:pt idx="28">
                  <c:v>14.736842105263159</c:v>
                </c:pt>
              </c:numCache>
            </c:numRef>
          </c:xVal>
          <c:yVal>
            <c:numRef>
              <c:f>[0]!Y_UU_1kg</c:f>
              <c:numCache>
                <c:formatCode>0.000</c:formatCode>
                <c:ptCount val="29"/>
                <c:pt idx="0">
                  <c:v>0</c:v>
                </c:pt>
                <c:pt idx="1">
                  <c:v>0.15872075337107081</c:v>
                </c:pt>
                <c:pt idx="2">
                  <c:v>0.26313493504198687</c:v>
                </c:pt>
                <c:pt idx="3">
                  <c:v>0.34549057109448955</c:v>
                </c:pt>
                <c:pt idx="4">
                  <c:v>0.39571015337803467</c:v>
                </c:pt>
                <c:pt idx="5">
                  <c:v>0.44536987409766071</c:v>
                </c:pt>
                <c:pt idx="6">
                  <c:v>0.48416828047725574</c:v>
                </c:pt>
                <c:pt idx="7">
                  <c:v>0.52251879760571562</c:v>
                </c:pt>
                <c:pt idx="8">
                  <c:v>0.55023194501971207</c:v>
                </c:pt>
                <c:pt idx="9">
                  <c:v>0.58774266980229317</c:v>
                </c:pt>
                <c:pt idx="10">
                  <c:v>0.60465048903265062</c:v>
                </c:pt>
                <c:pt idx="11">
                  <c:v>0.62133436363744055</c:v>
                </c:pt>
                <c:pt idx="12">
                  <c:v>0.63779429361666262</c:v>
                </c:pt>
                <c:pt idx="13">
                  <c:v>0.65403027897031707</c:v>
                </c:pt>
                <c:pt idx="14">
                  <c:v>0.670042319698404</c:v>
                </c:pt>
                <c:pt idx="15">
                  <c:v>0.68583041580092319</c:v>
                </c:pt>
                <c:pt idx="16">
                  <c:v>0.70139456727787486</c:v>
                </c:pt>
                <c:pt idx="17">
                  <c:v>0.71673477412925879</c:v>
                </c:pt>
                <c:pt idx="18">
                  <c:v>0.73185103635507498</c:v>
                </c:pt>
                <c:pt idx="19">
                  <c:v>0.73716972121230662</c:v>
                </c:pt>
                <c:pt idx="20">
                  <c:v>0.74237643375675444</c:v>
                </c:pt>
                <c:pt idx="21">
                  <c:v>0.74747117398841834</c:v>
                </c:pt>
                <c:pt idx="22">
                  <c:v>0.74775110477037798</c:v>
                </c:pt>
                <c:pt idx="23">
                  <c:v>0.74797504939594561</c:v>
                </c:pt>
                <c:pt idx="24">
                  <c:v>0.74349615688459247</c:v>
                </c:pt>
                <c:pt idx="25">
                  <c:v>0.73901726437323956</c:v>
                </c:pt>
                <c:pt idx="26">
                  <c:v>0.73453837186188664</c:v>
                </c:pt>
                <c:pt idx="27">
                  <c:v>0.73005947935053361</c:v>
                </c:pt>
                <c:pt idx="28">
                  <c:v>0.72558058683918081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92-1341-9757-6930C2354D94}"/>
            </c:ext>
          </c:extLst>
        </c:ser>
        <c:ser>
          <c:idx val="2"/>
          <c:order val="2"/>
          <c:tx>
            <c:v>2 kg/cm2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[0]!X_UU_2kg</c:f>
              <c:numCache>
                <c:formatCode>0.000</c:formatCode>
                <c:ptCount val="31"/>
                <c:pt idx="0">
                  <c:v>0</c:v>
                </c:pt>
                <c:pt idx="1">
                  <c:v>0.52631578947368429</c:v>
                </c:pt>
                <c:pt idx="2">
                  <c:v>1.0526315789473686</c:v>
                </c:pt>
                <c:pt idx="3">
                  <c:v>1.5789473684210527</c:v>
                </c:pt>
                <c:pt idx="4">
                  <c:v>2.1052631578947372</c:v>
                </c:pt>
                <c:pt idx="5">
                  <c:v>2.6315789473684212</c:v>
                </c:pt>
                <c:pt idx="6">
                  <c:v>3.1578947368421053</c:v>
                </c:pt>
                <c:pt idx="7">
                  <c:v>3.6842105263157898</c:v>
                </c:pt>
                <c:pt idx="8">
                  <c:v>4.2105263157894743</c:v>
                </c:pt>
                <c:pt idx="9">
                  <c:v>4.7368421052631584</c:v>
                </c:pt>
                <c:pt idx="10">
                  <c:v>5.2631578947368425</c:v>
                </c:pt>
                <c:pt idx="11">
                  <c:v>5.7894736842105265</c:v>
                </c:pt>
                <c:pt idx="12">
                  <c:v>6.3157894736842106</c:v>
                </c:pt>
                <c:pt idx="13">
                  <c:v>6.8421052631578956</c:v>
                </c:pt>
                <c:pt idx="14">
                  <c:v>7.3684210526315796</c:v>
                </c:pt>
                <c:pt idx="15">
                  <c:v>7.8947368421052628</c:v>
                </c:pt>
                <c:pt idx="16">
                  <c:v>8.4210526315789487</c:v>
                </c:pt>
                <c:pt idx="17">
                  <c:v>8.9473684210526336</c:v>
                </c:pt>
                <c:pt idx="18">
                  <c:v>9.4736842105263168</c:v>
                </c:pt>
                <c:pt idx="19">
                  <c:v>10</c:v>
                </c:pt>
                <c:pt idx="20">
                  <c:v>10.526315789473685</c:v>
                </c:pt>
                <c:pt idx="21">
                  <c:v>11.052631578947368</c:v>
                </c:pt>
                <c:pt idx="22">
                  <c:v>11.578947368421053</c:v>
                </c:pt>
                <c:pt idx="23">
                  <c:v>12.105263157894738</c:v>
                </c:pt>
                <c:pt idx="24">
                  <c:v>12.631578947368421</c:v>
                </c:pt>
                <c:pt idx="25">
                  <c:v>13.157894736842104</c:v>
                </c:pt>
                <c:pt idx="26">
                  <c:v>13.684210526315791</c:v>
                </c:pt>
                <c:pt idx="27">
                  <c:v>14.210526315789476</c:v>
                </c:pt>
                <c:pt idx="28">
                  <c:v>14.736842105263159</c:v>
                </c:pt>
                <c:pt idx="29">
                  <c:v>15.263157894736842</c:v>
                </c:pt>
                <c:pt idx="30">
                  <c:v>15.789473684210526</c:v>
                </c:pt>
              </c:numCache>
            </c:numRef>
          </c:xVal>
          <c:yVal>
            <c:numRef>
              <c:f>[0]!Y_UU_2kg</c:f>
              <c:numCache>
                <c:formatCode>0.000</c:formatCode>
                <c:ptCount val="31"/>
                <c:pt idx="0">
                  <c:v>0</c:v>
                </c:pt>
                <c:pt idx="1">
                  <c:v>0.34918565741635577</c:v>
                </c:pt>
                <c:pt idx="2">
                  <c:v>0.47364288307557634</c:v>
                </c:pt>
                <c:pt idx="3">
                  <c:v>0.57581761849081592</c:v>
                </c:pt>
                <c:pt idx="4">
                  <c:v>0.65604578060042595</c:v>
                </c:pt>
                <c:pt idx="5">
                  <c:v>0.71466328634275778</c:v>
                </c:pt>
                <c:pt idx="6">
                  <c:v>0.77260895820838693</c:v>
                </c:pt>
                <c:pt idx="7">
                  <c:v>0.81963732957759305</c:v>
                </c:pt>
                <c:pt idx="8">
                  <c:v>0.86610583938288022</c:v>
                </c:pt>
                <c:pt idx="9">
                  <c:v>0.90188099331731197</c:v>
                </c:pt>
                <c:pt idx="10">
                  <c:v>0.94728576615115268</c:v>
                </c:pt>
                <c:pt idx="11">
                  <c:v>1.0021521994152267</c:v>
                </c:pt>
                <c:pt idx="12">
                  <c:v>1.0164846554515561</c:v>
                </c:pt>
                <c:pt idx="13">
                  <c:v>1.0405027165436864</c:v>
                </c:pt>
                <c:pt idx="14">
                  <c:v>1.0838919877474182</c:v>
                </c:pt>
                <c:pt idx="15">
                  <c:v>1.1071262426500619</c:v>
                </c:pt>
                <c:pt idx="16">
                  <c:v>1.1202829894021613</c:v>
                </c:pt>
                <c:pt idx="17">
                  <c:v>1.1429013965844936</c:v>
                </c:pt>
                <c:pt idx="18">
                  <c:v>1.1555542679290658</c:v>
                </c:pt>
                <c:pt idx="19">
                  <c:v>1.1679831946480703</c:v>
                </c:pt>
                <c:pt idx="20">
                  <c:v>1.1801881767415072</c:v>
                </c:pt>
                <c:pt idx="21">
                  <c:v>1.192169214209376</c:v>
                </c:pt>
                <c:pt idx="22">
                  <c:v>1.2039263070516777</c:v>
                </c:pt>
                <c:pt idx="23">
                  <c:v>1.2154594552684117</c:v>
                </c:pt>
                <c:pt idx="24">
                  <c:v>1.2174749568985204</c:v>
                </c:pt>
                <c:pt idx="25">
                  <c:v>1.2147596283135127</c:v>
                </c:pt>
                <c:pt idx="26">
                  <c:v>1.211988313572113</c:v>
                </c:pt>
                <c:pt idx="27">
                  <c:v>1.2045981409283806</c:v>
                </c:pt>
                <c:pt idx="28">
                  <c:v>1.1972079682846484</c:v>
                </c:pt>
                <c:pt idx="29">
                  <c:v>1.1898177956409157</c:v>
                </c:pt>
                <c:pt idx="30">
                  <c:v>1.1824276229971835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92-1341-9757-6930C2354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3569887"/>
        <c:axId val="2083723951"/>
      </c:scatterChart>
      <c:valAx>
        <c:axId val="2083569887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Strain,</a:t>
                </a:r>
                <a:r>
                  <a:rPr lang="en-US" baseline="0"/>
                  <a:t> </a:t>
                </a:r>
                <a:r>
                  <a:rPr lang="en-US"/>
                  <a:t>ε (%)</a:t>
                </a:r>
              </a:p>
            </c:rich>
          </c:tx>
          <c:layout>
            <c:manualLayout>
              <c:xMode val="edge"/>
              <c:yMode val="edge"/>
              <c:x val="0.45041466293374904"/>
              <c:y val="0.9186363825516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723951"/>
        <c:crosses val="autoZero"/>
        <c:crossBetween val="midCat"/>
        <c:majorUnit val="10"/>
        <c:minorUnit val="5"/>
      </c:valAx>
      <c:valAx>
        <c:axId val="2083723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Deviator</a:t>
                </a:r>
                <a:r>
                  <a:rPr lang="en-US" baseline="0"/>
                  <a:t> Stress, </a:t>
                </a:r>
                <a:r>
                  <a:rPr lang="el-GR" baseline="0"/>
                  <a:t>Δσ</a:t>
                </a:r>
                <a:r>
                  <a:rPr lang="en-US" baseline="0"/>
                  <a:t> (kg/cm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358653793782128E-3"/>
              <c:y val="0.184423586013950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5698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Strain (%)</a:t>
            </a:r>
          </a:p>
        </c:rich>
      </c:tx>
      <c:layout>
        <c:manualLayout>
          <c:xMode val="edge"/>
          <c:yMode val="edge"/>
          <c:x val="0.46481559249538251"/>
          <c:y val="0.94444608486439197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89199754286034"/>
          <c:y val="2.6041710818330246E-2"/>
          <c:w val="0.76654875840679215"/>
          <c:h val="0.82956672625334249"/>
        </c:manualLayout>
      </c:layout>
      <c:scatterChart>
        <c:scatterStyle val="lineMarker"/>
        <c:varyColors val="0"/>
        <c:ser>
          <c:idx val="0"/>
          <c:order val="0"/>
          <c:tx>
            <c:v>Undisturbed</c:v>
          </c:tx>
          <c:marker>
            <c:symbol val="none"/>
          </c:marker>
          <c:xVal>
            <c:numRef>
              <c:f>[0]!X_UCS_Undisturbed</c:f>
              <c:numCache>
                <c:formatCode>0.000</c:formatCode>
                <c:ptCount val="2"/>
                <c:pt idx="0">
                  <c:v>0</c:v>
                </c:pt>
                <c:pt idx="1">
                  <c:v>0.6578947368421052</c:v>
                </c:pt>
              </c:numCache>
            </c:numRef>
          </c:xVal>
          <c:yVal>
            <c:numRef>
              <c:f>[0]!Y_UCS_Undisturbed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4-4A16-A72D-A49152D31632}"/>
            </c:ext>
          </c:extLst>
        </c:ser>
        <c:ser>
          <c:idx val="1"/>
          <c:order val="1"/>
          <c:tx>
            <c:v>Remolded</c:v>
          </c:tx>
          <c:spPr>
            <a:ln w="25400">
              <a:solidFill>
                <a:srgbClr val="FF0000"/>
              </a:solidFill>
              <a:prstDash val="dash"/>
            </a:ln>
          </c:spPr>
          <c:marker>
            <c:symbol val="none"/>
          </c:marker>
          <c:xVal>
            <c:numRef>
              <c:f>[0]!X_UCS_Remoulded</c:f>
              <c:numCache>
                <c:formatCode>0.000</c:formatCode>
                <c:ptCount val="2"/>
                <c:pt idx="0">
                  <c:v>0</c:v>
                </c:pt>
                <c:pt idx="1">
                  <c:v>0.6578947368421052</c:v>
                </c:pt>
              </c:numCache>
            </c:numRef>
          </c:xVal>
          <c:yVal>
            <c:numRef>
              <c:f>[0]!Y_UCS_Remoulded</c:f>
              <c:numCache>
                <c:formatCode>0.000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4-4A16-A72D-A49152D31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832176"/>
        <c:axId val="1"/>
      </c:scatterChart>
      <c:valAx>
        <c:axId val="451832176"/>
        <c:scaling>
          <c:orientation val="minMax"/>
          <c:max val="40"/>
        </c:scaling>
        <c:delete val="0"/>
        <c:axPos val="b"/>
        <c:majorGridlines/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Deviator stress (kg/cm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125005468066491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5183217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portrait" horizontalDpi="360" verticalDpi="360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MOHR CIRCLES</a:t>
            </a:r>
          </a:p>
        </c:rich>
      </c:tx>
      <c:layout>
        <c:manualLayout>
          <c:xMode val="edge"/>
          <c:yMode val="edge"/>
          <c:x val="0.41275913868536085"/>
          <c:y val="3.07568239281604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7892501140645752E-2"/>
          <c:y val="9.991211772685718E-2"/>
          <c:w val="0.87036435576749027"/>
          <c:h val="0.78606102443860704"/>
        </c:manualLayout>
      </c:layout>
      <c:scatterChart>
        <c:scatterStyle val="lineMarker"/>
        <c:varyColors val="0"/>
        <c:ser>
          <c:idx val="2"/>
          <c:order val="0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UCS!$BT$3:$BT$25</c:f>
              <c:numCache>
                <c:formatCode>0.00</c:formatCode>
                <c:ptCount val="23"/>
              </c:numCache>
            </c:numRef>
          </c:xVal>
          <c:yVal>
            <c:numRef>
              <c:f>UCS!$BU$3:$BU$25</c:f>
              <c:numCache>
                <c:formatCode>0.00</c:formatCode>
                <c:ptCount val="23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20A-4055-9DCF-70210FBB9D79}"/>
            </c:ext>
          </c:extLst>
        </c:ser>
        <c:ser>
          <c:idx val="0"/>
          <c:order val="1"/>
          <c:marker>
            <c:symbol val="none"/>
          </c:marker>
          <c:xVal>
            <c:numRef>
              <c:f>UCS!$BP$3:$BP$25</c:f>
              <c:numCache>
                <c:formatCode>0.00</c:formatCode>
                <c:ptCount val="2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</c:numCache>
            </c:numRef>
          </c:xVal>
          <c:yVal>
            <c:numRef>
              <c:f>UCS!$BQ$3:$BQ$25</c:f>
              <c:numCache>
                <c:formatCode>0.00</c:formatCode>
                <c:ptCount val="2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20A-4055-9DCF-70210FBB9D79}"/>
            </c:ext>
          </c:extLst>
        </c:ser>
        <c:ser>
          <c:idx val="3"/>
          <c:order val="2"/>
          <c:spPr>
            <a:ln w="15875">
              <a:solidFill>
                <a:srgbClr val="FF0000"/>
              </a:solidFill>
              <a:prstDash val="lgDash"/>
            </a:ln>
          </c:spPr>
          <c:marker>
            <c:symbol val="none"/>
          </c:marker>
          <c:xVal>
            <c:numRef>
              <c:f>UCS!$BL$3:$BL$25</c:f>
              <c:numCache>
                <c:formatCode>0.00</c:formatCode>
                <c:ptCount val="2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 formatCode="0">
                  <c:v>0</c:v>
                </c:pt>
                <c:pt idx="8" formatCode="0">
                  <c:v>0</c:v>
                </c:pt>
                <c:pt idx="9" formatCode="0">
                  <c:v>0</c:v>
                </c:pt>
                <c:pt idx="10" formatCode="0">
                  <c:v>0</c:v>
                </c:pt>
                <c:pt idx="11" formatCode="0">
                  <c:v>0</c:v>
                </c:pt>
                <c:pt idx="12" formatCode="0">
                  <c:v>0</c:v>
                </c:pt>
                <c:pt idx="13" formatCode="0">
                  <c:v>0</c:v>
                </c:pt>
                <c:pt idx="14" formatCode="0">
                  <c:v>0</c:v>
                </c:pt>
                <c:pt idx="15" formatCode="0">
                  <c:v>0</c:v>
                </c:pt>
                <c:pt idx="16" formatCode="0">
                  <c:v>0</c:v>
                </c:pt>
                <c:pt idx="17" formatCode="0">
                  <c:v>0</c:v>
                </c:pt>
                <c:pt idx="18" formatCode="0">
                  <c:v>0</c:v>
                </c:pt>
                <c:pt idx="19" formatCode="0">
                  <c:v>0</c:v>
                </c:pt>
                <c:pt idx="20" formatCode="0">
                  <c:v>0</c:v>
                </c:pt>
                <c:pt idx="21" formatCode="0">
                  <c:v>0</c:v>
                </c:pt>
                <c:pt idx="22" formatCode="0">
                  <c:v>0</c:v>
                </c:pt>
              </c:numCache>
            </c:numRef>
          </c:xVal>
          <c:yVal>
            <c:numRef>
              <c:f>UCS!$BM$3:$BM$25</c:f>
              <c:numCache>
                <c:formatCode>0.00</c:formatCode>
                <c:ptCount val="23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20A-4055-9DCF-70210FBB9D79}"/>
            </c:ext>
          </c:extLst>
        </c:ser>
        <c:ser>
          <c:idx val="4"/>
          <c:order val="3"/>
          <c:spPr>
            <a:ln w="28575">
              <a:noFill/>
            </a:ln>
          </c:spPr>
          <c:marker>
            <c:symbol val="none"/>
          </c:marker>
          <c:trendline>
            <c:spPr>
              <a:ln w="3175">
                <a:solidFill>
                  <a:srgbClr val="000000"/>
                </a:solidFill>
                <a:prstDash val="solid"/>
              </a:ln>
            </c:spPr>
            <c:trendlineType val="linear"/>
            <c:forward val="40"/>
            <c:dispRSqr val="0"/>
            <c:dispEq val="0"/>
          </c:trendline>
          <c:xVal>
            <c:numRef>
              <c:f>UCS!$BL$38:$BL$39</c:f>
              <c:numCache>
                <c:formatCode>0.0</c:formatCode>
                <c:ptCount val="2"/>
              </c:numCache>
            </c:numRef>
          </c:xVal>
          <c:yVal>
            <c:numRef>
              <c:f>UCS!$BM$38:$BM$39</c:f>
              <c:numCache>
                <c:formatCode>0.0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0A-4055-9DCF-70210FBB9D79}"/>
            </c:ext>
          </c:extLst>
        </c:ser>
        <c:ser>
          <c:idx val="5"/>
          <c:order val="4"/>
          <c:spPr>
            <a:ln w="28575">
              <a:noFill/>
            </a:ln>
          </c:spPr>
          <c:marker>
            <c:symbol val="none"/>
          </c:marker>
          <c:xVal>
            <c:numRef>
              <c:f>UCS!$BK$35:$BK$36</c:f>
              <c:numCache>
                <c:formatCode>0</c:formatCode>
                <c:ptCount val="2"/>
              </c:numCache>
            </c:numRef>
          </c:xVal>
          <c:yVal>
            <c:numRef>
              <c:f>UCS!$BL$35:$BL$36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0A-4055-9DCF-70210FBB9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847056"/>
        <c:axId val="1"/>
      </c:scatterChart>
      <c:valAx>
        <c:axId val="451847056"/>
        <c:scaling>
          <c:orientation val="minMax"/>
          <c:min val="0.4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Normal stress (kg/cm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0.38431925387358118"/>
              <c:y val="0.9551377898912503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8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Shear stress (kg/cm</a:t>
                </a:r>
                <a:r>
                  <a:rPr lang="en-US" baseline="30000"/>
                  <a:t>2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1.288306349114338E-3"/>
              <c:y val="0.3046731625236574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451847056"/>
        <c:crosses val="autoZero"/>
        <c:crossBetween val="midCat"/>
      </c:valAx>
      <c:spPr>
        <a:noFill/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orientation="landscape" horizontalDpi="-3" verticalDpi="-3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29888072104481E-2"/>
          <c:y val="3.9864307262780264E-2"/>
          <c:w val="0.87655212482287748"/>
          <c:h val="0.82849901323711872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DS!$AA$48:$AA$51</c:f>
              <c:numCache>
                <c:formatCode>0.000</c:formatCode>
                <c:ptCount val="4"/>
                <c:pt idx="0">
                  <c:v>0</c:v>
                </c:pt>
                <c:pt idx="1">
                  <c:v>0.36085874024622272</c:v>
                </c:pt>
                <c:pt idx="2">
                  <c:v>0.72171748049244544</c:v>
                </c:pt>
                <c:pt idx="3">
                  <c:v>1.4434349609848909</c:v>
                </c:pt>
              </c:numCache>
            </c:numRef>
          </c:xVal>
          <c:yVal>
            <c:numRef>
              <c:f>DS!$AB$48:$AB$51</c:f>
              <c:numCache>
                <c:formatCode>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F-44FE-BEF8-E03F1ECAF534}"/>
            </c:ext>
          </c:extLst>
        </c:ser>
        <c:ser>
          <c:idx val="1"/>
          <c:order val="1"/>
          <c:tx>
            <c:v>Line friction</c:v>
          </c:tx>
          <c:spPr>
            <a:ln w="158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DS!$AF$51:$AF$52</c:f>
              <c:numCache>
                <c:formatCode>0.000</c:formatCode>
                <c:ptCount val="2"/>
                <c:pt idx="0">
                  <c:v>0</c:v>
                </c:pt>
                <c:pt idx="1">
                  <c:v>1.4434349609848909</c:v>
                </c:pt>
              </c:numCache>
            </c:numRef>
          </c:xVal>
          <c:yVal>
            <c:numRef>
              <c:f>DS!$AG$51:$AG$52</c:f>
              <c:numCache>
                <c:formatCode>0.000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2F-44FE-BEF8-E03F1ECAF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8336720"/>
        <c:axId val="326848512"/>
      </c:scatterChart>
      <c:valAx>
        <c:axId val="348336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Tegangan Normal/Normal Stress (kg/cm2)</a:t>
                </a:r>
              </a:p>
            </c:rich>
          </c:tx>
          <c:layout>
            <c:manualLayout>
              <c:xMode val="edge"/>
              <c:yMode val="edge"/>
              <c:x val="0.35293626061084943"/>
              <c:y val="0.950317385827549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26848512"/>
        <c:crosses val="autoZero"/>
        <c:crossBetween val="midCat"/>
      </c:valAx>
      <c:valAx>
        <c:axId val="326848512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US"/>
                  <a:t>Tegangan Gesr/Shhear Stress (kg/cm2)</a:t>
                </a:r>
              </a:p>
            </c:rich>
          </c:tx>
          <c:layout>
            <c:manualLayout>
              <c:xMode val="edge"/>
              <c:yMode val="edge"/>
              <c:x val="1.4016694602430209E-3"/>
              <c:y val="0.212019959081515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48336720"/>
        <c:crosses val="autoZero"/>
        <c:crossBetween val="midCat"/>
        <c:majorUnit val="0.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DS!$AA$12:$AA$44</c:f>
              <c:numCache>
                <c:formatCode>0.00</c:formatCode>
                <c:ptCount val="3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</c:numCache>
            </c:numRef>
          </c:xVal>
          <c:yVal>
            <c:numRef>
              <c:f>DS!$AE$12:$AE$44</c:f>
              <c:numCache>
                <c:formatCode>0.000</c:formatCode>
                <c:ptCount val="3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DE-48EA-ADB0-15F574C43AC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DS!$AA$12:$AA$44</c:f>
              <c:numCache>
                <c:formatCode>0.00</c:formatCode>
                <c:ptCount val="3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</c:numCache>
            </c:numRef>
          </c:xVal>
          <c:yVal>
            <c:numRef>
              <c:f>DS!$AF$12:$AF$44</c:f>
              <c:numCache>
                <c:formatCode>0.000</c:formatCode>
                <c:ptCount val="3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3DE-48EA-ADB0-15F574C43AC9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DS!$AA$12:$AA$44</c:f>
              <c:numCache>
                <c:formatCode>0.00</c:formatCode>
                <c:ptCount val="33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0.60000000000000009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1.5999999999999999</c:v>
                </c:pt>
                <c:pt idx="9">
                  <c:v>1.7999999999999998</c:v>
                </c:pt>
                <c:pt idx="10">
                  <c:v>1.9999999999999998</c:v>
                </c:pt>
                <c:pt idx="11">
                  <c:v>2.1999999999999997</c:v>
                </c:pt>
                <c:pt idx="12">
                  <c:v>2.4</c:v>
                </c:pt>
                <c:pt idx="13">
                  <c:v>2.6</c:v>
                </c:pt>
                <c:pt idx="14">
                  <c:v>2.8000000000000003</c:v>
                </c:pt>
                <c:pt idx="15">
                  <c:v>3.0000000000000004</c:v>
                </c:pt>
                <c:pt idx="16">
                  <c:v>3.2000000000000006</c:v>
                </c:pt>
                <c:pt idx="17">
                  <c:v>3.4000000000000008</c:v>
                </c:pt>
                <c:pt idx="18">
                  <c:v>3.600000000000001</c:v>
                </c:pt>
                <c:pt idx="19">
                  <c:v>3.8000000000000012</c:v>
                </c:pt>
                <c:pt idx="20">
                  <c:v>4.0000000000000009</c:v>
                </c:pt>
                <c:pt idx="21">
                  <c:v>4.2000000000000011</c:v>
                </c:pt>
                <c:pt idx="22">
                  <c:v>4.4000000000000012</c:v>
                </c:pt>
                <c:pt idx="23">
                  <c:v>4.6000000000000014</c:v>
                </c:pt>
                <c:pt idx="24">
                  <c:v>4.8000000000000016</c:v>
                </c:pt>
                <c:pt idx="25">
                  <c:v>5.0000000000000018</c:v>
                </c:pt>
                <c:pt idx="26">
                  <c:v>5.200000000000002</c:v>
                </c:pt>
                <c:pt idx="27">
                  <c:v>5.4000000000000021</c:v>
                </c:pt>
                <c:pt idx="28">
                  <c:v>5.6000000000000023</c:v>
                </c:pt>
                <c:pt idx="29">
                  <c:v>5.8000000000000025</c:v>
                </c:pt>
                <c:pt idx="30">
                  <c:v>6.0000000000000027</c:v>
                </c:pt>
                <c:pt idx="31">
                  <c:v>6.2000000000000028</c:v>
                </c:pt>
                <c:pt idx="32">
                  <c:v>6.400000000000003</c:v>
                </c:pt>
              </c:numCache>
            </c:numRef>
          </c:xVal>
          <c:yVal>
            <c:numRef>
              <c:f>DS!$AG$12:$AG$44</c:f>
              <c:numCache>
                <c:formatCode>0.000</c:formatCode>
                <c:ptCount val="3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DE-48EA-ADB0-15F574C43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647648"/>
        <c:axId val="319597200"/>
      </c:scatterChart>
      <c:valAx>
        <c:axId val="1366647648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Dispalcement</a:t>
                </a:r>
                <a:r>
                  <a:rPr lang="en-US" baseline="0"/>
                  <a:t> (in 0.02 mm)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9597200"/>
        <c:crosses val="autoZero"/>
        <c:crossBetween val="midCat"/>
        <c:majorUnit val="1"/>
      </c:valAx>
      <c:valAx>
        <c:axId val="319597200"/>
        <c:scaling>
          <c:orientation val="minMax"/>
          <c:max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Shear Strength</a:t>
                </a:r>
                <a:r>
                  <a:rPr lang="en-US" baseline="0"/>
                  <a:t> (kg/cm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647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/>
              <a:t>Saturation Build - Up</a:t>
            </a:r>
          </a:p>
        </c:rich>
      </c:tx>
      <c:layout>
        <c:manualLayout>
          <c:xMode val="edge"/>
          <c:yMode val="edge"/>
          <c:x val="0.39390664850245188"/>
          <c:y val="2.9787234042553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51188798110204E-2"/>
          <c:y val="0.16382978723404254"/>
          <c:w val="0.88248142644084226"/>
          <c:h val="0.6851063829787233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Saturasi'!$T$33:$T$38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240</c:v>
                </c:pt>
                <c:pt idx="5">
                  <c:v>390</c:v>
                </c:pt>
              </c:numCache>
            </c:numRef>
          </c:xVal>
          <c:yVal>
            <c:numRef>
              <c:f>'CU_Multi Saturasi'!$U$33:$U$38</c:f>
              <c:numCache>
                <c:formatCode>0.00</c:formatCode>
                <c:ptCount val="6"/>
                <c:pt idx="0">
                  <c:v>0.24</c:v>
                </c:pt>
                <c:pt idx="1">
                  <c:v>0.38</c:v>
                </c:pt>
                <c:pt idx="2">
                  <c:v>0.62</c:v>
                </c:pt>
                <c:pt idx="3">
                  <c:v>0.86</c:v>
                </c:pt>
                <c:pt idx="4">
                  <c:v>0.96499999999999986</c:v>
                </c:pt>
                <c:pt idx="5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77-419E-824F-01A58B50C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2271"/>
        <c:axId val="1"/>
      </c:scatterChart>
      <c:valAx>
        <c:axId val="31292271"/>
        <c:scaling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Cell Pressure (kN/m2)</a:t>
                </a:r>
              </a:p>
            </c:rich>
          </c:tx>
          <c:layout>
            <c:manualLayout>
              <c:xMode val="edge"/>
              <c:yMode val="edge"/>
              <c:x val="0.4439610554665433"/>
              <c:y val="0.91702127659574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B Value</a:t>
                </a:r>
              </a:p>
            </c:rich>
          </c:tx>
          <c:layout>
            <c:manualLayout>
              <c:xMode val="edge"/>
              <c:yMode val="edge"/>
              <c:x val="1.7410228509249184E-2"/>
              <c:y val="0.446808510638297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9227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/>
              <a:t>Saturation Build - Up</a:t>
            </a:r>
          </a:p>
        </c:rich>
      </c:tx>
      <c:layout>
        <c:manualLayout>
          <c:xMode val="edge"/>
          <c:yMode val="edge"/>
          <c:x val="0.39390664850245188"/>
          <c:y val="2.9787234042553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51188798110204E-2"/>
          <c:y val="0.16382978723404254"/>
          <c:w val="0.88465770616079498"/>
          <c:h val="0.6851063829787233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Saturasi'!$T$110:$T$115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'CU_Multi Saturasi'!$U$110:$U$115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6C-4566-AE6E-2CE85C0C70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2719"/>
        <c:axId val="1"/>
      </c:scatterChart>
      <c:valAx>
        <c:axId val="31272719"/>
        <c:scaling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Cell Pressure (kN/m2)</a:t>
                </a:r>
              </a:p>
            </c:rich>
          </c:tx>
          <c:layout>
            <c:manualLayout>
              <c:xMode val="edge"/>
              <c:yMode val="edge"/>
              <c:x val="0.44504919474837135"/>
              <c:y val="0.91702127659574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B Value</a:t>
                </a:r>
              </a:p>
            </c:rich>
          </c:tx>
          <c:layout>
            <c:manualLayout>
              <c:xMode val="edge"/>
              <c:yMode val="edge"/>
              <c:x val="1.7410228509249184E-2"/>
              <c:y val="0.446808510638297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7271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/>
              <a:t>Saturation Build - Up</a:t>
            </a:r>
          </a:p>
        </c:rich>
      </c:tx>
      <c:layout>
        <c:manualLayout>
          <c:xMode val="edge"/>
          <c:yMode val="edge"/>
          <c:x val="0.39390664850245188"/>
          <c:y val="2.9787234042553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51188798110204E-2"/>
          <c:y val="0.16382978723404254"/>
          <c:w val="0.88465770616079498"/>
          <c:h val="0.6851063829787233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Saturasi'!$T$187:$T$192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'CU_Multi Saturasi'!$U$187:$U$192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14D-45D3-B008-D8895A896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6879"/>
        <c:axId val="1"/>
      </c:scatterChart>
      <c:valAx>
        <c:axId val="31276879"/>
        <c:scaling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Cell Pressure (kN/m2)</a:t>
                </a:r>
              </a:p>
            </c:rich>
          </c:tx>
          <c:layout>
            <c:manualLayout>
              <c:xMode val="edge"/>
              <c:yMode val="edge"/>
              <c:x val="0.44504919474837135"/>
              <c:y val="0.91702127659574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B Value</a:t>
                </a:r>
              </a:p>
            </c:rich>
          </c:tx>
          <c:layout>
            <c:manualLayout>
              <c:xMode val="edge"/>
              <c:yMode val="edge"/>
              <c:x val="1.7410228509249184E-2"/>
              <c:y val="0.446808510638297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7687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60625814863103"/>
          <c:y val="4.5584172409667716E-2"/>
          <c:w val="0.87092568448500651"/>
          <c:h val="0.76353488786193424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rgbClr val="000080"/>
              </a:solidFill>
              <a:prstDash val="solid"/>
            </a:ln>
          </c:spPr>
          <c:marker>
            <c:symbol val="circle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Consol'!$G$25:$G$38</c:f>
              <c:numCache>
                <c:formatCode>0.0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Consol'!$I$25:$I$38</c:f>
              <c:numCache>
                <c:formatCode>0.00</c:formatCode>
                <c:ptCount val="14"/>
                <c:pt idx="0">
                  <c:v>0</c:v>
                </c:pt>
                <c:pt idx="1">
                  <c:v>0.29999999999999716</c:v>
                </c:pt>
                <c:pt idx="2">
                  <c:v>0.5</c:v>
                </c:pt>
                <c:pt idx="3">
                  <c:v>0.69999999999999574</c:v>
                </c:pt>
                <c:pt idx="4">
                  <c:v>0.89999999999999858</c:v>
                </c:pt>
                <c:pt idx="5">
                  <c:v>1</c:v>
                </c:pt>
                <c:pt idx="6">
                  <c:v>1.1000000000000014</c:v>
                </c:pt>
                <c:pt idx="7">
                  <c:v>1.2999999999999972</c:v>
                </c:pt>
                <c:pt idx="8">
                  <c:v>1.3999999999999986</c:v>
                </c:pt>
                <c:pt idx="9">
                  <c:v>1.5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389-42AB-9946-2CD50CC13EA7}"/>
            </c:ext>
          </c:extLst>
        </c:ser>
        <c:ser>
          <c:idx val="1"/>
          <c:order val="1"/>
          <c:tx>
            <c:v>Garis 1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12700"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80C8-4FC4-8BF4-BD9A00770ADB}"/>
              </c:ext>
            </c:extLst>
          </c:dPt>
          <c:xVal>
            <c:numRef>
              <c:f>'Cu_Multi Consol'!$Q$51:$Q$52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8.6999999999999993</c:v>
                </c:pt>
              </c:numCache>
            </c:numRef>
          </c:xVal>
          <c:yVal>
            <c:numRef>
              <c:f>'Cu_Multi Consol'!$R$51:$R$52</c:f>
              <c:numCache>
                <c:formatCode>0.00</c:formatCode>
                <c:ptCount val="2"/>
                <c:pt idx="0" formatCode="General">
                  <c:v>0.7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0C8-4FC4-8BF4-BD9A00770ADB}"/>
            </c:ext>
          </c:extLst>
        </c:ser>
        <c:ser>
          <c:idx val="2"/>
          <c:order val="2"/>
          <c:tx>
            <c:v>Garis 1,15</c:v>
          </c:tx>
          <c:spPr>
            <a:ln w="12700">
              <a:solidFill>
                <a:srgbClr val="FF0000"/>
              </a:solidFill>
              <a:prstDash val="sysDash"/>
            </a:ln>
          </c:spPr>
          <c:dPt>
            <c:idx val="1"/>
            <c:marker>
              <c:symbol val="none"/>
            </c:marker>
            <c:bubble3D val="0"/>
            <c:spPr>
              <a:ln w="12700">
                <a:solidFill>
                  <a:schemeClr val="accent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7-80C8-4FC4-8BF4-BD9A00770ADB}"/>
              </c:ext>
            </c:extLst>
          </c:dPt>
          <c:xVal>
            <c:numRef>
              <c:f>'Cu_Multi Consol'!$Q$56:$Q$57</c:f>
              <c:numCache>
                <c:formatCode>General</c:formatCode>
                <c:ptCount val="2"/>
                <c:pt idx="0">
                  <c:v>0</c:v>
                </c:pt>
                <c:pt idx="1">
                  <c:v>10.004999999999999</c:v>
                </c:pt>
              </c:numCache>
            </c:numRef>
          </c:xVal>
          <c:yVal>
            <c:numRef>
              <c:f>'Cu_Multi Consol'!$R$56:$R$57</c:f>
              <c:numCache>
                <c:formatCode>General</c:formatCode>
                <c:ptCount val="2"/>
                <c:pt idx="0">
                  <c:v>0.7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0C8-4FC4-8BF4-BD9A00770ADB}"/>
            </c:ext>
          </c:extLst>
        </c:ser>
        <c:ser>
          <c:idx val="3"/>
          <c:order val="3"/>
          <c:tx>
            <c:v>t90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'Cu_Multi Consol'!$Q$61:$Q$63</c:f>
              <c:numCache>
                <c:formatCode>General</c:formatCode>
                <c:ptCount val="3"/>
                <c:pt idx="0">
                  <c:v>0</c:v>
                </c:pt>
                <c:pt idx="1">
                  <c:v>6.2</c:v>
                </c:pt>
                <c:pt idx="2">
                  <c:v>6.2</c:v>
                </c:pt>
              </c:numCache>
            </c:numRef>
          </c:xVal>
          <c:yVal>
            <c:numRef>
              <c:f>'Cu_Multi Consol'!$R$61:$R$63</c:f>
              <c:numCache>
                <c:formatCode>0.000</c:formatCode>
                <c:ptCount val="3"/>
                <c:pt idx="0">
                  <c:v>1.5</c:v>
                </c:pt>
                <c:pt idx="1">
                  <c:v>1.5</c:v>
                </c:pt>
                <c:pt idx="2" formatCode="0.0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0C8-4FC4-8BF4-BD9A0077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8671"/>
        <c:axId val="1"/>
      </c:scatterChart>
      <c:valAx>
        <c:axId val="26438671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Squart root time</a:t>
                </a:r>
              </a:p>
            </c:rich>
          </c:tx>
          <c:layout>
            <c:manualLayout>
              <c:xMode val="edge"/>
              <c:yMode val="edge"/>
              <c:x val="0.46544980443285527"/>
              <c:y val="0.9059852988461912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axMin"/>
          <c:max val="2.1"/>
          <c:min val="0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Volume change ( cm3)</a:t>
                </a:r>
              </a:p>
            </c:rich>
          </c:tx>
          <c:layout>
            <c:manualLayout>
              <c:xMode val="edge"/>
              <c:yMode val="edge"/>
              <c:x val="1.5645371577574969E-2"/>
              <c:y val="0.18233678055200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438671"/>
        <c:crosses val="autoZero"/>
        <c:crossBetween val="midCat"/>
        <c:maj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0247718383312"/>
          <c:y val="4.5584172409667716E-2"/>
          <c:w val="0.8722294654498044"/>
          <c:h val="0.76353488786193424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Consol'!$G$89:$G$103</c:f>
              <c:numCache>
                <c:formatCode>0.0</c:formatCode>
                <c:ptCount val="15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Consol'!$I$89:$I$103</c:f>
              <c:numCache>
                <c:formatCode>0.00</c:formatCode>
                <c:ptCount val="15"/>
                <c:pt idx="0">
                  <c:v>0</c:v>
                </c:pt>
                <c:pt idx="1">
                  <c:v>0.39999999999999858</c:v>
                </c:pt>
                <c:pt idx="2">
                  <c:v>0.59999999999999432</c:v>
                </c:pt>
                <c:pt idx="3">
                  <c:v>0.79999999999999716</c:v>
                </c:pt>
                <c:pt idx="4">
                  <c:v>0.99999999999999645</c:v>
                </c:pt>
                <c:pt idx="5">
                  <c:v>1.1999999999999957</c:v>
                </c:pt>
                <c:pt idx="6">
                  <c:v>1.4999999999999964</c:v>
                </c:pt>
                <c:pt idx="7">
                  <c:v>1.5999999999999979</c:v>
                </c:pt>
                <c:pt idx="8">
                  <c:v>1.6999999999999957</c:v>
                </c:pt>
                <c:pt idx="9">
                  <c:v>1.6999999999999957</c:v>
                </c:pt>
                <c:pt idx="10">
                  <c:v>1.6999999999999957</c:v>
                </c:pt>
                <c:pt idx="11">
                  <c:v>1.6999999999999957</c:v>
                </c:pt>
                <c:pt idx="12">
                  <c:v>1.6999999999999957</c:v>
                </c:pt>
                <c:pt idx="13">
                  <c:v>1.6999999999999957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16-4A81-A8F9-F0754FD3C19D}"/>
            </c:ext>
          </c:extLst>
        </c:ser>
        <c:ser>
          <c:idx val="1"/>
          <c:order val="1"/>
          <c:tx>
            <c:v>Garis 1</c:v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'Cu_Multi Consol'!$Q$115:$Q$116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6.7</c:v>
                </c:pt>
              </c:numCache>
            </c:numRef>
          </c:xVal>
          <c:yVal>
            <c:numRef>
              <c:f>'Cu_Multi Consol'!$R$115:$R$116</c:f>
              <c:numCache>
                <c:formatCode>0.00</c:formatCode>
                <c:ptCount val="2"/>
                <c:pt idx="0" formatCode="General">
                  <c:v>0.8</c:v>
                </c:pt>
                <c:pt idx="1">
                  <c:v>2.1999999999999957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E2-4BC5-8D53-75F6BFFBD312}"/>
            </c:ext>
          </c:extLst>
        </c:ser>
        <c:ser>
          <c:idx val="2"/>
          <c:order val="2"/>
          <c:tx>
            <c:v>Garis 1,15</c:v>
          </c:tx>
          <c:marker>
            <c:symbol val="none"/>
          </c:marker>
          <c:dPt>
            <c:idx val="1"/>
            <c:bubble3D val="0"/>
            <c:spPr>
              <a:ln>
                <a:solidFill>
                  <a:schemeClr val="accent2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86E2-4BC5-8D53-75F6BFFBD312}"/>
              </c:ext>
            </c:extLst>
          </c:dPt>
          <c:xVal>
            <c:numRef>
              <c:f>'Cu_Multi Consol'!$Q$120:$Q$121</c:f>
              <c:numCache>
                <c:formatCode>General</c:formatCode>
                <c:ptCount val="2"/>
                <c:pt idx="0">
                  <c:v>0</c:v>
                </c:pt>
                <c:pt idx="1">
                  <c:v>7.7049999999999992</c:v>
                </c:pt>
              </c:numCache>
            </c:numRef>
          </c:xVal>
          <c:yVal>
            <c:numRef>
              <c:f>'Cu_Multi Consol'!$R$120:$R$121</c:f>
              <c:numCache>
                <c:formatCode>General</c:formatCode>
                <c:ptCount val="2"/>
                <c:pt idx="0">
                  <c:v>0.8</c:v>
                </c:pt>
                <c:pt idx="1">
                  <c:v>2.1999999999999957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E2-4BC5-8D53-75F6BFFBD312}"/>
            </c:ext>
          </c:extLst>
        </c:ser>
        <c:ser>
          <c:idx val="3"/>
          <c:order val="3"/>
          <c:tx>
            <c:v>t90</c:v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'Cu_Multi Consol'!$Q$125:$Q$127</c:f>
              <c:numCache>
                <c:formatCode>General</c:formatCode>
                <c:ptCount val="3"/>
                <c:pt idx="0">
                  <c:v>0</c:v>
                </c:pt>
                <c:pt idx="1">
                  <c:v>5</c:v>
                </c:pt>
                <c:pt idx="2">
                  <c:v>5</c:v>
                </c:pt>
              </c:numCache>
            </c:numRef>
          </c:xVal>
          <c:yVal>
            <c:numRef>
              <c:f>'Cu_Multi Consol'!$R$125:$R$127</c:f>
              <c:numCache>
                <c:formatCode>0.000</c:formatCode>
                <c:ptCount val="3"/>
                <c:pt idx="0">
                  <c:v>1.6999999999999957</c:v>
                </c:pt>
                <c:pt idx="1">
                  <c:v>1.6999999999999957</c:v>
                </c:pt>
                <c:pt idx="2" formatCode="0.0">
                  <c:v>2.1999999999999957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E2-4BC5-8D53-75F6BFFBD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1999"/>
        <c:axId val="1"/>
      </c:scatterChart>
      <c:valAx>
        <c:axId val="26441999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Squart root time</a:t>
                </a:r>
              </a:p>
            </c:rich>
          </c:tx>
          <c:layout>
            <c:manualLayout>
              <c:xMode val="edge"/>
              <c:yMode val="edge"/>
              <c:x val="0.46284224250325945"/>
              <c:y val="0.9031362959971883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axMin"/>
          <c:max val="2.2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Volume change ( cm3)</a:t>
                </a:r>
              </a:p>
            </c:rich>
          </c:tx>
          <c:layout>
            <c:manualLayout>
              <c:xMode val="edge"/>
              <c:yMode val="edge"/>
              <c:x val="1.4341590612777053E-2"/>
              <c:y val="0.18233678055200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6441999"/>
        <c:crosses val="autoZero"/>
        <c:crossBetween val="midCat"/>
        <c:maj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47979139504563E-2"/>
          <c:y val="4.5584172409667716E-2"/>
          <c:w val="0.88005215123859193"/>
          <c:h val="0.76353488786193424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Consol'!$G$153:$G$166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Consol'!$I$153:$I$166</c:f>
              <c:numCache>
                <c:formatCode>0.0</c:formatCode>
                <c:ptCount val="14"/>
                <c:pt idx="0">
                  <c:v>0</c:v>
                </c:pt>
                <c:pt idx="1">
                  <c:v>0.39999999999999858</c:v>
                </c:pt>
                <c:pt idx="2">
                  <c:v>0.59999999999999787</c:v>
                </c:pt>
                <c:pt idx="3">
                  <c:v>0.80000000000000071</c:v>
                </c:pt>
                <c:pt idx="4">
                  <c:v>1.0999999999999979</c:v>
                </c:pt>
                <c:pt idx="5">
                  <c:v>1.3000000000000007</c:v>
                </c:pt>
                <c:pt idx="6">
                  <c:v>1.5</c:v>
                </c:pt>
                <c:pt idx="7">
                  <c:v>1.8000000000000007</c:v>
                </c:pt>
                <c:pt idx="8">
                  <c:v>2</c:v>
                </c:pt>
                <c:pt idx="9">
                  <c:v>2.0999999999999979</c:v>
                </c:pt>
                <c:pt idx="10">
                  <c:v>2.1999999999999993</c:v>
                </c:pt>
                <c:pt idx="11">
                  <c:v>2.1999999999999993</c:v>
                </c:pt>
                <c:pt idx="12">
                  <c:v>2.1999999999999993</c:v>
                </c:pt>
                <c:pt idx="13">
                  <c:v>2.1999999999999993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9C-42A8-83EB-5C860E115D70}"/>
            </c:ext>
          </c:extLst>
        </c:ser>
        <c:ser>
          <c:idx val="1"/>
          <c:order val="1"/>
          <c:tx>
            <c:v>Garis 1</c:v>
          </c:tx>
          <c:xVal>
            <c:numRef>
              <c:f>'Cu_Multi Consol'!$Q$179:$Q$180</c:f>
              <c:numCache>
                <c:formatCode>0.00</c:formatCode>
                <c:ptCount val="2"/>
                <c:pt idx="0" formatCode="General">
                  <c:v>0</c:v>
                </c:pt>
                <c:pt idx="1">
                  <c:v>9.5</c:v>
                </c:pt>
              </c:numCache>
            </c:numRef>
          </c:xVal>
          <c:yVal>
            <c:numRef>
              <c:f>'Cu_Multi Consol'!$R$179:$R$180</c:f>
              <c:numCache>
                <c:formatCode>0.00</c:formatCode>
                <c:ptCount val="2"/>
                <c:pt idx="0" formatCode="General">
                  <c:v>1.1499999999999999</c:v>
                </c:pt>
                <c:pt idx="1">
                  <c:v>2.6999999999999993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0E-4B59-9B84-216DB9F4D8B8}"/>
            </c:ext>
          </c:extLst>
        </c:ser>
        <c:ser>
          <c:idx val="2"/>
          <c:order val="2"/>
          <c:tx>
            <c:v>Garus 1,15</c:v>
          </c:tx>
          <c:xVal>
            <c:numRef>
              <c:f>'Cu_Multi Consol'!$Q$184:$Q$185</c:f>
              <c:numCache>
                <c:formatCode>General</c:formatCode>
                <c:ptCount val="2"/>
                <c:pt idx="0">
                  <c:v>0</c:v>
                </c:pt>
                <c:pt idx="1">
                  <c:v>10.924999999999999</c:v>
                </c:pt>
              </c:numCache>
            </c:numRef>
          </c:xVal>
          <c:yVal>
            <c:numRef>
              <c:f>'Cu_Multi Consol'!$R$184:$R$185</c:f>
              <c:numCache>
                <c:formatCode>General</c:formatCode>
                <c:ptCount val="2"/>
                <c:pt idx="0">
                  <c:v>1.1499999999999999</c:v>
                </c:pt>
                <c:pt idx="1">
                  <c:v>2.6999999999999993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0E-4B59-9B84-216DB9F4D8B8}"/>
            </c:ext>
          </c:extLst>
        </c:ser>
        <c:ser>
          <c:idx val="3"/>
          <c:order val="3"/>
          <c:tx>
            <c:v>t90</c:v>
          </c:tx>
          <c:xVal>
            <c:numRef>
              <c:f>'Cu_Multi Consol'!$Q$189:$Q$191</c:f>
              <c:numCache>
                <c:formatCode>General</c:formatCode>
                <c:ptCount val="3"/>
                <c:pt idx="0">
                  <c:v>0</c:v>
                </c:pt>
                <c:pt idx="1">
                  <c:v>7.5</c:v>
                </c:pt>
                <c:pt idx="2">
                  <c:v>7.5</c:v>
                </c:pt>
              </c:numCache>
            </c:numRef>
          </c:xVal>
          <c:yVal>
            <c:numRef>
              <c:f>'Cu_Multi Consol'!$R$189:$R$191</c:f>
              <c:numCache>
                <c:formatCode>0.000</c:formatCode>
                <c:ptCount val="3"/>
                <c:pt idx="0">
                  <c:v>2.1999999999999993</c:v>
                </c:pt>
                <c:pt idx="1">
                  <c:v>2.1999999999999993</c:v>
                </c:pt>
                <c:pt idx="2" formatCode="0.0">
                  <c:v>2.6999999999999993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0E-4B59-9B84-216DB9F4D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4767"/>
        <c:axId val="1"/>
      </c:scatterChart>
      <c:valAx>
        <c:axId val="31294767"/>
        <c:scaling>
          <c:orientation val="minMax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Squart root time</a:t>
                </a:r>
              </a:p>
            </c:rich>
          </c:tx>
          <c:layout>
            <c:manualLayout>
              <c:xMode val="edge"/>
              <c:yMode val="edge"/>
              <c:x val="0.46023468057366362"/>
              <c:y val="0.9059852988461912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axMin"/>
          <c:max val="2.7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Volume change ( cm</a:t>
                </a:r>
                <a:r>
                  <a:rPr lang="en-ID" sz="12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5645371577574969E-2"/>
              <c:y val="0.18233678055200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94767"/>
        <c:crosses val="autoZero"/>
        <c:crossBetween val="midCat"/>
        <c:maj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38341778460547"/>
          <c:y val="3.0220114369237692E-2"/>
          <c:w val="0.80440854739847933"/>
          <c:h val="0.28994030159888334"/>
        </c:manualLayout>
      </c:layout>
      <c:scatterChart>
        <c:scatterStyle val="lineMarker"/>
        <c:varyColors val="0"/>
        <c:ser>
          <c:idx val="0"/>
          <c:order val="0"/>
          <c:spPr>
            <a:ln w="19050" cap="flat" cmpd="sng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Shear'!$E$25:$E$63</c:f>
              <c:numCache>
                <c:formatCode>0.000</c:formatCode>
                <c:ptCount val="39"/>
                <c:pt idx="0">
                  <c:v>0</c:v>
                </c:pt>
                <c:pt idx="1">
                  <c:v>0.2646933684939296</c:v>
                </c:pt>
                <c:pt idx="2">
                  <c:v>0.52938673698785921</c:v>
                </c:pt>
                <c:pt idx="3">
                  <c:v>0.79408010548178876</c:v>
                </c:pt>
                <c:pt idx="4">
                  <c:v>1.0587734739757184</c:v>
                </c:pt>
                <c:pt idx="5">
                  <c:v>1.3234668424696481</c:v>
                </c:pt>
                <c:pt idx="6">
                  <c:v>1.5881602109635775</c:v>
                </c:pt>
                <c:pt idx="7">
                  <c:v>1.8528535794575072</c:v>
                </c:pt>
                <c:pt idx="8">
                  <c:v>2.1175469479514368</c:v>
                </c:pt>
                <c:pt idx="9">
                  <c:v>2.3822403164453663</c:v>
                </c:pt>
                <c:pt idx="10">
                  <c:v>2.6469336849392961</c:v>
                </c:pt>
                <c:pt idx="11">
                  <c:v>2.911627053433226</c:v>
                </c:pt>
                <c:pt idx="12">
                  <c:v>3.176320421927155</c:v>
                </c:pt>
                <c:pt idx="13">
                  <c:v>3.4410137904210853</c:v>
                </c:pt>
                <c:pt idx="14">
                  <c:v>3.7057071589150143</c:v>
                </c:pt>
                <c:pt idx="15">
                  <c:v>3.9704005274089438</c:v>
                </c:pt>
                <c:pt idx="16">
                  <c:v>4.2350938959028737</c:v>
                </c:pt>
                <c:pt idx="17">
                  <c:v>4.4997872643968035</c:v>
                </c:pt>
                <c:pt idx="18">
                  <c:v>4.7644806328907325</c:v>
                </c:pt>
                <c:pt idx="19">
                  <c:v>5.0291740013846624</c:v>
                </c:pt>
                <c:pt idx="20">
                  <c:v>5.2938673698785923</c:v>
                </c:pt>
                <c:pt idx="21">
                  <c:v>5.5585607383725222</c:v>
                </c:pt>
                <c:pt idx="22">
                  <c:v>5.8232541068664521</c:v>
                </c:pt>
                <c:pt idx="23">
                  <c:v>6.0879474753603811</c:v>
                </c:pt>
                <c:pt idx="24">
                  <c:v>6.35264084385431</c:v>
                </c:pt>
                <c:pt idx="25">
                  <c:v>6.6173342123482399</c:v>
                </c:pt>
                <c:pt idx="26">
                  <c:v>6.8820275808421707</c:v>
                </c:pt>
              </c:numCache>
            </c:numRef>
          </c:xVal>
          <c:yVal>
            <c:numRef>
              <c:f>'Cu_Multi Shear'!$P$25:$P$63</c:f>
              <c:numCache>
                <c:formatCode>0.000</c:formatCode>
                <c:ptCount val="39"/>
                <c:pt idx="0">
                  <c:v>1</c:v>
                </c:pt>
                <c:pt idx="1">
                  <c:v>1.2339010568539506</c:v>
                </c:pt>
                <c:pt idx="2">
                  <c:v>1.4284740078214897</c:v>
                </c:pt>
                <c:pt idx="3">
                  <c:v>1.7212931131925513</c:v>
                </c:pt>
                <c:pt idx="4">
                  <c:v>1.9934006355413882</c:v>
                </c:pt>
                <c:pt idx="5">
                  <c:v>2.1818670981473236</c:v>
                </c:pt>
                <c:pt idx="6">
                  <c:v>2.2925653194148841</c:v>
                </c:pt>
                <c:pt idx="7">
                  <c:v>2.5124427646082399</c:v>
                </c:pt>
                <c:pt idx="8">
                  <c:v>2.6676244469483241</c:v>
                </c:pt>
                <c:pt idx="9">
                  <c:v>2.8028627092030614</c:v>
                </c:pt>
                <c:pt idx="10">
                  <c:v>2.9322920575498377</c:v>
                </c:pt>
                <c:pt idx="11">
                  <c:v>3.139578538601723</c:v>
                </c:pt>
                <c:pt idx="12">
                  <c:v>3.3342433876786393</c:v>
                </c:pt>
                <c:pt idx="13">
                  <c:v>3.5415325212952413</c:v>
                </c:pt>
                <c:pt idx="14">
                  <c:v>3.7892030807906245</c:v>
                </c:pt>
                <c:pt idx="15">
                  <c:v>3.9792889244134759</c:v>
                </c:pt>
                <c:pt idx="16">
                  <c:v>4.1967133025136336</c:v>
                </c:pt>
                <c:pt idx="17">
                  <c:v>4.7860017227799068</c:v>
                </c:pt>
                <c:pt idx="18">
                  <c:v>5.1067226480282226</c:v>
                </c:pt>
                <c:pt idx="19">
                  <c:v>5.3660654904239333</c:v>
                </c:pt>
                <c:pt idx="20">
                  <c:v>5.5610048547913831</c:v>
                </c:pt>
                <c:pt idx="21">
                  <c:v>5.7271394197678305</c:v>
                </c:pt>
                <c:pt idx="22">
                  <c:v>5.9694629278003832</c:v>
                </c:pt>
                <c:pt idx="23">
                  <c:v>6.1253984556363026</c:v>
                </c:pt>
                <c:pt idx="24">
                  <c:v>6.3086135398161725</c:v>
                </c:pt>
                <c:pt idx="25">
                  <c:v>6.4062387685651601</c:v>
                </c:pt>
                <c:pt idx="26">
                  <c:v>6.5032254975015462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ED3-475A-B622-0C9B1DBFA545}"/>
            </c:ext>
          </c:extLst>
        </c:ser>
        <c:ser>
          <c:idx val="1"/>
          <c:order val="1"/>
          <c:spPr>
            <a:ln w="19050" cap="flat" cmpd="sng" algn="ctr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Shear'!$E$92:$E$130</c:f>
              <c:numCache>
                <c:formatCode>0.00</c:formatCode>
                <c:ptCount val="39"/>
                <c:pt idx="0">
                  <c:v>6.6173342123482399</c:v>
                </c:pt>
                <c:pt idx="1">
                  <c:v>6.9026935959914875</c:v>
                </c:pt>
                <c:pt idx="2">
                  <c:v>7.188052979634735</c:v>
                </c:pt>
                <c:pt idx="3">
                  <c:v>7.4734123632779808</c:v>
                </c:pt>
                <c:pt idx="4">
                  <c:v>7.7587717469212283</c:v>
                </c:pt>
                <c:pt idx="5">
                  <c:v>8.0441311305644749</c:v>
                </c:pt>
                <c:pt idx="6">
                  <c:v>8.3294905142077216</c:v>
                </c:pt>
                <c:pt idx="7">
                  <c:v>8.6148498978509682</c:v>
                </c:pt>
                <c:pt idx="8">
                  <c:v>8.9002092814942149</c:v>
                </c:pt>
                <c:pt idx="9">
                  <c:v>9.1855686651374615</c:v>
                </c:pt>
                <c:pt idx="10">
                  <c:v>9.4709280487807082</c:v>
                </c:pt>
                <c:pt idx="11">
                  <c:v>9.7562874324239548</c:v>
                </c:pt>
                <c:pt idx="12">
                  <c:v>10.041646816067201</c:v>
                </c:pt>
                <c:pt idx="13">
                  <c:v>10.327006199710448</c:v>
                </c:pt>
                <c:pt idx="14">
                  <c:v>10.612365583353695</c:v>
                </c:pt>
                <c:pt idx="15">
                  <c:v>10.897724966996941</c:v>
                </c:pt>
                <c:pt idx="16">
                  <c:v>11.183084350640188</c:v>
                </c:pt>
                <c:pt idx="17">
                  <c:v>11.468443734283436</c:v>
                </c:pt>
                <c:pt idx="18">
                  <c:v>11.753803117926683</c:v>
                </c:pt>
                <c:pt idx="19">
                  <c:v>12.039162501569932</c:v>
                </c:pt>
                <c:pt idx="20">
                  <c:v>12.324521885213178</c:v>
                </c:pt>
                <c:pt idx="21">
                  <c:v>12.609881268856425</c:v>
                </c:pt>
                <c:pt idx="22">
                  <c:v>12.895240652499673</c:v>
                </c:pt>
                <c:pt idx="23">
                  <c:v>13.18060003614292</c:v>
                </c:pt>
                <c:pt idx="24">
                  <c:v>13.465959419786168</c:v>
                </c:pt>
                <c:pt idx="25">
                  <c:v>13.751318803429415</c:v>
                </c:pt>
              </c:numCache>
            </c:numRef>
          </c:xVal>
          <c:yVal>
            <c:numRef>
              <c:f>'Cu_Multi Shear'!$P$92:$P$130</c:f>
              <c:numCache>
                <c:formatCode>0.00</c:formatCode>
                <c:ptCount val="39"/>
                <c:pt idx="0" formatCode="General">
                  <c:v>1</c:v>
                </c:pt>
                <c:pt idx="1">
                  <c:v>1.4728616166887771</c:v>
                </c:pt>
                <c:pt idx="2">
                  <c:v>1.611186011341325</c:v>
                </c:pt>
                <c:pt idx="3">
                  <c:v>1.9892963591336714</c:v>
                </c:pt>
                <c:pt idx="4">
                  <c:v>2.3958000933035364</c:v>
                </c:pt>
                <c:pt idx="5">
                  <c:v>2.6356630156604166</c:v>
                </c:pt>
                <c:pt idx="6">
                  <c:v>2.9056032304075132</c:v>
                </c:pt>
                <c:pt idx="7">
                  <c:v>3.1829693260567322</c:v>
                </c:pt>
                <c:pt idx="8">
                  <c:v>3.4141971267899969</c:v>
                </c:pt>
                <c:pt idx="9">
                  <c:v>3.615688184343524</c:v>
                </c:pt>
                <c:pt idx="10">
                  <c:v>3.8187629251070407</c:v>
                </c:pt>
                <c:pt idx="11">
                  <c:v>3.9037912947740421</c:v>
                </c:pt>
                <c:pt idx="12">
                  <c:v>3.986186280869136</c:v>
                </c:pt>
                <c:pt idx="13">
                  <c:v>4.0541881241782427</c:v>
                </c:pt>
                <c:pt idx="14">
                  <c:v>4.1553290728851104</c:v>
                </c:pt>
                <c:pt idx="15">
                  <c:v>4.2702873147166898</c:v>
                </c:pt>
                <c:pt idx="16">
                  <c:v>4.3414949850132443</c:v>
                </c:pt>
                <c:pt idx="17">
                  <c:v>4.5331165326059919</c:v>
                </c:pt>
                <c:pt idx="18">
                  <c:v>4.6505864378287889</c:v>
                </c:pt>
                <c:pt idx="19">
                  <c:v>4.7788824003638242</c:v>
                </c:pt>
                <c:pt idx="20">
                  <c:v>4.9030017245567281</c:v>
                </c:pt>
                <c:pt idx="21">
                  <c:v>5.0010409533430877</c:v>
                </c:pt>
                <c:pt idx="22">
                  <c:v>5.0703018405447962</c:v>
                </c:pt>
                <c:pt idx="23">
                  <c:v>5.1390670073542921</c:v>
                </c:pt>
                <c:pt idx="24">
                  <c:v>5.19385140103513</c:v>
                </c:pt>
                <c:pt idx="25">
                  <c:v>5.2616664370928881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ED3-475A-B622-0C9B1DBFA545}"/>
            </c:ext>
          </c:extLst>
        </c:ser>
        <c:ser>
          <c:idx val="2"/>
          <c:order val="2"/>
          <c:spPr>
            <a:ln w="19050" cap="flat" cmpd="sng" algn="ctr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Shear'!$E$159:$E$197</c:f>
              <c:numCache>
                <c:formatCode>0.00</c:formatCode>
                <c:ptCount val="39"/>
                <c:pt idx="0">
                  <c:v>13.465959419786168</c:v>
                </c:pt>
                <c:pt idx="1">
                  <c:v>13.775029379626231</c:v>
                </c:pt>
                <c:pt idx="2">
                  <c:v>14.084099339466293</c:v>
                </c:pt>
                <c:pt idx="3">
                  <c:v>14.39316929930636</c:v>
                </c:pt>
                <c:pt idx="4">
                  <c:v>14.702239259146422</c:v>
                </c:pt>
                <c:pt idx="5">
                  <c:v>15.011309218986488</c:v>
                </c:pt>
                <c:pt idx="6">
                  <c:v>15.320379178826551</c:v>
                </c:pt>
                <c:pt idx="7">
                  <c:v>15.629449138666613</c:v>
                </c:pt>
                <c:pt idx="8">
                  <c:v>15.93851909850668</c:v>
                </c:pt>
                <c:pt idx="9">
                  <c:v>16.24758905834674</c:v>
                </c:pt>
                <c:pt idx="10">
                  <c:v>16.556659018186807</c:v>
                </c:pt>
                <c:pt idx="11">
                  <c:v>16.865728978026869</c:v>
                </c:pt>
                <c:pt idx="12">
                  <c:v>17.174798937866932</c:v>
                </c:pt>
                <c:pt idx="13">
                  <c:v>17.483868897706998</c:v>
                </c:pt>
                <c:pt idx="14">
                  <c:v>17.79293885754706</c:v>
                </c:pt>
                <c:pt idx="15">
                  <c:v>18.102008817387127</c:v>
                </c:pt>
                <c:pt idx="16">
                  <c:v>18.411078777227189</c:v>
                </c:pt>
                <c:pt idx="17">
                  <c:v>18.720148737067252</c:v>
                </c:pt>
                <c:pt idx="18">
                  <c:v>19.029218696907318</c:v>
                </c:pt>
                <c:pt idx="19">
                  <c:v>19.33828865674738</c:v>
                </c:pt>
                <c:pt idx="20">
                  <c:v>19.647358616587447</c:v>
                </c:pt>
                <c:pt idx="21">
                  <c:v>19.956428576427509</c:v>
                </c:pt>
                <c:pt idx="22">
                  <c:v>20.265498536267572</c:v>
                </c:pt>
                <c:pt idx="23">
                  <c:v>20.574568496107638</c:v>
                </c:pt>
                <c:pt idx="24">
                  <c:v>20.8836384559477</c:v>
                </c:pt>
                <c:pt idx="25">
                  <c:v>21.192708415787767</c:v>
                </c:pt>
                <c:pt idx="26">
                  <c:v>21.501778375627829</c:v>
                </c:pt>
                <c:pt idx="27">
                  <c:v>21.810848335467892</c:v>
                </c:pt>
                <c:pt idx="28">
                  <c:v>22.119918295307958</c:v>
                </c:pt>
                <c:pt idx="29">
                  <c:v>22.42898825514802</c:v>
                </c:pt>
                <c:pt idx="30">
                  <c:v>22.738058214988087</c:v>
                </c:pt>
                <c:pt idx="31">
                  <c:v>23.047128174828149</c:v>
                </c:pt>
              </c:numCache>
            </c:numRef>
          </c:xVal>
          <c:yVal>
            <c:numRef>
              <c:f>'Cu_Multi Shear'!$P$159:$P$197</c:f>
              <c:numCache>
                <c:formatCode>0.00</c:formatCode>
                <c:ptCount val="39"/>
                <c:pt idx="0" formatCode="General">
                  <c:v>1</c:v>
                </c:pt>
                <c:pt idx="1">
                  <c:v>1.5374739570940221</c:v>
                </c:pt>
                <c:pt idx="2">
                  <c:v>1.9485281645619388</c:v>
                </c:pt>
                <c:pt idx="3">
                  <c:v>2.2760420445889267</c:v>
                </c:pt>
                <c:pt idx="4">
                  <c:v>2.5434838665398294</c:v>
                </c:pt>
                <c:pt idx="5">
                  <c:v>2.8466683835654814</c:v>
                </c:pt>
                <c:pt idx="6">
                  <c:v>3.0193979588063513</c:v>
                </c:pt>
                <c:pt idx="7">
                  <c:v>3.1488107809097046</c:v>
                </c:pt>
                <c:pt idx="8">
                  <c:v>3.2422558072078962</c:v>
                </c:pt>
                <c:pt idx="9">
                  <c:v>3.3376086061842027</c:v>
                </c:pt>
                <c:pt idx="10">
                  <c:v>3.4362120583495974</c:v>
                </c:pt>
                <c:pt idx="11">
                  <c:v>3.5625066482954995</c:v>
                </c:pt>
                <c:pt idx="12">
                  <c:v>3.6884850870802435</c:v>
                </c:pt>
                <c:pt idx="13">
                  <c:v>3.8300059355130642</c:v>
                </c:pt>
                <c:pt idx="14">
                  <c:v>3.9273954021008257</c:v>
                </c:pt>
                <c:pt idx="15">
                  <c:v>4.0024385075594591</c:v>
                </c:pt>
                <c:pt idx="16">
                  <c:v>4.0719082519257972</c:v>
                </c:pt>
                <c:pt idx="17">
                  <c:v>4.2046714054791119</c:v>
                </c:pt>
                <c:pt idx="18">
                  <c:v>4.2952206037962144</c:v>
                </c:pt>
                <c:pt idx="19">
                  <c:v>4.3507384925219634</c:v>
                </c:pt>
                <c:pt idx="20">
                  <c:v>4.4119148731789144</c:v>
                </c:pt>
                <c:pt idx="21">
                  <c:v>4.4459310100165004</c:v>
                </c:pt>
                <c:pt idx="22">
                  <c:v>4.4925355686732127</c:v>
                </c:pt>
                <c:pt idx="23">
                  <c:v>4.5066433700216653</c:v>
                </c:pt>
                <c:pt idx="24">
                  <c:v>4.5333823308042636</c:v>
                </c:pt>
                <c:pt idx="25">
                  <c:v>4.5726242381759485</c:v>
                </c:pt>
                <c:pt idx="26">
                  <c:v>4.6115242446274864</c:v>
                </c:pt>
                <c:pt idx="27">
                  <c:v>4.6374084531097139</c:v>
                </c:pt>
                <c:pt idx="28">
                  <c:v>4.6630362359018296</c:v>
                </c:pt>
                <c:pt idx="29">
                  <c:v>4.6065828511795166</c:v>
                </c:pt>
                <c:pt idx="30">
                  <c:v>4.556701471864387</c:v>
                </c:pt>
                <c:pt idx="31">
                  <c:v>4.4820706250611924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ED3-475A-B622-0C9B1DBFA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82287"/>
        <c:axId val="1"/>
      </c:scatterChart>
      <c:valAx>
        <c:axId val="3128228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1282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ptos" panose="020B0004020202020204" pitchFamily="34" charset="0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3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212210772888826"/>
          <c:y val="2.5187512139730157E-2"/>
          <c:w val="0.83778651007051053"/>
          <c:h val="0.82846862965583234"/>
        </c:manualLayout>
      </c:layout>
      <c:scatterChart>
        <c:scatterStyle val="lineMarker"/>
        <c:varyColors val="0"/>
        <c:ser>
          <c:idx val="0"/>
          <c:order val="0"/>
          <c:spPr>
            <a:ln w="19050" cap="flat" cmpd="sng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Shear'!$E$25:$E$49</c:f>
              <c:numCache>
                <c:formatCode>0.000</c:formatCode>
                <c:ptCount val="25"/>
                <c:pt idx="0">
                  <c:v>0</c:v>
                </c:pt>
                <c:pt idx="1">
                  <c:v>0.2646933684939296</c:v>
                </c:pt>
                <c:pt idx="2">
                  <c:v>0.52938673698785921</c:v>
                </c:pt>
                <c:pt idx="3">
                  <c:v>0.79408010548178876</c:v>
                </c:pt>
                <c:pt idx="4">
                  <c:v>1.0587734739757184</c:v>
                </c:pt>
                <c:pt idx="5">
                  <c:v>1.3234668424696481</c:v>
                </c:pt>
                <c:pt idx="6">
                  <c:v>1.5881602109635775</c:v>
                </c:pt>
                <c:pt idx="7">
                  <c:v>1.8528535794575072</c:v>
                </c:pt>
                <c:pt idx="8">
                  <c:v>2.1175469479514368</c:v>
                </c:pt>
                <c:pt idx="9">
                  <c:v>2.3822403164453663</c:v>
                </c:pt>
                <c:pt idx="10">
                  <c:v>2.6469336849392961</c:v>
                </c:pt>
                <c:pt idx="11">
                  <c:v>2.911627053433226</c:v>
                </c:pt>
                <c:pt idx="12">
                  <c:v>3.176320421927155</c:v>
                </c:pt>
                <c:pt idx="13">
                  <c:v>3.4410137904210853</c:v>
                </c:pt>
                <c:pt idx="14">
                  <c:v>3.7057071589150143</c:v>
                </c:pt>
                <c:pt idx="15">
                  <c:v>3.9704005274089438</c:v>
                </c:pt>
                <c:pt idx="16">
                  <c:v>4.2350938959028737</c:v>
                </c:pt>
                <c:pt idx="17">
                  <c:v>4.4997872643968035</c:v>
                </c:pt>
                <c:pt idx="18">
                  <c:v>4.7644806328907325</c:v>
                </c:pt>
                <c:pt idx="19">
                  <c:v>5.0291740013846624</c:v>
                </c:pt>
                <c:pt idx="20">
                  <c:v>5.2938673698785923</c:v>
                </c:pt>
                <c:pt idx="21">
                  <c:v>5.5585607383725222</c:v>
                </c:pt>
                <c:pt idx="22">
                  <c:v>5.8232541068664521</c:v>
                </c:pt>
                <c:pt idx="23">
                  <c:v>6.0879474753603811</c:v>
                </c:pt>
                <c:pt idx="24">
                  <c:v>6.35264084385431</c:v>
                </c:pt>
              </c:numCache>
            </c:numRef>
          </c:xVal>
          <c:yVal>
            <c:numRef>
              <c:f>'Cu_Multi Shear'!$I$25:$I$49</c:f>
              <c:numCache>
                <c:formatCode>0.0</c:formatCode>
                <c:ptCount val="25"/>
                <c:pt idx="0">
                  <c:v>190</c:v>
                </c:pt>
                <c:pt idx="1">
                  <c:v>190.5</c:v>
                </c:pt>
                <c:pt idx="2">
                  <c:v>191</c:v>
                </c:pt>
                <c:pt idx="3">
                  <c:v>192.1</c:v>
                </c:pt>
                <c:pt idx="4">
                  <c:v>192.7</c:v>
                </c:pt>
                <c:pt idx="5">
                  <c:v>193.3</c:v>
                </c:pt>
                <c:pt idx="6">
                  <c:v>194.2</c:v>
                </c:pt>
                <c:pt idx="7">
                  <c:v>194.8</c:v>
                </c:pt>
                <c:pt idx="8">
                  <c:v>195.4</c:v>
                </c:pt>
                <c:pt idx="9">
                  <c:v>196</c:v>
                </c:pt>
                <c:pt idx="10">
                  <c:v>196.4</c:v>
                </c:pt>
                <c:pt idx="11">
                  <c:v>196.9</c:v>
                </c:pt>
                <c:pt idx="12">
                  <c:v>197.1</c:v>
                </c:pt>
                <c:pt idx="13">
                  <c:v>197.9</c:v>
                </c:pt>
                <c:pt idx="14">
                  <c:v>198.1</c:v>
                </c:pt>
                <c:pt idx="15">
                  <c:v>198.5</c:v>
                </c:pt>
                <c:pt idx="16">
                  <c:v>198.9</c:v>
                </c:pt>
                <c:pt idx="17">
                  <c:v>201.4</c:v>
                </c:pt>
                <c:pt idx="18">
                  <c:v>202.8</c:v>
                </c:pt>
                <c:pt idx="19">
                  <c:v>203.5</c:v>
                </c:pt>
                <c:pt idx="20">
                  <c:v>204.5</c:v>
                </c:pt>
                <c:pt idx="21">
                  <c:v>205</c:v>
                </c:pt>
                <c:pt idx="22">
                  <c:v>205</c:v>
                </c:pt>
                <c:pt idx="23">
                  <c:v>205</c:v>
                </c:pt>
                <c:pt idx="24">
                  <c:v>205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868-48CD-9688-8055FC312A1A}"/>
            </c:ext>
          </c:extLst>
        </c:ser>
        <c:ser>
          <c:idx val="1"/>
          <c:order val="1"/>
          <c:spPr>
            <a:ln w="19050" cap="flat" cmpd="sng" algn="ctr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Shear'!$E$92:$E$130</c:f>
              <c:numCache>
                <c:formatCode>0.00</c:formatCode>
                <c:ptCount val="39"/>
                <c:pt idx="0">
                  <c:v>6.6173342123482399</c:v>
                </c:pt>
                <c:pt idx="1">
                  <c:v>6.9026935959914875</c:v>
                </c:pt>
                <c:pt idx="2">
                  <c:v>7.188052979634735</c:v>
                </c:pt>
                <c:pt idx="3">
                  <c:v>7.4734123632779808</c:v>
                </c:pt>
                <c:pt idx="4">
                  <c:v>7.7587717469212283</c:v>
                </c:pt>
                <c:pt idx="5">
                  <c:v>8.0441311305644749</c:v>
                </c:pt>
                <c:pt idx="6">
                  <c:v>8.3294905142077216</c:v>
                </c:pt>
                <c:pt idx="7">
                  <c:v>8.6148498978509682</c:v>
                </c:pt>
                <c:pt idx="8">
                  <c:v>8.9002092814942149</c:v>
                </c:pt>
                <c:pt idx="9">
                  <c:v>9.1855686651374615</c:v>
                </c:pt>
                <c:pt idx="10">
                  <c:v>9.4709280487807082</c:v>
                </c:pt>
                <c:pt idx="11">
                  <c:v>9.7562874324239548</c:v>
                </c:pt>
                <c:pt idx="12">
                  <c:v>10.041646816067201</c:v>
                </c:pt>
                <c:pt idx="13">
                  <c:v>10.327006199710448</c:v>
                </c:pt>
                <c:pt idx="14">
                  <c:v>10.612365583353695</c:v>
                </c:pt>
                <c:pt idx="15">
                  <c:v>10.897724966996941</c:v>
                </c:pt>
                <c:pt idx="16">
                  <c:v>11.183084350640188</c:v>
                </c:pt>
                <c:pt idx="17">
                  <c:v>11.468443734283436</c:v>
                </c:pt>
                <c:pt idx="18">
                  <c:v>11.753803117926683</c:v>
                </c:pt>
                <c:pt idx="19">
                  <c:v>12.039162501569932</c:v>
                </c:pt>
                <c:pt idx="20">
                  <c:v>12.324521885213178</c:v>
                </c:pt>
                <c:pt idx="21">
                  <c:v>12.609881268856425</c:v>
                </c:pt>
                <c:pt idx="22">
                  <c:v>12.895240652499673</c:v>
                </c:pt>
                <c:pt idx="23">
                  <c:v>13.18060003614292</c:v>
                </c:pt>
                <c:pt idx="24">
                  <c:v>13.465959419786168</c:v>
                </c:pt>
                <c:pt idx="25">
                  <c:v>13.751318803429415</c:v>
                </c:pt>
              </c:numCache>
            </c:numRef>
          </c:xVal>
          <c:yVal>
            <c:numRef>
              <c:f>'Cu_Multi Shear'!$I$92:$I$130</c:f>
              <c:numCache>
                <c:formatCode>0.0</c:formatCode>
                <c:ptCount val="39"/>
                <c:pt idx="0">
                  <c:v>190</c:v>
                </c:pt>
                <c:pt idx="1">
                  <c:v>191</c:v>
                </c:pt>
                <c:pt idx="2">
                  <c:v>192.5</c:v>
                </c:pt>
                <c:pt idx="3">
                  <c:v>193.9</c:v>
                </c:pt>
                <c:pt idx="4">
                  <c:v>195.2</c:v>
                </c:pt>
                <c:pt idx="5">
                  <c:v>198.5</c:v>
                </c:pt>
                <c:pt idx="6">
                  <c:v>201.9</c:v>
                </c:pt>
                <c:pt idx="7">
                  <c:v>203.9</c:v>
                </c:pt>
                <c:pt idx="8">
                  <c:v>205.5</c:v>
                </c:pt>
                <c:pt idx="9">
                  <c:v>207.4</c:v>
                </c:pt>
                <c:pt idx="10">
                  <c:v>209.1</c:v>
                </c:pt>
                <c:pt idx="11">
                  <c:v>210.7</c:v>
                </c:pt>
                <c:pt idx="12">
                  <c:v>211.5</c:v>
                </c:pt>
                <c:pt idx="13">
                  <c:v>211.9</c:v>
                </c:pt>
                <c:pt idx="14">
                  <c:v>212.5</c:v>
                </c:pt>
                <c:pt idx="15">
                  <c:v>213.4</c:v>
                </c:pt>
                <c:pt idx="16">
                  <c:v>214.4</c:v>
                </c:pt>
                <c:pt idx="17">
                  <c:v>217.1</c:v>
                </c:pt>
                <c:pt idx="18">
                  <c:v>218.1</c:v>
                </c:pt>
                <c:pt idx="19">
                  <c:v>219.5</c:v>
                </c:pt>
                <c:pt idx="20">
                  <c:v>220.5</c:v>
                </c:pt>
                <c:pt idx="21">
                  <c:v>221</c:v>
                </c:pt>
                <c:pt idx="22">
                  <c:v>221</c:v>
                </c:pt>
                <c:pt idx="23">
                  <c:v>221</c:v>
                </c:pt>
                <c:pt idx="24">
                  <c:v>221</c:v>
                </c:pt>
                <c:pt idx="25">
                  <c:v>221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868-48CD-9688-8055FC312A1A}"/>
            </c:ext>
          </c:extLst>
        </c:ser>
        <c:ser>
          <c:idx val="2"/>
          <c:order val="2"/>
          <c:spPr>
            <a:ln w="19050" cap="flat" cmpd="sng" algn="ctr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Shear'!$E$159:$E$197</c:f>
              <c:numCache>
                <c:formatCode>0.00</c:formatCode>
                <c:ptCount val="39"/>
                <c:pt idx="0">
                  <c:v>13.465959419786168</c:v>
                </c:pt>
                <c:pt idx="1">
                  <c:v>13.775029379626231</c:v>
                </c:pt>
                <c:pt idx="2">
                  <c:v>14.084099339466293</c:v>
                </c:pt>
                <c:pt idx="3">
                  <c:v>14.39316929930636</c:v>
                </c:pt>
                <c:pt idx="4">
                  <c:v>14.702239259146422</c:v>
                </c:pt>
                <c:pt idx="5">
                  <c:v>15.011309218986488</c:v>
                </c:pt>
                <c:pt idx="6">
                  <c:v>15.320379178826551</c:v>
                </c:pt>
                <c:pt idx="7">
                  <c:v>15.629449138666613</c:v>
                </c:pt>
                <c:pt idx="8">
                  <c:v>15.93851909850668</c:v>
                </c:pt>
                <c:pt idx="9">
                  <c:v>16.24758905834674</c:v>
                </c:pt>
                <c:pt idx="10">
                  <c:v>16.556659018186807</c:v>
                </c:pt>
                <c:pt idx="11">
                  <c:v>16.865728978026869</c:v>
                </c:pt>
                <c:pt idx="12">
                  <c:v>17.174798937866932</c:v>
                </c:pt>
                <c:pt idx="13">
                  <c:v>17.483868897706998</c:v>
                </c:pt>
                <c:pt idx="14">
                  <c:v>17.79293885754706</c:v>
                </c:pt>
                <c:pt idx="15">
                  <c:v>18.102008817387127</c:v>
                </c:pt>
                <c:pt idx="16">
                  <c:v>18.411078777227189</c:v>
                </c:pt>
                <c:pt idx="17">
                  <c:v>18.720148737067252</c:v>
                </c:pt>
                <c:pt idx="18">
                  <c:v>19.029218696907318</c:v>
                </c:pt>
                <c:pt idx="19">
                  <c:v>19.33828865674738</c:v>
                </c:pt>
                <c:pt idx="20">
                  <c:v>19.647358616587447</c:v>
                </c:pt>
                <c:pt idx="21">
                  <c:v>19.956428576427509</c:v>
                </c:pt>
                <c:pt idx="22">
                  <c:v>20.265498536267572</c:v>
                </c:pt>
                <c:pt idx="23">
                  <c:v>20.574568496107638</c:v>
                </c:pt>
                <c:pt idx="24">
                  <c:v>20.8836384559477</c:v>
                </c:pt>
                <c:pt idx="25">
                  <c:v>21.192708415787767</c:v>
                </c:pt>
                <c:pt idx="26">
                  <c:v>21.501778375627829</c:v>
                </c:pt>
                <c:pt idx="27">
                  <c:v>21.810848335467892</c:v>
                </c:pt>
                <c:pt idx="28">
                  <c:v>22.119918295307958</c:v>
                </c:pt>
                <c:pt idx="29">
                  <c:v>22.42898825514802</c:v>
                </c:pt>
                <c:pt idx="30">
                  <c:v>22.738058214988087</c:v>
                </c:pt>
                <c:pt idx="31">
                  <c:v>23.047128174828149</c:v>
                </c:pt>
              </c:numCache>
            </c:numRef>
          </c:xVal>
          <c:yVal>
            <c:numRef>
              <c:f>'Cu_Multi Shear'!$I$159:$I$197</c:f>
              <c:numCache>
                <c:formatCode>0.0</c:formatCode>
                <c:ptCount val="39"/>
                <c:pt idx="0">
                  <c:v>190</c:v>
                </c:pt>
                <c:pt idx="1">
                  <c:v>198.5</c:v>
                </c:pt>
                <c:pt idx="2">
                  <c:v>206.4</c:v>
                </c:pt>
                <c:pt idx="3">
                  <c:v>213.5</c:v>
                </c:pt>
                <c:pt idx="4">
                  <c:v>220.9</c:v>
                </c:pt>
                <c:pt idx="5">
                  <c:v>228.4</c:v>
                </c:pt>
                <c:pt idx="6">
                  <c:v>234.4</c:v>
                </c:pt>
                <c:pt idx="7">
                  <c:v>236.9</c:v>
                </c:pt>
                <c:pt idx="8">
                  <c:v>238.8</c:v>
                </c:pt>
                <c:pt idx="9">
                  <c:v>240.7</c:v>
                </c:pt>
                <c:pt idx="10">
                  <c:v>242.3</c:v>
                </c:pt>
                <c:pt idx="11">
                  <c:v>243.6</c:v>
                </c:pt>
                <c:pt idx="12">
                  <c:v>244.8</c:v>
                </c:pt>
                <c:pt idx="13">
                  <c:v>246.4</c:v>
                </c:pt>
                <c:pt idx="14">
                  <c:v>247.6</c:v>
                </c:pt>
                <c:pt idx="15">
                  <c:v>248.9</c:v>
                </c:pt>
                <c:pt idx="16">
                  <c:v>249.9</c:v>
                </c:pt>
                <c:pt idx="17">
                  <c:v>251.1</c:v>
                </c:pt>
                <c:pt idx="18">
                  <c:v>252.1</c:v>
                </c:pt>
                <c:pt idx="19">
                  <c:v>252.7</c:v>
                </c:pt>
                <c:pt idx="20">
                  <c:v>253</c:v>
                </c:pt>
                <c:pt idx="21">
                  <c:v>253</c:v>
                </c:pt>
                <c:pt idx="22">
                  <c:v>253</c:v>
                </c:pt>
                <c:pt idx="23">
                  <c:v>253</c:v>
                </c:pt>
                <c:pt idx="24">
                  <c:v>253</c:v>
                </c:pt>
                <c:pt idx="25">
                  <c:v>253</c:v>
                </c:pt>
                <c:pt idx="26">
                  <c:v>253</c:v>
                </c:pt>
                <c:pt idx="27">
                  <c:v>253</c:v>
                </c:pt>
                <c:pt idx="28">
                  <c:v>253</c:v>
                </c:pt>
                <c:pt idx="29">
                  <c:v>253</c:v>
                </c:pt>
                <c:pt idx="30">
                  <c:v>253</c:v>
                </c:pt>
                <c:pt idx="31">
                  <c:v>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868-48CD-9688-8055FC312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3103"/>
        <c:axId val="1"/>
      </c:scatterChart>
      <c:valAx>
        <c:axId val="312931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90"/>
          <c:min val="1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D" sz="800" cap="none" baseline="0"/>
                  <a:t>Pore pressure (kN/m</a:t>
                </a:r>
                <a:r>
                  <a:rPr lang="en-ID" sz="800" cap="none" baseline="30000"/>
                  <a:t>2</a:t>
                </a:r>
                <a:r>
                  <a:rPr lang="en-ID" sz="800" cap="none" baseline="0"/>
                  <a:t>)</a:t>
                </a:r>
              </a:p>
            </c:rich>
          </c:tx>
          <c:layout>
            <c:manualLayout>
              <c:xMode val="edge"/>
              <c:yMode val="edge"/>
              <c:x val="8.771929824561403E-3"/>
              <c:y val="0.21167921528057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1293103"/>
        <c:crosses val="autoZero"/>
        <c:crossBetween val="midCat"/>
        <c:majorUnit val="2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ptos" panose="020B0004020202020204" pitchFamily="34" charset="0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756768042287228"/>
          <c:y val="5.2980132450331126E-2"/>
          <c:w val="0.83219524482350116"/>
          <c:h val="0.79470198675496684"/>
        </c:manualLayout>
      </c:layout>
      <c:scatterChart>
        <c:scatterStyle val="lineMarker"/>
        <c:varyColors val="0"/>
        <c:ser>
          <c:idx val="0"/>
          <c:order val="0"/>
          <c:spPr>
            <a:ln w="19050" cap="flat" cmpd="sng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Shear'!$E$25:$E$63</c:f>
              <c:numCache>
                <c:formatCode>0.000</c:formatCode>
                <c:ptCount val="39"/>
                <c:pt idx="0">
                  <c:v>0</c:v>
                </c:pt>
                <c:pt idx="1">
                  <c:v>0.2646933684939296</c:v>
                </c:pt>
                <c:pt idx="2">
                  <c:v>0.52938673698785921</c:v>
                </c:pt>
                <c:pt idx="3">
                  <c:v>0.79408010548178876</c:v>
                </c:pt>
                <c:pt idx="4">
                  <c:v>1.0587734739757184</c:v>
                </c:pt>
                <c:pt idx="5">
                  <c:v>1.3234668424696481</c:v>
                </c:pt>
                <c:pt idx="6">
                  <c:v>1.5881602109635775</c:v>
                </c:pt>
                <c:pt idx="7">
                  <c:v>1.8528535794575072</c:v>
                </c:pt>
                <c:pt idx="8">
                  <c:v>2.1175469479514368</c:v>
                </c:pt>
                <c:pt idx="9">
                  <c:v>2.3822403164453663</c:v>
                </c:pt>
                <c:pt idx="10">
                  <c:v>2.6469336849392961</c:v>
                </c:pt>
                <c:pt idx="11">
                  <c:v>2.911627053433226</c:v>
                </c:pt>
                <c:pt idx="12">
                  <c:v>3.176320421927155</c:v>
                </c:pt>
                <c:pt idx="13">
                  <c:v>3.4410137904210853</c:v>
                </c:pt>
                <c:pt idx="14">
                  <c:v>3.7057071589150143</c:v>
                </c:pt>
                <c:pt idx="15">
                  <c:v>3.9704005274089438</c:v>
                </c:pt>
                <c:pt idx="16">
                  <c:v>4.2350938959028737</c:v>
                </c:pt>
                <c:pt idx="17">
                  <c:v>4.4997872643968035</c:v>
                </c:pt>
                <c:pt idx="18">
                  <c:v>4.7644806328907325</c:v>
                </c:pt>
                <c:pt idx="19">
                  <c:v>5.0291740013846624</c:v>
                </c:pt>
                <c:pt idx="20">
                  <c:v>5.2938673698785923</c:v>
                </c:pt>
                <c:pt idx="21">
                  <c:v>5.5585607383725222</c:v>
                </c:pt>
                <c:pt idx="22">
                  <c:v>5.8232541068664521</c:v>
                </c:pt>
                <c:pt idx="23">
                  <c:v>6.0879474753603811</c:v>
                </c:pt>
                <c:pt idx="24">
                  <c:v>6.35264084385431</c:v>
                </c:pt>
                <c:pt idx="25">
                  <c:v>6.6173342123482399</c:v>
                </c:pt>
                <c:pt idx="26">
                  <c:v>6.8820275808421707</c:v>
                </c:pt>
              </c:numCache>
            </c:numRef>
          </c:xVal>
          <c:yVal>
            <c:numRef>
              <c:f>'Cu_Multi Shear'!$K$25:$K$63</c:f>
              <c:numCache>
                <c:formatCode>0.000</c:formatCode>
                <c:ptCount val="39"/>
                <c:pt idx="0">
                  <c:v>0</c:v>
                </c:pt>
                <c:pt idx="1">
                  <c:v>11.578102314270566</c:v>
                </c:pt>
                <c:pt idx="2">
                  <c:v>20.995226383253005</c:v>
                </c:pt>
                <c:pt idx="3">
                  <c:v>34.549940121923207</c:v>
                </c:pt>
                <c:pt idx="4">
                  <c:v>46.987850061107672</c:v>
                </c:pt>
                <c:pt idx="5">
                  <c:v>55.193193483480002</c:v>
                </c:pt>
                <c:pt idx="6">
                  <c:v>59.199491629201717</c:v>
                </c:pt>
                <c:pt idx="7">
                  <c:v>68.362412960292446</c:v>
                </c:pt>
                <c:pt idx="8">
                  <c:v>74.376050333895222</c:v>
                </c:pt>
                <c:pt idx="9">
                  <c:v>79.325959204934705</c:v>
                </c:pt>
                <c:pt idx="10">
                  <c:v>84.247933709172884</c:v>
                </c:pt>
                <c:pt idx="11">
                  <c:v>92.215835013734264</c:v>
                </c:pt>
                <c:pt idx="12">
                  <c:v>100.13904133141362</c:v>
                </c:pt>
                <c:pt idx="13">
                  <c:v>106.99851914652963</c:v>
                </c:pt>
                <c:pt idx="14">
                  <c:v>116.8676090851272</c:v>
                </c:pt>
                <c:pt idx="15">
                  <c:v>123.64049036315923</c:v>
                </c:pt>
                <c:pt idx="16">
                  <c:v>131.38491673331032</c:v>
                </c:pt>
                <c:pt idx="17">
                  <c:v>146.13966649930438</c:v>
                </c:pt>
                <c:pt idx="18">
                  <c:v>152.77008250664986</c:v>
                </c:pt>
                <c:pt idx="19">
                  <c:v>159.36139040047357</c:v>
                </c:pt>
                <c:pt idx="20">
                  <c:v>161.91567234509409</c:v>
                </c:pt>
                <c:pt idx="21">
                  <c:v>165.44987969187406</c:v>
                </c:pt>
                <c:pt idx="22">
                  <c:v>173.93120247301337</c:v>
                </c:pt>
                <c:pt idx="23">
                  <c:v>179.3889459472706</c:v>
                </c:pt>
                <c:pt idx="24">
                  <c:v>185.801473893566</c:v>
                </c:pt>
                <c:pt idx="25">
                  <c:v>189.21835689978056</c:v>
                </c:pt>
                <c:pt idx="26">
                  <c:v>192.61289241255412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44-4CC9-8F1F-24CE4C4234E9}"/>
            </c:ext>
          </c:extLst>
        </c:ser>
        <c:ser>
          <c:idx val="1"/>
          <c:order val="1"/>
          <c:spPr>
            <a:ln w="19050" cap="flat" cmpd="sng" algn="ctr">
              <a:solidFill>
                <a:schemeClr val="accent2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Shear'!$E$92:$E$130</c:f>
              <c:numCache>
                <c:formatCode>0.00</c:formatCode>
                <c:ptCount val="39"/>
                <c:pt idx="0">
                  <c:v>6.6173342123482399</c:v>
                </c:pt>
                <c:pt idx="1">
                  <c:v>6.9026935959914875</c:v>
                </c:pt>
                <c:pt idx="2">
                  <c:v>7.188052979634735</c:v>
                </c:pt>
                <c:pt idx="3">
                  <c:v>7.4734123632779808</c:v>
                </c:pt>
                <c:pt idx="4">
                  <c:v>7.7587717469212283</c:v>
                </c:pt>
                <c:pt idx="5">
                  <c:v>8.0441311305644749</c:v>
                </c:pt>
                <c:pt idx="6">
                  <c:v>8.3294905142077216</c:v>
                </c:pt>
                <c:pt idx="7">
                  <c:v>8.6148498978509682</c:v>
                </c:pt>
                <c:pt idx="8">
                  <c:v>8.9002092814942149</c:v>
                </c:pt>
                <c:pt idx="9">
                  <c:v>9.1855686651374615</c:v>
                </c:pt>
                <c:pt idx="10">
                  <c:v>9.4709280487807082</c:v>
                </c:pt>
                <c:pt idx="11">
                  <c:v>9.7562874324239548</c:v>
                </c:pt>
                <c:pt idx="12">
                  <c:v>10.041646816067201</c:v>
                </c:pt>
                <c:pt idx="13">
                  <c:v>10.327006199710448</c:v>
                </c:pt>
                <c:pt idx="14">
                  <c:v>10.612365583353695</c:v>
                </c:pt>
                <c:pt idx="15">
                  <c:v>10.897724966996941</c:v>
                </c:pt>
                <c:pt idx="16">
                  <c:v>11.183084350640188</c:v>
                </c:pt>
                <c:pt idx="17">
                  <c:v>11.468443734283436</c:v>
                </c:pt>
                <c:pt idx="18">
                  <c:v>11.753803117926683</c:v>
                </c:pt>
                <c:pt idx="19">
                  <c:v>12.039162501569932</c:v>
                </c:pt>
                <c:pt idx="20">
                  <c:v>12.324521885213178</c:v>
                </c:pt>
                <c:pt idx="21">
                  <c:v>12.609881268856425</c:v>
                </c:pt>
                <c:pt idx="22">
                  <c:v>12.895240652499673</c:v>
                </c:pt>
                <c:pt idx="23">
                  <c:v>13.18060003614292</c:v>
                </c:pt>
                <c:pt idx="24">
                  <c:v>13.465959419786168</c:v>
                </c:pt>
                <c:pt idx="25">
                  <c:v>13.751318803429415</c:v>
                </c:pt>
              </c:numCache>
            </c:numRef>
          </c:xVal>
          <c:yVal>
            <c:numRef>
              <c:f>'Cu_Multi Shear'!$K$92:$K$130</c:f>
              <c:numCache>
                <c:formatCode>0.00</c:formatCode>
                <c:ptCount val="39"/>
                <c:pt idx="0" formatCode="General">
                  <c:v>0</c:v>
                </c:pt>
                <c:pt idx="1">
                  <c:v>46.813300052188914</c:v>
                </c:pt>
                <c:pt idx="2">
                  <c:v>59.590636105779197</c:v>
                </c:pt>
                <c:pt idx="3">
                  <c:v>95.071380112745842</c:v>
                </c:pt>
                <c:pt idx="4">
                  <c:v>132.32184884517525</c:v>
                </c:pt>
                <c:pt idx="5">
                  <c:v>149.66316593292811</c:v>
                </c:pt>
                <c:pt idx="6">
                  <c:v>167.88364459890192</c:v>
                </c:pt>
                <c:pt idx="7">
                  <c:v>187.95365897348464</c:v>
                </c:pt>
                <c:pt idx="8">
                  <c:v>203.99965721375477</c:v>
                </c:pt>
                <c:pt idx="9">
                  <c:v>216.05584402677505</c:v>
                </c:pt>
                <c:pt idx="10">
                  <c:v>228.03792064115959</c:v>
                </c:pt>
                <c:pt idx="11">
                  <c:v>230.27064967558161</c:v>
                </c:pt>
                <c:pt idx="12">
                  <c:v>234.41562304822719</c:v>
                </c:pt>
                <c:pt idx="13">
                  <c:v>238.53209249832065</c:v>
                </c:pt>
                <c:pt idx="14">
                  <c:v>244.53800314859603</c:v>
                </c:pt>
                <c:pt idx="15">
                  <c:v>250.50400830729836</c:v>
                </c:pt>
                <c:pt idx="16">
                  <c:v>252.61702086700123</c:v>
                </c:pt>
                <c:pt idx="17">
                  <c:v>257.56419522697689</c:v>
                </c:pt>
                <c:pt idx="18">
                  <c:v>262.47716487988998</c:v>
                </c:pt>
                <c:pt idx="19">
                  <c:v>266.41120922564954</c:v>
                </c:pt>
                <c:pt idx="20">
                  <c:v>271.25861985669258</c:v>
                </c:pt>
                <c:pt idx="21">
                  <c:v>276.07182578067307</c:v>
                </c:pt>
                <c:pt idx="22">
                  <c:v>280.85082699759096</c:v>
                </c:pt>
                <c:pt idx="23">
                  <c:v>285.59562350744613</c:v>
                </c:pt>
                <c:pt idx="24">
                  <c:v>289.37574667142394</c:v>
                </c:pt>
                <c:pt idx="25">
                  <c:v>294.05498415940929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44-4CC9-8F1F-24CE4C4234E9}"/>
            </c:ext>
          </c:extLst>
        </c:ser>
        <c:ser>
          <c:idx val="2"/>
          <c:order val="2"/>
          <c:spPr>
            <a:ln w="19050" cap="flat" cmpd="sng" algn="ctr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Shear'!$E$159:$E$197</c:f>
              <c:numCache>
                <c:formatCode>0.00</c:formatCode>
                <c:ptCount val="39"/>
                <c:pt idx="0">
                  <c:v>13.465959419786168</c:v>
                </c:pt>
                <c:pt idx="1">
                  <c:v>13.775029379626231</c:v>
                </c:pt>
                <c:pt idx="2">
                  <c:v>14.084099339466293</c:v>
                </c:pt>
                <c:pt idx="3">
                  <c:v>14.39316929930636</c:v>
                </c:pt>
                <c:pt idx="4">
                  <c:v>14.702239259146422</c:v>
                </c:pt>
                <c:pt idx="5">
                  <c:v>15.011309218986488</c:v>
                </c:pt>
                <c:pt idx="6">
                  <c:v>15.320379178826551</c:v>
                </c:pt>
                <c:pt idx="7">
                  <c:v>15.629449138666613</c:v>
                </c:pt>
                <c:pt idx="8">
                  <c:v>15.93851909850668</c:v>
                </c:pt>
                <c:pt idx="9">
                  <c:v>16.24758905834674</c:v>
                </c:pt>
                <c:pt idx="10">
                  <c:v>16.556659018186807</c:v>
                </c:pt>
                <c:pt idx="11">
                  <c:v>16.865728978026869</c:v>
                </c:pt>
                <c:pt idx="12">
                  <c:v>17.174798937866932</c:v>
                </c:pt>
                <c:pt idx="13">
                  <c:v>17.483868897706998</c:v>
                </c:pt>
                <c:pt idx="14">
                  <c:v>17.79293885754706</c:v>
                </c:pt>
                <c:pt idx="15">
                  <c:v>18.102008817387127</c:v>
                </c:pt>
                <c:pt idx="16">
                  <c:v>18.411078777227189</c:v>
                </c:pt>
                <c:pt idx="17">
                  <c:v>18.720148737067252</c:v>
                </c:pt>
                <c:pt idx="18">
                  <c:v>19.029218696907318</c:v>
                </c:pt>
                <c:pt idx="19">
                  <c:v>19.33828865674738</c:v>
                </c:pt>
                <c:pt idx="20">
                  <c:v>19.647358616587447</c:v>
                </c:pt>
                <c:pt idx="21">
                  <c:v>19.956428576427509</c:v>
                </c:pt>
                <c:pt idx="22">
                  <c:v>20.265498536267572</c:v>
                </c:pt>
                <c:pt idx="23">
                  <c:v>20.574568496107638</c:v>
                </c:pt>
                <c:pt idx="24">
                  <c:v>20.8836384559477</c:v>
                </c:pt>
                <c:pt idx="25">
                  <c:v>21.192708415787767</c:v>
                </c:pt>
                <c:pt idx="26">
                  <c:v>21.501778375627829</c:v>
                </c:pt>
                <c:pt idx="27">
                  <c:v>21.810848335467892</c:v>
                </c:pt>
                <c:pt idx="28">
                  <c:v>22.119918295307958</c:v>
                </c:pt>
                <c:pt idx="29">
                  <c:v>22.42898825514802</c:v>
                </c:pt>
                <c:pt idx="30">
                  <c:v>22.738058214988087</c:v>
                </c:pt>
                <c:pt idx="31">
                  <c:v>23.047128174828149</c:v>
                </c:pt>
              </c:numCache>
            </c:numRef>
          </c:xVal>
          <c:yVal>
            <c:numRef>
              <c:f>'Cu_Multi Shear'!$K$159:$K$197</c:f>
              <c:numCache>
                <c:formatCode>0.00</c:formatCode>
                <c:ptCount val="39"/>
                <c:pt idx="0" formatCode="General">
                  <c:v>0</c:v>
                </c:pt>
                <c:pt idx="1">
                  <c:v>102.92626278350525</c:v>
                </c:pt>
                <c:pt idx="2">
                  <c:v>174.14977101357195</c:v>
                </c:pt>
                <c:pt idx="3">
                  <c:v>225.22142086994555</c:v>
                </c:pt>
                <c:pt idx="4">
                  <c:v>261.0031218318851</c:v>
                </c:pt>
                <c:pt idx="5">
                  <c:v>298.42161078418178</c:v>
                </c:pt>
                <c:pt idx="6">
                  <c:v>314.21832239026816</c:v>
                </c:pt>
                <c:pt idx="7">
                  <c:v>328.98293055727572</c:v>
                </c:pt>
                <c:pt idx="8">
                  <c:v>339.02907804983386</c:v>
                </c:pt>
                <c:pt idx="9">
                  <c:v>349.00496490330153</c:v>
                </c:pt>
                <c:pt idx="10">
                  <c:v>359.82852101823551</c:v>
                </c:pt>
                <c:pt idx="11">
                  <c:v>375.15097331046115</c:v>
                </c:pt>
                <c:pt idx="12">
                  <c:v>390.36803464405119</c:v>
                </c:pt>
                <c:pt idx="13">
                  <c:v>406.38885233967596</c:v>
                </c:pt>
                <c:pt idx="14">
                  <c:v>416.86110525915763</c:v>
                </c:pt>
                <c:pt idx="15">
                  <c:v>423.64407341663969</c:v>
                </c:pt>
                <c:pt idx="16">
                  <c:v>430.37434609480408</c:v>
                </c:pt>
                <c:pt idx="17">
                  <c:v>445.12885822104857</c:v>
                </c:pt>
                <c:pt idx="18">
                  <c:v>454.41092126349804</c:v>
                </c:pt>
                <c:pt idx="19">
                  <c:v>460.05639502326568</c:v>
                </c:pt>
                <c:pt idx="20">
                  <c:v>467.43233762551125</c:v>
                </c:pt>
                <c:pt idx="21">
                  <c:v>472.09254837226052</c:v>
                </c:pt>
                <c:pt idx="22">
                  <c:v>478.47737290823017</c:v>
                </c:pt>
                <c:pt idx="23">
                  <c:v>480.41014169296818</c:v>
                </c:pt>
                <c:pt idx="24">
                  <c:v>484.07337932018407</c:v>
                </c:pt>
                <c:pt idx="25">
                  <c:v>489.44952063010498</c:v>
                </c:pt>
                <c:pt idx="26">
                  <c:v>494.77882151396568</c:v>
                </c:pt>
                <c:pt idx="27">
                  <c:v>498.32495807603084</c:v>
                </c:pt>
                <c:pt idx="28">
                  <c:v>501.83596431855062</c:v>
                </c:pt>
                <c:pt idx="29">
                  <c:v>494.10185061159382</c:v>
                </c:pt>
                <c:pt idx="30">
                  <c:v>487.26810164542104</c:v>
                </c:pt>
                <c:pt idx="31">
                  <c:v>477.04367563338337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44-4CC9-8F1F-24CE4C423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5215"/>
        <c:axId val="1"/>
      </c:scatterChart>
      <c:valAx>
        <c:axId val="3127521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D" cap="none" baseline="0"/>
                  <a:t>Strain ( % )</a:t>
                </a:r>
              </a:p>
            </c:rich>
          </c:tx>
          <c:layout>
            <c:manualLayout>
              <c:xMode val="edge"/>
              <c:yMode val="edge"/>
              <c:x val="0.45739559018044212"/>
              <c:y val="0.929799651689780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D" sz="800" cap="none" baseline="0"/>
                  <a:t>Deviator stress (kN/m</a:t>
                </a:r>
                <a:r>
                  <a:rPr lang="en-ID" sz="800" cap="none" baseline="30000"/>
                  <a:t>2</a:t>
                </a:r>
                <a:r>
                  <a:rPr lang="en-ID" sz="800" cap="none" baseline="0"/>
                  <a:t>)</a:t>
                </a:r>
              </a:p>
            </c:rich>
          </c:tx>
          <c:layout>
            <c:manualLayout>
              <c:xMode val="edge"/>
              <c:yMode val="edge"/>
              <c:x val="8.8183421516754845E-3"/>
              <c:y val="0.2119205298013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127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900">
          <a:latin typeface="Aptos" panose="020B0004020202020204" pitchFamily="34" charset="0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ID" b="1"/>
              <a:t>MOHR CIRCLES</a:t>
            </a:r>
          </a:p>
        </c:rich>
      </c:tx>
      <c:layout>
        <c:manualLayout>
          <c:xMode val="edge"/>
          <c:yMode val="edge"/>
          <c:x val="0.39528456542083457"/>
          <c:y val="5.413954459011073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11796977801135"/>
          <c:y val="8.1081081081081086E-2"/>
          <c:w val="0.86157502169855049"/>
          <c:h val="0.7932583155229904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'Cu_Multi Graph'!$AH$11:$AH$33</c:f>
              <c:numCache>
                <c:formatCode>0</c:formatCode>
                <c:ptCount val="23"/>
                <c:pt idx="0">
                  <c:v>50</c:v>
                </c:pt>
                <c:pt idx="1">
                  <c:v>50.38522578482511</c:v>
                </c:pt>
                <c:pt idx="2">
                  <c:v>51.926128924125543</c:v>
                </c:pt>
                <c:pt idx="3">
                  <c:v>52.88919338618831</c:v>
                </c:pt>
                <c:pt idx="4">
                  <c:v>54.815322310313853</c:v>
                </c:pt>
                <c:pt idx="5">
                  <c:v>59.630644620627706</c:v>
                </c:pt>
                <c:pt idx="6">
                  <c:v>64.445966930941552</c:v>
                </c:pt>
                <c:pt idx="7">
                  <c:v>69.261289241255412</c:v>
                </c:pt>
                <c:pt idx="8">
                  <c:v>88.522578482510824</c:v>
                </c:pt>
                <c:pt idx="9">
                  <c:v>107.78386772376624</c:v>
                </c:pt>
                <c:pt idx="10">
                  <c:v>127.04515696502165</c:v>
                </c:pt>
                <c:pt idx="11">
                  <c:v>146.30644620627706</c:v>
                </c:pt>
                <c:pt idx="12">
                  <c:v>165.56773544753247</c:v>
                </c:pt>
                <c:pt idx="13">
                  <c:v>184.82902468878788</c:v>
                </c:pt>
                <c:pt idx="14">
                  <c:v>204.09031393004329</c:v>
                </c:pt>
                <c:pt idx="15">
                  <c:v>223.35160317129871</c:v>
                </c:pt>
                <c:pt idx="16">
                  <c:v>228.16692548161257</c:v>
                </c:pt>
                <c:pt idx="17">
                  <c:v>232.9822477919264</c:v>
                </c:pt>
                <c:pt idx="18">
                  <c:v>237.79757010224026</c:v>
                </c:pt>
                <c:pt idx="19">
                  <c:v>239.72369902636581</c:v>
                </c:pt>
                <c:pt idx="20">
                  <c:v>240.6867634884286</c:v>
                </c:pt>
                <c:pt idx="21">
                  <c:v>242.22766662772901</c:v>
                </c:pt>
                <c:pt idx="22">
                  <c:v>242.61289241255412</c:v>
                </c:pt>
              </c:numCache>
            </c:numRef>
          </c:xVal>
          <c:yVal>
            <c:numRef>
              <c:f>'Cu_Multi Graph'!$AI$11:$AI$33</c:f>
              <c:numCache>
                <c:formatCode>0.00</c:formatCode>
                <c:ptCount val="23"/>
                <c:pt idx="0" formatCode="0">
                  <c:v>0</c:v>
                </c:pt>
                <c:pt idx="1">
                  <c:v>8.6052921938634217</c:v>
                </c:pt>
                <c:pt idx="2">
                  <c:v>19.16474081752602</c:v>
                </c:pt>
                <c:pt idx="3">
                  <c:v>23.412570478914933</c:v>
                </c:pt>
                <c:pt idx="4">
                  <c:v>30.071678189553211</c:v>
                </c:pt>
                <c:pt idx="5">
                  <c:v>41.979006662469786</c:v>
                </c:pt>
                <c:pt idx="6">
                  <c:v>50.732568569853662</c:v>
                </c:pt>
                <c:pt idx="7">
                  <c:v>57.783867723766242</c:v>
                </c:pt>
                <c:pt idx="8">
                  <c:v>77.045156965021647</c:v>
                </c:pt>
                <c:pt idx="9">
                  <c:v>88.266315930491473</c:v>
                </c:pt>
                <c:pt idx="10">
                  <c:v>94.360660858470226</c:v>
                </c:pt>
                <c:pt idx="11">
                  <c:v>96.306446206277059</c:v>
                </c:pt>
                <c:pt idx="12">
                  <c:v>94.360660858470226</c:v>
                </c:pt>
                <c:pt idx="13">
                  <c:v>88.266315930491473</c:v>
                </c:pt>
                <c:pt idx="14">
                  <c:v>77.045156965021647</c:v>
                </c:pt>
                <c:pt idx="15">
                  <c:v>57.783867723766242</c:v>
                </c:pt>
                <c:pt idx="16">
                  <c:v>50.732568569853662</c:v>
                </c:pt>
                <c:pt idx="17">
                  <c:v>41.979006662469814</c:v>
                </c:pt>
                <c:pt idx="18">
                  <c:v>30.071678189553211</c:v>
                </c:pt>
                <c:pt idx="19">
                  <c:v>23.412570478914933</c:v>
                </c:pt>
                <c:pt idx="20">
                  <c:v>19.164740817525974</c:v>
                </c:pt>
                <c:pt idx="21">
                  <c:v>8.6052921938634217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329-40B9-B4FB-EEEE8ED69686}"/>
            </c:ext>
          </c:extLst>
        </c:ser>
        <c:ser>
          <c:idx val="1"/>
          <c:order val="1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'Cu_Multi Graph'!$AM$11:$AM$33</c:f>
              <c:numCache>
                <c:formatCode>0</c:formatCode>
                <c:ptCount val="23"/>
                <c:pt idx="0">
                  <c:v>100</c:v>
                </c:pt>
                <c:pt idx="1">
                  <c:v>100.58810996831882</c:v>
                </c:pt>
                <c:pt idx="2">
                  <c:v>102.94054984159409</c:v>
                </c:pt>
                <c:pt idx="3">
                  <c:v>104.41082476239114</c:v>
                </c:pt>
                <c:pt idx="4">
                  <c:v>107.35137460398524</c:v>
                </c:pt>
                <c:pt idx="5">
                  <c:v>114.70274920797047</c:v>
                </c:pt>
                <c:pt idx="6">
                  <c:v>122.05412381195569</c:v>
                </c:pt>
                <c:pt idx="7">
                  <c:v>129.40549841594094</c:v>
                </c:pt>
                <c:pt idx="8">
                  <c:v>158.81099683188185</c:v>
                </c:pt>
                <c:pt idx="9">
                  <c:v>188.21649524782279</c:v>
                </c:pt>
                <c:pt idx="10">
                  <c:v>217.6219936637637</c:v>
                </c:pt>
                <c:pt idx="11">
                  <c:v>247.02749207970464</c:v>
                </c:pt>
                <c:pt idx="12">
                  <c:v>276.43299049564558</c:v>
                </c:pt>
                <c:pt idx="13">
                  <c:v>305.83848891158652</c:v>
                </c:pt>
                <c:pt idx="14">
                  <c:v>335.24398732752741</c:v>
                </c:pt>
                <c:pt idx="15">
                  <c:v>364.64948574346835</c:v>
                </c:pt>
                <c:pt idx="16">
                  <c:v>372.00086034745362</c:v>
                </c:pt>
                <c:pt idx="17">
                  <c:v>379.35223495143885</c:v>
                </c:pt>
                <c:pt idx="18">
                  <c:v>386.70360955542407</c:v>
                </c:pt>
                <c:pt idx="19">
                  <c:v>389.64415939701814</c:v>
                </c:pt>
                <c:pt idx="20">
                  <c:v>391.11443431781521</c:v>
                </c:pt>
                <c:pt idx="21">
                  <c:v>393.46687419109048</c:v>
                </c:pt>
                <c:pt idx="22">
                  <c:v>394.05498415940929</c:v>
                </c:pt>
              </c:numCache>
            </c:numRef>
          </c:xVal>
          <c:yVal>
            <c:numRef>
              <c:f>'Cu_Multi Graph'!$AN$11:$AN$33</c:f>
              <c:numCache>
                <c:formatCode>0.00</c:formatCode>
                <c:ptCount val="23"/>
                <c:pt idx="0" formatCode="0">
                  <c:v>0</c:v>
                </c:pt>
                <c:pt idx="1">
                  <c:v>13.137381553534532</c:v>
                </c:pt>
                <c:pt idx="2">
                  <c:v>29.258101505719907</c:v>
                </c:pt>
                <c:pt idx="3">
                  <c:v>35.743106056278002</c:v>
                </c:pt>
                <c:pt idx="4">
                  <c:v>45.909319687364587</c:v>
                </c:pt>
                <c:pt idx="5">
                  <c:v>64.08779798976596</c:v>
                </c:pt>
                <c:pt idx="6">
                  <c:v>77.451537435103333</c:v>
                </c:pt>
                <c:pt idx="7">
                  <c:v>88.216495247822792</c:v>
                </c:pt>
                <c:pt idx="8">
                  <c:v>117.62199366376372</c:v>
                </c:pt>
                <c:pt idx="9">
                  <c:v>134.75292233895337</c:v>
                </c:pt>
                <c:pt idx="10">
                  <c:v>144.05693350254859</c:v>
                </c:pt>
                <c:pt idx="11">
                  <c:v>147.02749207970464</c:v>
                </c:pt>
                <c:pt idx="12">
                  <c:v>144.05693350254859</c:v>
                </c:pt>
                <c:pt idx="13">
                  <c:v>134.75292233895337</c:v>
                </c:pt>
                <c:pt idx="14">
                  <c:v>117.62199366376372</c:v>
                </c:pt>
                <c:pt idx="15">
                  <c:v>88.216495247822806</c:v>
                </c:pt>
                <c:pt idx="16">
                  <c:v>77.45153743510329</c:v>
                </c:pt>
                <c:pt idx="17">
                  <c:v>64.087797989765903</c:v>
                </c:pt>
                <c:pt idx="18">
                  <c:v>45.909319687364587</c:v>
                </c:pt>
                <c:pt idx="19">
                  <c:v>35.743106056278002</c:v>
                </c:pt>
                <c:pt idx="20">
                  <c:v>29.258101505719782</c:v>
                </c:pt>
                <c:pt idx="21">
                  <c:v>13.137381553534254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29-40B9-B4FB-EEEE8ED69686}"/>
            </c:ext>
          </c:extLst>
        </c:ser>
        <c:ser>
          <c:idx val="2"/>
          <c:order val="2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'Cu_Multi Graph'!$AR$11:$AR$33</c:f>
              <c:numCache>
                <c:formatCode>0</c:formatCode>
                <c:ptCount val="23"/>
                <c:pt idx="0">
                  <c:v>200</c:v>
                </c:pt>
                <c:pt idx="1">
                  <c:v>201.00367192863709</c:v>
                </c:pt>
                <c:pt idx="2">
                  <c:v>205.01835964318551</c:v>
                </c:pt>
                <c:pt idx="3">
                  <c:v>207.52753946477827</c:v>
                </c:pt>
                <c:pt idx="4">
                  <c:v>212.54589910796378</c:v>
                </c:pt>
                <c:pt idx="5">
                  <c:v>225.09179821592753</c:v>
                </c:pt>
                <c:pt idx="6">
                  <c:v>237.6376973238913</c:v>
                </c:pt>
                <c:pt idx="7">
                  <c:v>250.18359643185505</c:v>
                </c:pt>
                <c:pt idx="8">
                  <c:v>300.3671928637101</c:v>
                </c:pt>
                <c:pt idx="9">
                  <c:v>350.55078929556521</c:v>
                </c:pt>
                <c:pt idx="10">
                  <c:v>400.73438572742026</c:v>
                </c:pt>
                <c:pt idx="11">
                  <c:v>450.91798215927531</c:v>
                </c:pt>
                <c:pt idx="12">
                  <c:v>501.10157859113042</c:v>
                </c:pt>
                <c:pt idx="13">
                  <c:v>551.28517502298541</c:v>
                </c:pt>
                <c:pt idx="14">
                  <c:v>601.46877145484052</c:v>
                </c:pt>
                <c:pt idx="15">
                  <c:v>651.65236788669563</c:v>
                </c:pt>
                <c:pt idx="16">
                  <c:v>664.19826699465943</c:v>
                </c:pt>
                <c:pt idx="17">
                  <c:v>676.74416610262313</c:v>
                </c:pt>
                <c:pt idx="18">
                  <c:v>689.29006521058682</c:v>
                </c:pt>
                <c:pt idx="19">
                  <c:v>694.30842485377229</c:v>
                </c:pt>
                <c:pt idx="20">
                  <c:v>696.81760467536515</c:v>
                </c:pt>
                <c:pt idx="21">
                  <c:v>700.83229238991362</c:v>
                </c:pt>
                <c:pt idx="22">
                  <c:v>701.83596431855062</c:v>
                </c:pt>
              </c:numCache>
            </c:numRef>
          </c:xVal>
          <c:yVal>
            <c:numRef>
              <c:f>'Cu_Multi Graph'!$AS$11:$AS$33</c:f>
              <c:numCache>
                <c:formatCode>0.00</c:formatCode>
                <c:ptCount val="23"/>
                <c:pt idx="0" formatCode="0">
                  <c:v>0</c:v>
                </c:pt>
                <c:pt idx="1">
                  <c:v>22.420332576184546</c:v>
                </c:pt>
                <c:pt idx="2">
                  <c:v>49.932047998524389</c:v>
                </c:pt>
                <c:pt idx="3">
                  <c:v>60.999394881090033</c:v>
                </c:pt>
                <c:pt idx="4">
                  <c:v>78.349114817341999</c:v>
                </c:pt>
                <c:pt idx="5">
                  <c:v>109.37261273494225</c:v>
                </c:pt>
                <c:pt idx="6">
                  <c:v>132.17924901973029</c:v>
                </c:pt>
                <c:pt idx="7">
                  <c:v>150.55078929556515</c:v>
                </c:pt>
                <c:pt idx="8">
                  <c:v>200.73438572742026</c:v>
                </c:pt>
                <c:pt idx="9">
                  <c:v>229.97012929409163</c:v>
                </c:pt>
                <c:pt idx="10">
                  <c:v>245.84840943159895</c:v>
                </c:pt>
                <c:pt idx="11">
                  <c:v>250.91798215927531</c:v>
                </c:pt>
                <c:pt idx="12">
                  <c:v>245.84840943159892</c:v>
                </c:pt>
                <c:pt idx="13">
                  <c:v>229.97012929409161</c:v>
                </c:pt>
                <c:pt idx="14">
                  <c:v>200.73438572742023</c:v>
                </c:pt>
                <c:pt idx="15">
                  <c:v>150.55078929556515</c:v>
                </c:pt>
                <c:pt idx="16">
                  <c:v>132.17924901973018</c:v>
                </c:pt>
                <c:pt idx="17">
                  <c:v>109.37261273494222</c:v>
                </c:pt>
                <c:pt idx="18">
                  <c:v>78.349114817341913</c:v>
                </c:pt>
                <c:pt idx="19">
                  <c:v>60.999394881090033</c:v>
                </c:pt>
                <c:pt idx="20">
                  <c:v>49.93204799852424</c:v>
                </c:pt>
                <c:pt idx="21">
                  <c:v>22.420332576184222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29-40B9-B4FB-EEEE8ED69686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'Cu_Multi Graph'!$AH$38:$AH$60</c:f>
              <c:numCache>
                <c:formatCode>0</c:formatCode>
                <c:ptCount val="23"/>
                <c:pt idx="0">
                  <c:v>35</c:v>
                </c:pt>
                <c:pt idx="1">
                  <c:v>35.38522578482511</c:v>
                </c:pt>
                <c:pt idx="2">
                  <c:v>36.926128924125543</c:v>
                </c:pt>
                <c:pt idx="3">
                  <c:v>37.88919338618831</c:v>
                </c:pt>
                <c:pt idx="4">
                  <c:v>39.815322310313853</c:v>
                </c:pt>
                <c:pt idx="5">
                  <c:v>44.630644620627706</c:v>
                </c:pt>
                <c:pt idx="6">
                  <c:v>49.445966930941559</c:v>
                </c:pt>
                <c:pt idx="7">
                  <c:v>54.261289241255412</c:v>
                </c:pt>
                <c:pt idx="8">
                  <c:v>73.522578482510824</c:v>
                </c:pt>
                <c:pt idx="9">
                  <c:v>92.783867723766235</c:v>
                </c:pt>
                <c:pt idx="10">
                  <c:v>112.04515696502165</c:v>
                </c:pt>
                <c:pt idx="11">
                  <c:v>131.30644620627706</c:v>
                </c:pt>
                <c:pt idx="12">
                  <c:v>150.56773544753247</c:v>
                </c:pt>
                <c:pt idx="13">
                  <c:v>169.82902468878788</c:v>
                </c:pt>
                <c:pt idx="14">
                  <c:v>189.09031393004329</c:v>
                </c:pt>
                <c:pt idx="15">
                  <c:v>208.35160317129871</c:v>
                </c:pt>
                <c:pt idx="16">
                  <c:v>213.16692548161257</c:v>
                </c:pt>
                <c:pt idx="17">
                  <c:v>217.9822477919264</c:v>
                </c:pt>
                <c:pt idx="18">
                  <c:v>222.79757010224026</c:v>
                </c:pt>
                <c:pt idx="19">
                  <c:v>224.72369902636581</c:v>
                </c:pt>
                <c:pt idx="20">
                  <c:v>225.6867634884286</c:v>
                </c:pt>
                <c:pt idx="21">
                  <c:v>227.22766662772901</c:v>
                </c:pt>
                <c:pt idx="22">
                  <c:v>227.61289241255412</c:v>
                </c:pt>
              </c:numCache>
            </c:numRef>
          </c:xVal>
          <c:yVal>
            <c:numRef>
              <c:f>'Cu_Multi Graph'!$AI$38:$AI$60</c:f>
              <c:numCache>
                <c:formatCode>0.00</c:formatCode>
                <c:ptCount val="23"/>
                <c:pt idx="0" formatCode="0">
                  <c:v>0</c:v>
                </c:pt>
                <c:pt idx="1">
                  <c:v>8.6052921938634217</c:v>
                </c:pt>
                <c:pt idx="2">
                  <c:v>19.16474081752602</c:v>
                </c:pt>
                <c:pt idx="3">
                  <c:v>23.412570478914933</c:v>
                </c:pt>
                <c:pt idx="4">
                  <c:v>30.071678189553211</c:v>
                </c:pt>
                <c:pt idx="5">
                  <c:v>41.979006662469786</c:v>
                </c:pt>
                <c:pt idx="6">
                  <c:v>50.732568569853662</c:v>
                </c:pt>
                <c:pt idx="7">
                  <c:v>57.783867723766242</c:v>
                </c:pt>
                <c:pt idx="8">
                  <c:v>77.045156965021647</c:v>
                </c:pt>
                <c:pt idx="9">
                  <c:v>88.266315930491473</c:v>
                </c:pt>
                <c:pt idx="10">
                  <c:v>94.360660858470226</c:v>
                </c:pt>
                <c:pt idx="11">
                  <c:v>96.306446206277059</c:v>
                </c:pt>
                <c:pt idx="12">
                  <c:v>94.360660858470226</c:v>
                </c:pt>
                <c:pt idx="13">
                  <c:v>88.266315930491473</c:v>
                </c:pt>
                <c:pt idx="14">
                  <c:v>77.045156965021647</c:v>
                </c:pt>
                <c:pt idx="15">
                  <c:v>57.783867723766242</c:v>
                </c:pt>
                <c:pt idx="16">
                  <c:v>50.732568569853662</c:v>
                </c:pt>
                <c:pt idx="17">
                  <c:v>41.979006662469814</c:v>
                </c:pt>
                <c:pt idx="18">
                  <c:v>30.071678189553211</c:v>
                </c:pt>
                <c:pt idx="19">
                  <c:v>23.412570478914933</c:v>
                </c:pt>
                <c:pt idx="20">
                  <c:v>19.164740817525974</c:v>
                </c:pt>
                <c:pt idx="21">
                  <c:v>8.6052921938634217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29-40B9-B4FB-EEEE8ED69686}"/>
            </c:ext>
          </c:extLst>
        </c:ser>
        <c:ser>
          <c:idx val="4"/>
          <c:order val="4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'Cu_Multi Graph'!$AM$38:$AM$60</c:f>
              <c:numCache>
                <c:formatCode>0</c:formatCode>
                <c:ptCount val="23"/>
                <c:pt idx="0">
                  <c:v>69</c:v>
                </c:pt>
                <c:pt idx="1">
                  <c:v>69.588109968318818</c:v>
                </c:pt>
                <c:pt idx="2">
                  <c:v>71.940549841594091</c:v>
                </c:pt>
                <c:pt idx="3">
                  <c:v>73.410824762391144</c:v>
                </c:pt>
                <c:pt idx="4">
                  <c:v>76.351374603985235</c:v>
                </c:pt>
                <c:pt idx="5">
                  <c:v>83.70274920797047</c:v>
                </c:pt>
                <c:pt idx="6">
                  <c:v>91.054123811955691</c:v>
                </c:pt>
                <c:pt idx="7">
                  <c:v>98.405498415940926</c:v>
                </c:pt>
                <c:pt idx="8">
                  <c:v>127.81099683188185</c:v>
                </c:pt>
                <c:pt idx="9">
                  <c:v>157.21649524782279</c:v>
                </c:pt>
                <c:pt idx="10">
                  <c:v>186.6219936637637</c:v>
                </c:pt>
                <c:pt idx="11">
                  <c:v>216.02749207970464</c:v>
                </c:pt>
                <c:pt idx="12">
                  <c:v>245.43299049564558</c:v>
                </c:pt>
                <c:pt idx="13">
                  <c:v>274.83848891158652</c:v>
                </c:pt>
                <c:pt idx="14">
                  <c:v>304.24398732752741</c:v>
                </c:pt>
                <c:pt idx="15">
                  <c:v>333.64948574346835</c:v>
                </c:pt>
                <c:pt idx="16">
                  <c:v>341.00086034745362</c:v>
                </c:pt>
                <c:pt idx="17">
                  <c:v>348.35223495143885</c:v>
                </c:pt>
                <c:pt idx="18">
                  <c:v>355.70360955542407</c:v>
                </c:pt>
                <c:pt idx="19">
                  <c:v>358.64415939701814</c:v>
                </c:pt>
                <c:pt idx="20">
                  <c:v>360.11443431781521</c:v>
                </c:pt>
                <c:pt idx="21">
                  <c:v>362.46687419109048</c:v>
                </c:pt>
                <c:pt idx="22">
                  <c:v>363.05498415940929</c:v>
                </c:pt>
              </c:numCache>
            </c:numRef>
          </c:xVal>
          <c:yVal>
            <c:numRef>
              <c:f>'Cu_Multi Graph'!$AN$38:$AN$60</c:f>
              <c:numCache>
                <c:formatCode>0.00</c:formatCode>
                <c:ptCount val="23"/>
                <c:pt idx="0" formatCode="0">
                  <c:v>0</c:v>
                </c:pt>
                <c:pt idx="1">
                  <c:v>13.137381553534532</c:v>
                </c:pt>
                <c:pt idx="2">
                  <c:v>29.258101505719907</c:v>
                </c:pt>
                <c:pt idx="3">
                  <c:v>35.743106056278002</c:v>
                </c:pt>
                <c:pt idx="4">
                  <c:v>45.909319687364587</c:v>
                </c:pt>
                <c:pt idx="5">
                  <c:v>64.08779798976596</c:v>
                </c:pt>
                <c:pt idx="6">
                  <c:v>77.451537435103333</c:v>
                </c:pt>
                <c:pt idx="7">
                  <c:v>88.216495247822792</c:v>
                </c:pt>
                <c:pt idx="8">
                  <c:v>117.62199366376372</c:v>
                </c:pt>
                <c:pt idx="9">
                  <c:v>134.75292233895337</c:v>
                </c:pt>
                <c:pt idx="10">
                  <c:v>144.05693350254859</c:v>
                </c:pt>
                <c:pt idx="11">
                  <c:v>147.02749207970464</c:v>
                </c:pt>
                <c:pt idx="12">
                  <c:v>144.05693350254859</c:v>
                </c:pt>
                <c:pt idx="13">
                  <c:v>134.75292233895337</c:v>
                </c:pt>
                <c:pt idx="14">
                  <c:v>117.62199366376372</c:v>
                </c:pt>
                <c:pt idx="15">
                  <c:v>88.216495247822806</c:v>
                </c:pt>
                <c:pt idx="16">
                  <c:v>77.45153743510329</c:v>
                </c:pt>
                <c:pt idx="17">
                  <c:v>64.087797989765903</c:v>
                </c:pt>
                <c:pt idx="18">
                  <c:v>45.909319687364587</c:v>
                </c:pt>
                <c:pt idx="19">
                  <c:v>35.743106056278002</c:v>
                </c:pt>
                <c:pt idx="20">
                  <c:v>29.258101505719782</c:v>
                </c:pt>
                <c:pt idx="21">
                  <c:v>13.137381553534254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29-40B9-B4FB-EEEE8ED69686}"/>
            </c:ext>
          </c:extLst>
        </c:ser>
        <c:ser>
          <c:idx val="5"/>
          <c:order val="5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'Cu_Multi Graph'!$AR$38:$AR$60</c:f>
              <c:numCache>
                <c:formatCode>0</c:formatCode>
                <c:ptCount val="23"/>
                <c:pt idx="0">
                  <c:v>137</c:v>
                </c:pt>
                <c:pt idx="1">
                  <c:v>138.00367192863709</c:v>
                </c:pt>
                <c:pt idx="2">
                  <c:v>142.01835964318551</c:v>
                </c:pt>
                <c:pt idx="3">
                  <c:v>144.52753946477827</c:v>
                </c:pt>
                <c:pt idx="4">
                  <c:v>149.54589910796378</c:v>
                </c:pt>
                <c:pt idx="5">
                  <c:v>162.09179821592753</c:v>
                </c:pt>
                <c:pt idx="6">
                  <c:v>174.6376973238913</c:v>
                </c:pt>
                <c:pt idx="7">
                  <c:v>187.18359643185505</c:v>
                </c:pt>
                <c:pt idx="8">
                  <c:v>237.36719286371013</c:v>
                </c:pt>
                <c:pt idx="9">
                  <c:v>287.55078929556521</c:v>
                </c:pt>
                <c:pt idx="10">
                  <c:v>337.73438572742026</c:v>
                </c:pt>
                <c:pt idx="11">
                  <c:v>387.91798215927531</c:v>
                </c:pt>
                <c:pt idx="12">
                  <c:v>438.10157859113042</c:v>
                </c:pt>
                <c:pt idx="13">
                  <c:v>488.28517502298547</c:v>
                </c:pt>
                <c:pt idx="14">
                  <c:v>538.46877145484052</c:v>
                </c:pt>
                <c:pt idx="15">
                  <c:v>588.65236788669563</c:v>
                </c:pt>
                <c:pt idx="16">
                  <c:v>601.19826699465943</c:v>
                </c:pt>
                <c:pt idx="17">
                  <c:v>613.74416610262313</c:v>
                </c:pt>
                <c:pt idx="18">
                  <c:v>626.29006521058682</c:v>
                </c:pt>
                <c:pt idx="19">
                  <c:v>631.30842485377229</c:v>
                </c:pt>
                <c:pt idx="20">
                  <c:v>633.81760467536515</c:v>
                </c:pt>
                <c:pt idx="21">
                  <c:v>637.83229238991362</c:v>
                </c:pt>
                <c:pt idx="22">
                  <c:v>638.83596431855062</c:v>
                </c:pt>
              </c:numCache>
            </c:numRef>
          </c:xVal>
          <c:yVal>
            <c:numRef>
              <c:f>'Cu_Multi Graph'!$AS$38:$AS$60</c:f>
              <c:numCache>
                <c:formatCode>0.00</c:formatCode>
                <c:ptCount val="23"/>
                <c:pt idx="0" formatCode="0">
                  <c:v>0</c:v>
                </c:pt>
                <c:pt idx="1">
                  <c:v>22.420332576184546</c:v>
                </c:pt>
                <c:pt idx="2">
                  <c:v>49.932047998524389</c:v>
                </c:pt>
                <c:pt idx="3">
                  <c:v>60.999394881090033</c:v>
                </c:pt>
                <c:pt idx="4">
                  <c:v>78.349114817341999</c:v>
                </c:pt>
                <c:pt idx="5">
                  <c:v>109.37261273494225</c:v>
                </c:pt>
                <c:pt idx="6">
                  <c:v>132.17924901973029</c:v>
                </c:pt>
                <c:pt idx="7">
                  <c:v>150.55078929556515</c:v>
                </c:pt>
                <c:pt idx="8">
                  <c:v>200.73438572742026</c:v>
                </c:pt>
                <c:pt idx="9">
                  <c:v>229.97012929409163</c:v>
                </c:pt>
                <c:pt idx="10">
                  <c:v>245.84840943159895</c:v>
                </c:pt>
                <c:pt idx="11">
                  <c:v>250.91798215927531</c:v>
                </c:pt>
                <c:pt idx="12">
                  <c:v>245.84840943159892</c:v>
                </c:pt>
                <c:pt idx="13">
                  <c:v>229.97012929409161</c:v>
                </c:pt>
                <c:pt idx="14">
                  <c:v>200.73438572742023</c:v>
                </c:pt>
                <c:pt idx="15">
                  <c:v>150.55078929556515</c:v>
                </c:pt>
                <c:pt idx="16">
                  <c:v>132.17924901973018</c:v>
                </c:pt>
                <c:pt idx="17">
                  <c:v>109.37261273494222</c:v>
                </c:pt>
                <c:pt idx="18">
                  <c:v>78.349114817341913</c:v>
                </c:pt>
                <c:pt idx="19">
                  <c:v>60.999394881090033</c:v>
                </c:pt>
                <c:pt idx="20">
                  <c:v>49.93204799852424</c:v>
                </c:pt>
                <c:pt idx="21">
                  <c:v>22.420332576184222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29-40B9-B4FB-EEEE8ED69686}"/>
            </c:ext>
          </c:extLst>
        </c:ser>
        <c:ser>
          <c:idx val="6"/>
          <c:order val="6"/>
          <c:tx>
            <c:v>Total</c:v>
          </c:tx>
          <c:spPr>
            <a:ln w="19050">
              <a:noFill/>
            </a:ln>
          </c:spPr>
          <c:marker>
            <c:symbol val="none"/>
          </c:marker>
          <c:trendline>
            <c:trendlineType val="linear"/>
            <c:forward val="250"/>
            <c:dispRSqr val="0"/>
            <c:dispEq val="0"/>
          </c:trendline>
          <c:xVal>
            <c:numRef>
              <c:f>'Cu_Multi Graph'!$I$81:$I$82</c:f>
              <c:numCache>
                <c:formatCode>0</c:formatCode>
                <c:ptCount val="2"/>
                <c:pt idx="0" formatCode="General">
                  <c:v>0</c:v>
                </c:pt>
                <c:pt idx="1">
                  <c:v>450.91798215927531</c:v>
                </c:pt>
              </c:numCache>
            </c:numRef>
          </c:xVal>
          <c:yVal>
            <c:numRef>
              <c:f>'Cu_Multi Graph'!$J$81:$J$82</c:f>
              <c:numCache>
                <c:formatCode>0</c:formatCode>
                <c:ptCount val="2"/>
                <c:pt idx="0">
                  <c:v>23.163921148917751</c:v>
                </c:pt>
                <c:pt idx="1">
                  <c:v>256.91798215927531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329-40B9-B4FB-EEEE8ED69686}"/>
            </c:ext>
          </c:extLst>
        </c:ser>
        <c:ser>
          <c:idx val="7"/>
          <c:order val="7"/>
          <c:tx>
            <c:v>Efective</c:v>
          </c:tx>
          <c:spPr>
            <a:ln w="19050">
              <a:noFill/>
            </a:ln>
          </c:spPr>
          <c:marker>
            <c:symbol val="none"/>
          </c:marker>
          <c:trendline>
            <c:spPr>
              <a:ln w="19050">
                <a:solidFill>
                  <a:schemeClr val="accent6"/>
                </a:solidFill>
                <a:prstDash val="sysDash"/>
              </a:ln>
            </c:spPr>
            <c:trendlineType val="linear"/>
            <c:forward val="400"/>
            <c:dispRSqr val="0"/>
            <c:dispEq val="0"/>
          </c:trendline>
          <c:xVal>
            <c:numRef>
              <c:f>'Cu_Multi Graph'!$I$84:$I$85</c:f>
              <c:numCache>
                <c:formatCode>0</c:formatCode>
                <c:ptCount val="2"/>
                <c:pt idx="0" formatCode="General">
                  <c:v>0</c:v>
                </c:pt>
                <c:pt idx="1">
                  <c:v>387.91798215927531</c:v>
                </c:pt>
              </c:numCache>
            </c:numRef>
          </c:xVal>
          <c:yVal>
            <c:numRef>
              <c:f>'Cu_Multi Graph'!$J$84:$J$85</c:f>
              <c:numCache>
                <c:formatCode>0</c:formatCode>
                <c:ptCount val="2"/>
                <c:pt idx="0">
                  <c:v>25.377720038568341</c:v>
                </c:pt>
                <c:pt idx="1">
                  <c:v>259.91798215927531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329-40B9-B4FB-EEEE8ED69686}"/>
            </c:ext>
          </c:extLst>
        </c:ser>
        <c:ser>
          <c:idx val="8"/>
          <c:order val="8"/>
          <c:spPr>
            <a:ln w="12700">
              <a:solidFill>
                <a:srgbClr val="00CC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'Cu_Multi Graph'!$M$92:$M$93</c:f>
              <c:numCache>
                <c:formatCode>0</c:formatCode>
                <c:ptCount val="2"/>
                <c:pt idx="0">
                  <c:v>157.99272218329128</c:v>
                </c:pt>
                <c:pt idx="1">
                  <c:v>157.99272218329128</c:v>
                </c:pt>
              </c:numCache>
            </c:numRef>
          </c:xVal>
          <c:yVal>
            <c:numRef>
              <c:f>'Cu_Multi Graph'!$N$92:$N$93</c:f>
              <c:numCache>
                <c:formatCode>0</c:formatCode>
                <c:ptCount val="2"/>
                <c:pt idx="0">
                  <c:v>105.06671030710318</c:v>
                </c:pt>
                <c:pt idx="1">
                  <c:v>105.06671030710318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329-40B9-B4FB-EEEE8ED696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2303"/>
        <c:axId val="1"/>
      </c:scatterChart>
      <c:valAx>
        <c:axId val="31272303"/>
        <c:scaling>
          <c:orientation val="minMax"/>
          <c:max val="550"/>
          <c:min val="0"/>
        </c:scaling>
        <c:delete val="0"/>
        <c:axPos val="b"/>
        <c:majorGridlines>
          <c:spPr>
            <a:ln>
              <a:solidFill>
                <a:srgbClr val="000000">
                  <a:alpha val="5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ID" sz="800"/>
                  <a:t>Principal Stress(kN/m</a:t>
                </a:r>
                <a:r>
                  <a:rPr lang="en-ID" sz="800" baseline="30000"/>
                  <a:t>2</a:t>
                </a:r>
                <a:r>
                  <a:rPr lang="en-ID" sz="800"/>
                  <a:t>)</a:t>
                </a:r>
              </a:p>
            </c:rich>
          </c:tx>
          <c:layout>
            <c:manualLayout>
              <c:xMode val="edge"/>
              <c:yMode val="edge"/>
              <c:x val="0.40025290396036878"/>
              <c:y val="0.9458219043484463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US"/>
          </a:p>
        </c:txPr>
        <c:crossAx val="1"/>
        <c:crosses val="autoZero"/>
        <c:crossBetween val="midCat"/>
        <c:majorUnit val="50"/>
        <c:minorUnit val="20"/>
      </c:valAx>
      <c:valAx>
        <c:axId val="1"/>
        <c:scaling>
          <c:orientation val="minMax"/>
          <c:max val="400"/>
          <c:min val="0"/>
        </c:scaling>
        <c:delete val="0"/>
        <c:axPos val="l"/>
        <c:majorGridlines>
          <c:spPr>
            <a:ln>
              <a:solidFill>
                <a:srgbClr val="000000">
                  <a:alpha val="50000"/>
                </a:srgb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ID" sz="800"/>
                  <a:t>Shear Stress (kN/m</a:t>
                </a:r>
                <a:r>
                  <a:rPr lang="en-ID" sz="800" baseline="30000"/>
                  <a:t>2</a:t>
                </a:r>
                <a:r>
                  <a:rPr lang="en-ID" sz="800"/>
                  <a:t>)</a:t>
                </a:r>
              </a:p>
            </c:rich>
          </c:tx>
          <c:layout>
            <c:manualLayout>
              <c:xMode val="edge"/>
              <c:yMode val="edge"/>
              <c:x val="2.49384353612064E-2"/>
              <c:y val="0.333866701903403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/>
            </a:pPr>
            <a:endParaRPr lang="en-US"/>
          </a:p>
        </c:txPr>
        <c:crossAx val="31272303"/>
        <c:crosses val="autoZero"/>
        <c:crossBetween val="midCat"/>
        <c:majorUnit val="50"/>
      </c:valAx>
      <c:spPr>
        <a:noFill/>
      </c:spPr>
    </c:plotArea>
    <c:plotVisOnly val="1"/>
    <c:dispBlanksAs val="gap"/>
    <c:showDLblsOverMax val="0"/>
  </c:chart>
  <c:spPr>
    <a:solidFill>
      <a:srgbClr val="FFFFFF"/>
    </a:solidFill>
    <a:ln w="12700">
      <a:noFill/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92348859235275"/>
          <c:y val="9.8263151175397898E-2"/>
          <c:w val="0.74139612552320067"/>
          <c:h val="0.79740473055501038"/>
        </c:manualLayout>
      </c:layout>
      <c:scatterChart>
        <c:scatterStyle val="smoothMarker"/>
        <c:varyColors val="0"/>
        <c:ser>
          <c:idx val="0"/>
          <c:order val="0"/>
          <c:tx>
            <c:v>Specimen 1</c:v>
          </c:tx>
          <c:marker>
            <c:symbol val="none"/>
          </c:marker>
          <c:xVal>
            <c:numRef>
              <c:f>'Shearing Ds CD'!$BH$30:$BH$54</c:f>
              <c:numCache>
                <c:formatCode>0.00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</c:numCache>
            </c:numRef>
          </c:xVal>
          <c:yVal>
            <c:numRef>
              <c:f>'Shearing Ds CD'!$BI$30:$BI$54</c:f>
              <c:numCache>
                <c:formatCode>0.00</c:formatCode>
                <c:ptCount val="25"/>
                <c:pt idx="0">
                  <c:v>0</c:v>
                </c:pt>
                <c:pt idx="1">
                  <c:v>1.2998853541149435</c:v>
                </c:pt>
                <c:pt idx="2">
                  <c:v>2.0965892808305537</c:v>
                </c:pt>
                <c:pt idx="3">
                  <c:v>3.1448839212458313</c:v>
                </c:pt>
                <c:pt idx="4">
                  <c:v>3.7738607054949966</c:v>
                </c:pt>
                <c:pt idx="5">
                  <c:v>4.6124964178272192</c:v>
                </c:pt>
                <c:pt idx="6">
                  <c:v>5.2414732020763841</c:v>
                </c:pt>
                <c:pt idx="7">
                  <c:v>5.8704499863255517</c:v>
                </c:pt>
                <c:pt idx="8">
                  <c:v>6.2897678424916625</c:v>
                </c:pt>
                <c:pt idx="9">
                  <c:v>6.4994267705747175</c:v>
                </c:pt>
                <c:pt idx="10">
                  <c:v>6.604256234616245</c:v>
                </c:pt>
                <c:pt idx="11">
                  <c:v>6.7090856986577734</c:v>
                </c:pt>
                <c:pt idx="12">
                  <c:v>6.7510174842743851</c:v>
                </c:pt>
                <c:pt idx="13">
                  <c:v>6.7929492698909941</c:v>
                </c:pt>
                <c:pt idx="14">
                  <c:v>6.8348810555076067</c:v>
                </c:pt>
                <c:pt idx="15">
                  <c:v>6.8768128411242158</c:v>
                </c:pt>
                <c:pt idx="16">
                  <c:v>6.8977787339325225</c:v>
                </c:pt>
                <c:pt idx="17">
                  <c:v>6.9187446267408284</c:v>
                </c:pt>
                <c:pt idx="18">
                  <c:v>6.9187446267408284</c:v>
                </c:pt>
                <c:pt idx="19">
                  <c:v>6.9187446267408284</c:v>
                </c:pt>
                <c:pt idx="20">
                  <c:v>6.9187446267408284</c:v>
                </c:pt>
                <c:pt idx="21">
                  <c:v>6.9187446267408284</c:v>
                </c:pt>
                <c:pt idx="22">
                  <c:v>6.9187446267408284</c:v>
                </c:pt>
                <c:pt idx="23">
                  <c:v>6.9187446267408284</c:v>
                </c:pt>
                <c:pt idx="24">
                  <c:v>6.9187446267408284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6C-4CBB-9D35-D9FC269E1A86}"/>
            </c:ext>
          </c:extLst>
        </c:ser>
        <c:ser>
          <c:idx val="1"/>
          <c:order val="1"/>
          <c:tx>
            <c:v>Specimen 2</c:v>
          </c:tx>
          <c:marker>
            <c:symbol val="none"/>
          </c:marker>
          <c:xVal>
            <c:numRef>
              <c:f>'Shearing Ds CD'!$BH$30:$BH$58</c:f>
              <c:numCache>
                <c:formatCode>0.00</c:formatCode>
                <c:ptCount val="29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</c:numCache>
            </c:numRef>
          </c:xVal>
          <c:yVal>
            <c:numRef>
              <c:f>'Shearing Ds CD'!$BJ$30:$BJ$58</c:f>
              <c:numCache>
                <c:formatCode>0.00</c:formatCode>
                <c:ptCount val="29"/>
                <c:pt idx="0">
                  <c:v>0</c:v>
                </c:pt>
                <c:pt idx="1">
                  <c:v>2.5159071369966646</c:v>
                </c:pt>
                <c:pt idx="2">
                  <c:v>4.1931785616611075</c:v>
                </c:pt>
                <c:pt idx="3">
                  <c:v>5.2414732020763841</c:v>
                </c:pt>
                <c:pt idx="4">
                  <c:v>6.2897678424916625</c:v>
                </c:pt>
                <c:pt idx="5">
                  <c:v>7.3380624829069383</c:v>
                </c:pt>
                <c:pt idx="6">
                  <c:v>8.3863571233222149</c:v>
                </c:pt>
                <c:pt idx="7">
                  <c:v>9.4346517637374934</c:v>
                </c:pt>
                <c:pt idx="8">
                  <c:v>10.482946404152768</c:v>
                </c:pt>
                <c:pt idx="9">
                  <c:v>11.531241044568048</c:v>
                </c:pt>
                <c:pt idx="10">
                  <c:v>12.579535684983325</c:v>
                </c:pt>
                <c:pt idx="11">
                  <c:v>13.627830325398602</c:v>
                </c:pt>
                <c:pt idx="12">
                  <c:v>14.676124965813877</c:v>
                </c:pt>
                <c:pt idx="13">
                  <c:v>15.724419606229155</c:v>
                </c:pt>
                <c:pt idx="14">
                  <c:v>16.143737462395265</c:v>
                </c:pt>
                <c:pt idx="15">
                  <c:v>16.35339639047832</c:v>
                </c:pt>
                <c:pt idx="16">
                  <c:v>16.458225854519849</c:v>
                </c:pt>
                <c:pt idx="17">
                  <c:v>16.563055318561375</c:v>
                </c:pt>
                <c:pt idx="18">
                  <c:v>16.604987104177987</c:v>
                </c:pt>
                <c:pt idx="19">
                  <c:v>16.646918889794598</c:v>
                </c:pt>
                <c:pt idx="20">
                  <c:v>16.688850675411206</c:v>
                </c:pt>
                <c:pt idx="21">
                  <c:v>16.730782461027822</c:v>
                </c:pt>
                <c:pt idx="22">
                  <c:v>16.77271424664443</c:v>
                </c:pt>
                <c:pt idx="23">
                  <c:v>16.77271424664443</c:v>
                </c:pt>
                <c:pt idx="24">
                  <c:v>16.77271424664443</c:v>
                </c:pt>
                <c:pt idx="25">
                  <c:v>16.77271424664443</c:v>
                </c:pt>
                <c:pt idx="26">
                  <c:v>16.77271424664443</c:v>
                </c:pt>
                <c:pt idx="27">
                  <c:v>16.77271424664443</c:v>
                </c:pt>
                <c:pt idx="28">
                  <c:v>16.77271424664443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6C-4CBB-9D35-D9FC269E1A86}"/>
            </c:ext>
          </c:extLst>
        </c:ser>
        <c:ser>
          <c:idx val="2"/>
          <c:order val="2"/>
          <c:tx>
            <c:v>Specimen 3</c:v>
          </c:tx>
          <c:marker>
            <c:symbol val="none"/>
          </c:marker>
          <c:xVal>
            <c:numRef>
              <c:f>'Shearing Ds CD'!$BH$30:$BH$58</c:f>
              <c:numCache>
                <c:formatCode>0.00</c:formatCode>
                <c:ptCount val="29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</c:numCache>
            </c:numRef>
          </c:xVal>
          <c:yVal>
            <c:numRef>
              <c:f>'Shearing Ds CD'!$BK$30:$BK$58</c:f>
              <c:numCache>
                <c:formatCode>0.00</c:formatCode>
                <c:ptCount val="29"/>
                <c:pt idx="0">
                  <c:v>0</c:v>
                </c:pt>
                <c:pt idx="1">
                  <c:v>4.6124964178272192</c:v>
                </c:pt>
                <c:pt idx="2">
                  <c:v>7.3380624829069383</c:v>
                </c:pt>
                <c:pt idx="3">
                  <c:v>9.4346517637374934</c:v>
                </c:pt>
                <c:pt idx="4">
                  <c:v>11.531241044568048</c:v>
                </c:pt>
                <c:pt idx="5">
                  <c:v>13.627830325398602</c:v>
                </c:pt>
                <c:pt idx="6">
                  <c:v>15.724419606229155</c:v>
                </c:pt>
                <c:pt idx="7">
                  <c:v>17.821008887059708</c:v>
                </c:pt>
                <c:pt idx="8">
                  <c:v>19.498280311724152</c:v>
                </c:pt>
                <c:pt idx="9">
                  <c:v>20.965892808305536</c:v>
                </c:pt>
                <c:pt idx="10">
                  <c:v>23.062482089136097</c:v>
                </c:pt>
                <c:pt idx="11">
                  <c:v>24.110776729551372</c:v>
                </c:pt>
                <c:pt idx="12">
                  <c:v>25.15907136996665</c:v>
                </c:pt>
                <c:pt idx="13">
                  <c:v>26.207366010381925</c:v>
                </c:pt>
                <c:pt idx="14">
                  <c:v>26.626683866548035</c:v>
                </c:pt>
                <c:pt idx="15">
                  <c:v>27.046001722714145</c:v>
                </c:pt>
                <c:pt idx="16">
                  <c:v>27.465319578880255</c:v>
                </c:pt>
                <c:pt idx="17">
                  <c:v>27.674978506963313</c:v>
                </c:pt>
                <c:pt idx="18">
                  <c:v>27.779807971004843</c:v>
                </c:pt>
                <c:pt idx="19">
                  <c:v>27.884637435046365</c:v>
                </c:pt>
                <c:pt idx="20">
                  <c:v>28.094296363129423</c:v>
                </c:pt>
                <c:pt idx="21">
                  <c:v>28.136228148746035</c:v>
                </c:pt>
                <c:pt idx="22">
                  <c:v>28.178159934362647</c:v>
                </c:pt>
                <c:pt idx="23">
                  <c:v>28.220091719979258</c:v>
                </c:pt>
                <c:pt idx="24">
                  <c:v>28.262023505595867</c:v>
                </c:pt>
                <c:pt idx="25">
                  <c:v>28.282989398404172</c:v>
                </c:pt>
                <c:pt idx="26">
                  <c:v>28.303955291212475</c:v>
                </c:pt>
                <c:pt idx="27">
                  <c:v>28.303955291212475</c:v>
                </c:pt>
                <c:pt idx="28">
                  <c:v>28.303955291212475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6C-4CBB-9D35-D9FC269E1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9312"/>
        <c:axId val="78671232"/>
      </c:scatterChart>
      <c:valAx>
        <c:axId val="78669312"/>
        <c:scaling>
          <c:orientation val="minMax"/>
        </c:scaling>
        <c:delete val="0"/>
        <c:axPos val="b"/>
        <c:majorGridlines>
          <c:spPr>
            <a:ln>
              <a:solidFill>
                <a:schemeClr val="bg2">
                  <a:lumMod val="90000"/>
                  <a:alpha val="5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Horizontal Displacement (mm)</a:t>
                </a:r>
              </a:p>
            </c:rich>
          </c:tx>
          <c:layout>
            <c:manualLayout>
              <c:xMode val="edge"/>
              <c:yMode val="edge"/>
              <c:x val="0.36342282663757153"/>
              <c:y val="2.3044925600369808E-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78671232"/>
        <c:crosses val="autoZero"/>
        <c:crossBetween val="midCat"/>
      </c:valAx>
      <c:valAx>
        <c:axId val="78671232"/>
        <c:scaling>
          <c:orientation val="minMax"/>
        </c:scaling>
        <c:delete val="0"/>
        <c:axPos val="l"/>
        <c:majorGridlines>
          <c:spPr>
            <a:ln>
              <a:solidFill>
                <a:schemeClr val="bg2">
                  <a:lumMod val="90000"/>
                  <a:alpha val="50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Shear Stress (kPa)</a:t>
                </a:r>
              </a:p>
            </c:rich>
          </c:tx>
          <c:layout>
            <c:manualLayout>
              <c:xMode val="edge"/>
              <c:yMode val="edge"/>
              <c:x val="1.0457365977272358E-2"/>
              <c:y val="0.22711635885333126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>
            <a:solidFill>
              <a:schemeClr val="bg2">
                <a:lumMod val="90000"/>
                <a:alpha val="50000"/>
              </a:schemeClr>
            </a:solidFill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78669312"/>
        <c:crosses val="autoZero"/>
        <c:crossBetween val="midCat"/>
      </c:valAx>
    </c:plotArea>
    <c:legend>
      <c:legendPos val="r"/>
      <c:overlay val="0"/>
    </c:legend>
    <c:plotVisOnly val="1"/>
    <c:dispBlanksAs val="span"/>
    <c:showDLblsOverMax val="0"/>
  </c:chart>
  <c:spPr>
    <a:noFill/>
    <a:ln w="19050">
      <a:solidFill>
        <a:schemeClr val="accent1">
          <a:shade val="15000"/>
        </a:schemeClr>
      </a:solidFill>
    </a:ln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45218965721202"/>
          <c:y val="0.10400085365871858"/>
          <c:w val="0.73743458389410976"/>
          <c:h val="0.81889749678012469"/>
        </c:manualLayout>
      </c:layout>
      <c:scatterChart>
        <c:scatterStyle val="smoothMarker"/>
        <c:varyColors val="0"/>
        <c:ser>
          <c:idx val="0"/>
          <c:order val="0"/>
          <c:tx>
            <c:v>Specimen 1</c:v>
          </c:tx>
          <c:marker>
            <c:symbol val="none"/>
          </c:marker>
          <c:xVal>
            <c:numRef>
              <c:f>'Cons.Ds CD'!$BH$45:$BH$58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15.491933384829668</c:v>
                </c:pt>
                <c:pt idx="12">
                  <c:v>21.908902300206645</c:v>
                </c:pt>
                <c:pt idx="13">
                  <c:v>37.947331922020552</c:v>
                </c:pt>
              </c:numCache>
            </c:numRef>
          </c:xVal>
          <c:yVal>
            <c:numRef>
              <c:f>'Cons.Ds CD'!$BI$45:$BI$58</c:f>
              <c:numCache>
                <c:formatCode>0.000</c:formatCode>
                <c:ptCount val="14"/>
                <c:pt idx="0">
                  <c:v>24.900000000000002</c:v>
                </c:pt>
                <c:pt idx="1">
                  <c:v>24.603000000000002</c:v>
                </c:pt>
                <c:pt idx="2">
                  <c:v>24.582000000000004</c:v>
                </c:pt>
                <c:pt idx="3">
                  <c:v>24.569000000000003</c:v>
                </c:pt>
                <c:pt idx="4">
                  <c:v>24.559000000000001</c:v>
                </c:pt>
                <c:pt idx="5">
                  <c:v>24.55</c:v>
                </c:pt>
                <c:pt idx="6">
                  <c:v>24.548000000000002</c:v>
                </c:pt>
                <c:pt idx="7">
                  <c:v>24.542000000000002</c:v>
                </c:pt>
                <c:pt idx="8">
                  <c:v>24.523000000000003</c:v>
                </c:pt>
                <c:pt idx="9">
                  <c:v>24.51</c:v>
                </c:pt>
                <c:pt idx="10">
                  <c:v>24.500000000000004</c:v>
                </c:pt>
                <c:pt idx="11">
                  <c:v>24.492000000000001</c:v>
                </c:pt>
                <c:pt idx="12">
                  <c:v>24.471000000000004</c:v>
                </c:pt>
                <c:pt idx="13">
                  <c:v>24.453000000000003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82-4A68-AB85-953C40A47492}"/>
            </c:ext>
          </c:extLst>
        </c:ser>
        <c:ser>
          <c:idx val="1"/>
          <c:order val="1"/>
          <c:tx>
            <c:v>Specimen 2</c:v>
          </c:tx>
          <c:marker>
            <c:symbol val="none"/>
          </c:marker>
          <c:xVal>
            <c:numRef>
              <c:f>'Cons.Ds CD'!$BH$45:$BH$58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15.491933384829668</c:v>
                </c:pt>
                <c:pt idx="12">
                  <c:v>21.908902300206645</c:v>
                </c:pt>
                <c:pt idx="13">
                  <c:v>37.947331922020552</c:v>
                </c:pt>
              </c:numCache>
            </c:numRef>
          </c:xVal>
          <c:yVal>
            <c:numRef>
              <c:f>'Cons.Ds CD'!$BJ$45:$BJ$58</c:f>
              <c:numCache>
                <c:formatCode>0.000</c:formatCode>
                <c:ptCount val="14"/>
                <c:pt idx="0">
                  <c:v>24.900000000000002</c:v>
                </c:pt>
                <c:pt idx="1">
                  <c:v>23.886000000000003</c:v>
                </c:pt>
                <c:pt idx="2">
                  <c:v>23.867000000000001</c:v>
                </c:pt>
                <c:pt idx="3">
                  <c:v>23.846</c:v>
                </c:pt>
                <c:pt idx="4">
                  <c:v>23.837000000000003</c:v>
                </c:pt>
                <c:pt idx="5">
                  <c:v>23.817</c:v>
                </c:pt>
                <c:pt idx="6">
                  <c:v>23.799000000000003</c:v>
                </c:pt>
                <c:pt idx="7">
                  <c:v>23.797000000000001</c:v>
                </c:pt>
                <c:pt idx="8">
                  <c:v>23.785000000000004</c:v>
                </c:pt>
                <c:pt idx="9">
                  <c:v>23.770000000000003</c:v>
                </c:pt>
                <c:pt idx="10">
                  <c:v>23.749000000000002</c:v>
                </c:pt>
                <c:pt idx="11">
                  <c:v>23.727</c:v>
                </c:pt>
                <c:pt idx="12">
                  <c:v>23.716000000000001</c:v>
                </c:pt>
                <c:pt idx="13">
                  <c:v>23.69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D82-4A68-AB85-953C40A47492}"/>
            </c:ext>
          </c:extLst>
        </c:ser>
        <c:ser>
          <c:idx val="2"/>
          <c:order val="2"/>
          <c:tx>
            <c:v>Specimen 3</c:v>
          </c:tx>
          <c:marker>
            <c:symbol val="none"/>
          </c:marker>
          <c:xVal>
            <c:numRef>
              <c:f>'Cons.Ds CD'!$BH$45:$BH$58</c:f>
              <c:numCache>
                <c:formatCode>0.00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7.745966692414834</c:v>
                </c:pt>
                <c:pt idx="10">
                  <c:v>10.954451150103322</c:v>
                </c:pt>
                <c:pt idx="11">
                  <c:v>15.491933384829668</c:v>
                </c:pt>
                <c:pt idx="12">
                  <c:v>21.908902300206645</c:v>
                </c:pt>
                <c:pt idx="13">
                  <c:v>37.947331922020552</c:v>
                </c:pt>
              </c:numCache>
            </c:numRef>
          </c:xVal>
          <c:yVal>
            <c:numRef>
              <c:f>'Cons.Ds CD'!$BK$45:$BK$58</c:f>
              <c:numCache>
                <c:formatCode>0.000</c:formatCode>
                <c:ptCount val="14"/>
                <c:pt idx="0">
                  <c:v>24.900000000000002</c:v>
                </c:pt>
                <c:pt idx="1">
                  <c:v>22.494000000000003</c:v>
                </c:pt>
                <c:pt idx="2">
                  <c:v>22.395000000000003</c:v>
                </c:pt>
                <c:pt idx="3">
                  <c:v>22.351000000000003</c:v>
                </c:pt>
                <c:pt idx="4">
                  <c:v>22.340000000000003</c:v>
                </c:pt>
                <c:pt idx="5">
                  <c:v>22.331000000000003</c:v>
                </c:pt>
                <c:pt idx="6">
                  <c:v>22.322000000000003</c:v>
                </c:pt>
                <c:pt idx="7">
                  <c:v>22.313000000000002</c:v>
                </c:pt>
                <c:pt idx="8">
                  <c:v>22.310000000000002</c:v>
                </c:pt>
                <c:pt idx="9">
                  <c:v>22.275000000000002</c:v>
                </c:pt>
                <c:pt idx="10">
                  <c:v>22.254000000000005</c:v>
                </c:pt>
                <c:pt idx="11">
                  <c:v>22.231000000000002</c:v>
                </c:pt>
                <c:pt idx="12">
                  <c:v>22.218000000000004</c:v>
                </c:pt>
                <c:pt idx="13">
                  <c:v>22.204000000000004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D82-4A68-AB85-953C40A47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02464"/>
        <c:axId val="78913536"/>
      </c:scatterChart>
      <c:valAx>
        <c:axId val="78702464"/>
        <c:scaling>
          <c:orientation val="minMax"/>
        </c:scaling>
        <c:delete val="0"/>
        <c:axPos val="b"/>
        <c:majorGridlines>
          <c:spPr>
            <a:ln>
              <a:solidFill>
                <a:schemeClr val="bg2">
                  <a:lumMod val="90000"/>
                  <a:alpha val="5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Square Root Time (minute)</a:t>
                </a:r>
              </a:p>
            </c:rich>
          </c:tx>
          <c:layout>
            <c:manualLayout>
              <c:xMode val="edge"/>
              <c:yMode val="edge"/>
              <c:x val="0.38514833509631535"/>
              <c:y val="4.5484936356160778E-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8913536"/>
        <c:crosses val="autoZero"/>
        <c:crossBetween val="midCat"/>
      </c:valAx>
      <c:valAx>
        <c:axId val="78913536"/>
        <c:scaling>
          <c:orientation val="minMax"/>
        </c:scaling>
        <c:delete val="0"/>
        <c:axPos val="l"/>
        <c:majorGridlines>
          <c:spPr>
            <a:ln>
              <a:solidFill>
                <a:schemeClr val="bg2">
                  <a:lumMod val="90000"/>
                  <a:alpha val="50000"/>
                </a:schemeClr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3284561603685709E-2"/>
              <c:y val="0.38719302474503275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7870246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spPr>
    <a:noFill/>
    <a:ln w="19050">
      <a:solidFill>
        <a:schemeClr val="accent1">
          <a:shade val="15000"/>
        </a:schemeClr>
      </a:solidFill>
    </a:ln>
  </c:spPr>
  <c:txPr>
    <a:bodyPr/>
    <a:lstStyle/>
    <a:p>
      <a:pPr>
        <a:defRPr sz="900">
          <a:latin typeface="Aptos" panose="020B0004020202020204" pitchFamily="34" charset="0"/>
        </a:defRPr>
      </a:pPr>
      <a:endParaRPr lang="en-US"/>
    </a:p>
  </c:txPr>
  <c:printSettings>
    <c:headerFooter/>
    <c:pageMargins b="0.75000000000000588" l="0.70000000000000062" r="0.70000000000000062" t="0.75000000000000588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Peak Normal Stress vs Shear Stress</a:t>
            </a:r>
          </a:p>
        </c:rich>
      </c:tx>
      <c:layout>
        <c:manualLayout>
          <c:xMode val="edge"/>
          <c:yMode val="edge"/>
          <c:x val="0.23900967858785821"/>
          <c:y val="1.007873715804213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625465892432859"/>
          <c:y val="9.2875562911358345E-2"/>
          <c:w val="0.83721456448350462"/>
          <c:h val="0.78233801830038996"/>
        </c:manualLayout>
      </c:layout>
      <c:scatterChart>
        <c:scatterStyle val="lineMarker"/>
        <c:varyColors val="0"/>
        <c:ser>
          <c:idx val="0"/>
          <c:order val="0"/>
          <c:tx>
            <c:v>Peak Normal Stress vs Shear Stress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noFill/>
              </a:ln>
            </c:spPr>
          </c:marker>
          <c:trendline>
            <c:spPr>
              <a:ln w="15875">
                <a:solidFill>
                  <a:srgbClr val="FF0000"/>
                </a:solidFill>
              </a:ln>
            </c:spPr>
            <c:trendlineType val="linear"/>
            <c:dispRSqr val="0"/>
            <c:dispEq val="0"/>
          </c:trendline>
          <c:xVal>
            <c:numRef>
              <c:f>'Graph Ds CD'!$X$55:$Z$55</c:f>
              <c:numCache>
                <c:formatCode>0.00</c:formatCode>
                <c:ptCount val="3"/>
                <c:pt idx="0">
                  <c:v>10.825762207386683</c:v>
                </c:pt>
                <c:pt idx="1">
                  <c:v>21.651524414773366</c:v>
                </c:pt>
                <c:pt idx="2">
                  <c:v>43.303048829546732</c:v>
                </c:pt>
              </c:numCache>
            </c:numRef>
          </c:xVal>
          <c:yVal>
            <c:numRef>
              <c:f>'Graph Ds CD'!$X$56:$Z$56</c:f>
              <c:numCache>
                <c:formatCode>0.00</c:formatCode>
                <c:ptCount val="3"/>
                <c:pt idx="0">
                  <c:v>10.482946404152768</c:v>
                </c:pt>
                <c:pt idx="1">
                  <c:v>16.77271424664443</c:v>
                </c:pt>
                <c:pt idx="2">
                  <c:v>28.303955291212475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2EB-4C56-8A48-669A13A71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946688"/>
        <c:axId val="78948224"/>
      </c:scatterChart>
      <c:valAx>
        <c:axId val="78946688"/>
        <c:scaling>
          <c:orientation val="minMax"/>
          <c:max val="60"/>
          <c:min val="0"/>
        </c:scaling>
        <c:delete val="0"/>
        <c:axPos val="b"/>
        <c:majorGridlines>
          <c:spPr>
            <a:ln>
              <a:solidFill>
                <a:schemeClr val="tx1">
                  <a:alpha val="70000"/>
                </a:schemeClr>
              </a:solidFill>
            </a:ln>
          </c:spPr>
        </c:majorGridlines>
        <c:minorGridlines>
          <c:spPr>
            <a:ln>
              <a:prstDash val="sysDot"/>
            </a:ln>
          </c:spPr>
        </c:minorGridlines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78948224"/>
        <c:crosses val="autoZero"/>
        <c:crossBetween val="midCat"/>
        <c:majorUnit val="10"/>
        <c:minorUnit val="10"/>
      </c:valAx>
      <c:valAx>
        <c:axId val="78948224"/>
        <c:scaling>
          <c:orientation val="minMax"/>
          <c:max val="50"/>
        </c:scaling>
        <c:delete val="0"/>
        <c:axPos val="l"/>
        <c:majorGridlines>
          <c:spPr>
            <a:ln>
              <a:solidFill>
                <a:schemeClr val="tx1">
                  <a:alpha val="50000"/>
                </a:schemeClr>
              </a:solidFill>
            </a:ln>
          </c:spPr>
        </c:majorGridlines>
        <c:numFmt formatCode="0" sourceLinked="0"/>
        <c:majorTickMark val="out"/>
        <c:minorTickMark val="none"/>
        <c:tickLblPos val="low"/>
        <c:txPr>
          <a:bodyPr/>
          <a:lstStyle/>
          <a:p>
            <a:pPr>
              <a:defRPr sz="900"/>
            </a:pPr>
            <a:endParaRPr lang="en-US"/>
          </a:p>
        </c:txPr>
        <c:crossAx val="78946688"/>
        <c:crosses val="autoZero"/>
        <c:crossBetween val="midCat"/>
      </c:valAx>
    </c:plotArea>
    <c:plotVisOnly val="1"/>
    <c:dispBlanksAs val="gap"/>
    <c:showDLblsOverMax val="0"/>
  </c:chart>
  <c:spPr>
    <a:noFill/>
    <a:ln w="19050">
      <a:solidFill>
        <a:schemeClr val="accent1">
          <a:shade val="15000"/>
        </a:schemeClr>
      </a:solidFill>
    </a:ln>
  </c:spPr>
  <c:txPr>
    <a:bodyPr/>
    <a:lstStyle/>
    <a:p>
      <a:pPr>
        <a:defRPr>
          <a:latin typeface="Aptos" panose="020B0004020202020204" pitchFamily="34" charset="0"/>
        </a:defRPr>
      </a:pPr>
      <a:endParaRPr lang="en-US"/>
    </a:p>
  </c:txPr>
  <c:printSettings>
    <c:headerFooter/>
    <c:pageMargins b="0.75000000000000588" l="0.70000000000000062" r="0.70000000000000062" t="0.75000000000000588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92348859235275"/>
          <c:y val="4.9863954671832834E-2"/>
          <c:w val="0.74139612552320067"/>
          <c:h val="0.75384541174201325"/>
        </c:manualLayout>
      </c:layout>
      <c:scatterChart>
        <c:scatterStyle val="smoothMarker"/>
        <c:varyColors val="0"/>
        <c:ser>
          <c:idx val="0"/>
          <c:order val="0"/>
          <c:tx>
            <c:v>Specimen 1</c:v>
          </c:tx>
          <c:marker>
            <c:symbol val="none"/>
          </c:marker>
          <c:xVal>
            <c:numRef>
              <c:f>'Shearing Ds CD'!$BH$30:$BH$54</c:f>
              <c:numCache>
                <c:formatCode>0.00</c:formatCode>
                <c:ptCount val="25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</c:numCache>
            </c:numRef>
          </c:xVal>
          <c:yVal>
            <c:numRef>
              <c:f>'Shearing Ds CD'!$BI$30:$BI$54</c:f>
              <c:numCache>
                <c:formatCode>0.00</c:formatCode>
                <c:ptCount val="25"/>
                <c:pt idx="0">
                  <c:v>0</c:v>
                </c:pt>
                <c:pt idx="1">
                  <c:v>1.2998853541149435</c:v>
                </c:pt>
                <c:pt idx="2">
                  <c:v>2.0965892808305537</c:v>
                </c:pt>
                <c:pt idx="3">
                  <c:v>3.1448839212458313</c:v>
                </c:pt>
                <c:pt idx="4">
                  <c:v>3.7738607054949966</c:v>
                </c:pt>
                <c:pt idx="5">
                  <c:v>4.6124964178272192</c:v>
                </c:pt>
                <c:pt idx="6">
                  <c:v>5.2414732020763841</c:v>
                </c:pt>
                <c:pt idx="7">
                  <c:v>5.8704499863255517</c:v>
                </c:pt>
                <c:pt idx="8">
                  <c:v>6.2897678424916625</c:v>
                </c:pt>
                <c:pt idx="9">
                  <c:v>6.4994267705747175</c:v>
                </c:pt>
                <c:pt idx="10">
                  <c:v>6.604256234616245</c:v>
                </c:pt>
                <c:pt idx="11">
                  <c:v>6.7090856986577734</c:v>
                </c:pt>
                <c:pt idx="12">
                  <c:v>6.7510174842743851</c:v>
                </c:pt>
                <c:pt idx="13">
                  <c:v>6.7929492698909941</c:v>
                </c:pt>
                <c:pt idx="14">
                  <c:v>6.8348810555076067</c:v>
                </c:pt>
                <c:pt idx="15">
                  <c:v>6.8768128411242158</c:v>
                </c:pt>
                <c:pt idx="16">
                  <c:v>6.8977787339325225</c:v>
                </c:pt>
                <c:pt idx="17">
                  <c:v>6.9187446267408284</c:v>
                </c:pt>
                <c:pt idx="18">
                  <c:v>6.9187446267408284</c:v>
                </c:pt>
                <c:pt idx="19">
                  <c:v>6.9187446267408284</c:v>
                </c:pt>
                <c:pt idx="20">
                  <c:v>6.9187446267408284</c:v>
                </c:pt>
                <c:pt idx="21">
                  <c:v>6.9187446267408284</c:v>
                </c:pt>
                <c:pt idx="22">
                  <c:v>6.9187446267408284</c:v>
                </c:pt>
                <c:pt idx="23">
                  <c:v>6.9187446267408284</c:v>
                </c:pt>
                <c:pt idx="24">
                  <c:v>6.9187446267408284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9B-4566-ADE6-1F137135D6CE}"/>
            </c:ext>
          </c:extLst>
        </c:ser>
        <c:ser>
          <c:idx val="1"/>
          <c:order val="1"/>
          <c:tx>
            <c:v>Specimen 2</c:v>
          </c:tx>
          <c:marker>
            <c:symbol val="none"/>
          </c:marker>
          <c:xVal>
            <c:numRef>
              <c:f>'Shearing Ds CD'!$BH$30:$BH$58</c:f>
              <c:numCache>
                <c:formatCode>0.00</c:formatCode>
                <c:ptCount val="29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</c:numCache>
            </c:numRef>
          </c:xVal>
          <c:yVal>
            <c:numRef>
              <c:f>'Shearing Ds CD'!$BJ$30:$BJ$58</c:f>
              <c:numCache>
                <c:formatCode>0.00</c:formatCode>
                <c:ptCount val="29"/>
                <c:pt idx="0">
                  <c:v>0</c:v>
                </c:pt>
                <c:pt idx="1">
                  <c:v>2.5159071369966646</c:v>
                </c:pt>
                <c:pt idx="2">
                  <c:v>4.1931785616611075</c:v>
                </c:pt>
                <c:pt idx="3">
                  <c:v>5.2414732020763841</c:v>
                </c:pt>
                <c:pt idx="4">
                  <c:v>6.2897678424916625</c:v>
                </c:pt>
                <c:pt idx="5">
                  <c:v>7.3380624829069383</c:v>
                </c:pt>
                <c:pt idx="6">
                  <c:v>8.3863571233222149</c:v>
                </c:pt>
                <c:pt idx="7">
                  <c:v>9.4346517637374934</c:v>
                </c:pt>
                <c:pt idx="8">
                  <c:v>10.482946404152768</c:v>
                </c:pt>
                <c:pt idx="9">
                  <c:v>11.531241044568048</c:v>
                </c:pt>
                <c:pt idx="10">
                  <c:v>12.579535684983325</c:v>
                </c:pt>
                <c:pt idx="11">
                  <c:v>13.627830325398602</c:v>
                </c:pt>
                <c:pt idx="12">
                  <c:v>14.676124965813877</c:v>
                </c:pt>
                <c:pt idx="13">
                  <c:v>15.724419606229155</c:v>
                </c:pt>
                <c:pt idx="14">
                  <c:v>16.143737462395265</c:v>
                </c:pt>
                <c:pt idx="15">
                  <c:v>16.35339639047832</c:v>
                </c:pt>
                <c:pt idx="16">
                  <c:v>16.458225854519849</c:v>
                </c:pt>
                <c:pt idx="17">
                  <c:v>16.563055318561375</c:v>
                </c:pt>
                <c:pt idx="18">
                  <c:v>16.604987104177987</c:v>
                </c:pt>
                <c:pt idx="19">
                  <c:v>16.646918889794598</c:v>
                </c:pt>
                <c:pt idx="20">
                  <c:v>16.688850675411206</c:v>
                </c:pt>
                <c:pt idx="21">
                  <c:v>16.730782461027822</c:v>
                </c:pt>
                <c:pt idx="22">
                  <c:v>16.77271424664443</c:v>
                </c:pt>
                <c:pt idx="23">
                  <c:v>16.77271424664443</c:v>
                </c:pt>
                <c:pt idx="24">
                  <c:v>16.77271424664443</c:v>
                </c:pt>
                <c:pt idx="25">
                  <c:v>16.77271424664443</c:v>
                </c:pt>
                <c:pt idx="26">
                  <c:v>16.77271424664443</c:v>
                </c:pt>
                <c:pt idx="27">
                  <c:v>16.77271424664443</c:v>
                </c:pt>
                <c:pt idx="28">
                  <c:v>16.77271424664443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9B-4566-ADE6-1F137135D6CE}"/>
            </c:ext>
          </c:extLst>
        </c:ser>
        <c:ser>
          <c:idx val="2"/>
          <c:order val="2"/>
          <c:tx>
            <c:v>Specimen 3</c:v>
          </c:tx>
          <c:marker>
            <c:symbol val="none"/>
          </c:marker>
          <c:xVal>
            <c:numRef>
              <c:f>'Shearing Ds CD'!$BH$30:$BH$58</c:f>
              <c:numCache>
                <c:formatCode>0.00</c:formatCode>
                <c:ptCount val="29"/>
                <c:pt idx="0">
                  <c:v>0</c:v>
                </c:pt>
                <c:pt idx="1">
                  <c:v>0.3</c:v>
                </c:pt>
                <c:pt idx="2">
                  <c:v>0.6</c:v>
                </c:pt>
                <c:pt idx="3">
                  <c:v>0.9</c:v>
                </c:pt>
                <c:pt idx="4">
                  <c:v>1.2</c:v>
                </c:pt>
                <c:pt idx="5">
                  <c:v>1.5</c:v>
                </c:pt>
                <c:pt idx="6">
                  <c:v>1.8</c:v>
                </c:pt>
                <c:pt idx="7">
                  <c:v>2.1</c:v>
                </c:pt>
                <c:pt idx="8">
                  <c:v>2.4</c:v>
                </c:pt>
                <c:pt idx="9">
                  <c:v>2.7</c:v>
                </c:pt>
                <c:pt idx="10">
                  <c:v>3</c:v>
                </c:pt>
                <c:pt idx="11">
                  <c:v>3.3</c:v>
                </c:pt>
                <c:pt idx="12">
                  <c:v>3.6</c:v>
                </c:pt>
                <c:pt idx="13">
                  <c:v>3.9</c:v>
                </c:pt>
                <c:pt idx="14">
                  <c:v>4.2</c:v>
                </c:pt>
                <c:pt idx="15">
                  <c:v>4.5</c:v>
                </c:pt>
                <c:pt idx="16">
                  <c:v>4.8</c:v>
                </c:pt>
                <c:pt idx="17">
                  <c:v>5.0999999999999996</c:v>
                </c:pt>
                <c:pt idx="18">
                  <c:v>5.4</c:v>
                </c:pt>
                <c:pt idx="19">
                  <c:v>5.7</c:v>
                </c:pt>
                <c:pt idx="20">
                  <c:v>6</c:v>
                </c:pt>
                <c:pt idx="21">
                  <c:v>6.3</c:v>
                </c:pt>
                <c:pt idx="22">
                  <c:v>6.6</c:v>
                </c:pt>
                <c:pt idx="23">
                  <c:v>6.9</c:v>
                </c:pt>
                <c:pt idx="24">
                  <c:v>7.2</c:v>
                </c:pt>
                <c:pt idx="25">
                  <c:v>7.5</c:v>
                </c:pt>
                <c:pt idx="26">
                  <c:v>7.8</c:v>
                </c:pt>
                <c:pt idx="27">
                  <c:v>8.1</c:v>
                </c:pt>
                <c:pt idx="28">
                  <c:v>8.4</c:v>
                </c:pt>
              </c:numCache>
            </c:numRef>
          </c:xVal>
          <c:yVal>
            <c:numRef>
              <c:f>'Shearing Ds CD'!$BK$30:$BK$58</c:f>
              <c:numCache>
                <c:formatCode>0.00</c:formatCode>
                <c:ptCount val="29"/>
                <c:pt idx="0">
                  <c:v>0</c:v>
                </c:pt>
                <c:pt idx="1">
                  <c:v>4.6124964178272192</c:v>
                </c:pt>
                <c:pt idx="2">
                  <c:v>7.3380624829069383</c:v>
                </c:pt>
                <c:pt idx="3">
                  <c:v>9.4346517637374934</c:v>
                </c:pt>
                <c:pt idx="4">
                  <c:v>11.531241044568048</c:v>
                </c:pt>
                <c:pt idx="5">
                  <c:v>13.627830325398602</c:v>
                </c:pt>
                <c:pt idx="6">
                  <c:v>15.724419606229155</c:v>
                </c:pt>
                <c:pt idx="7">
                  <c:v>17.821008887059708</c:v>
                </c:pt>
                <c:pt idx="8">
                  <c:v>19.498280311724152</c:v>
                </c:pt>
                <c:pt idx="9">
                  <c:v>20.965892808305536</c:v>
                </c:pt>
                <c:pt idx="10">
                  <c:v>23.062482089136097</c:v>
                </c:pt>
                <c:pt idx="11">
                  <c:v>24.110776729551372</c:v>
                </c:pt>
                <c:pt idx="12">
                  <c:v>25.15907136996665</c:v>
                </c:pt>
                <c:pt idx="13">
                  <c:v>26.207366010381925</c:v>
                </c:pt>
                <c:pt idx="14">
                  <c:v>26.626683866548035</c:v>
                </c:pt>
                <c:pt idx="15">
                  <c:v>27.046001722714145</c:v>
                </c:pt>
                <c:pt idx="16">
                  <c:v>27.465319578880255</c:v>
                </c:pt>
                <c:pt idx="17">
                  <c:v>27.674978506963313</c:v>
                </c:pt>
                <c:pt idx="18">
                  <c:v>27.779807971004843</c:v>
                </c:pt>
                <c:pt idx="19">
                  <c:v>27.884637435046365</c:v>
                </c:pt>
                <c:pt idx="20">
                  <c:v>28.094296363129423</c:v>
                </c:pt>
                <c:pt idx="21">
                  <c:v>28.136228148746035</c:v>
                </c:pt>
                <c:pt idx="22">
                  <c:v>28.178159934362647</c:v>
                </c:pt>
                <c:pt idx="23">
                  <c:v>28.220091719979258</c:v>
                </c:pt>
                <c:pt idx="24">
                  <c:v>28.262023505595867</c:v>
                </c:pt>
                <c:pt idx="25">
                  <c:v>28.282989398404172</c:v>
                </c:pt>
                <c:pt idx="26">
                  <c:v>28.303955291212475</c:v>
                </c:pt>
                <c:pt idx="27">
                  <c:v>28.303955291212475</c:v>
                </c:pt>
                <c:pt idx="28">
                  <c:v>28.303955291212475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39B-4566-ADE6-1F137135D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9312"/>
        <c:axId val="78671232"/>
      </c:scatterChart>
      <c:valAx>
        <c:axId val="78669312"/>
        <c:scaling>
          <c:orientation val="minMax"/>
        </c:scaling>
        <c:delete val="0"/>
        <c:axPos val="b"/>
        <c:majorGridlines/>
        <c:minorGridlines>
          <c:spPr>
            <a:ln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Horizontal Displacement (mm)</a:t>
                </a:r>
              </a:p>
            </c:rich>
          </c:tx>
          <c:layout>
            <c:manualLayout>
              <c:xMode val="edge"/>
              <c:yMode val="edge"/>
              <c:x val="0.34362778340169081"/>
              <c:y val="0.90253152841537898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id-ID" sz="900"/>
            </a:pPr>
            <a:endParaRPr lang="en-US"/>
          </a:p>
        </c:txPr>
        <c:crossAx val="78671232"/>
        <c:crosses val="autoZero"/>
        <c:crossBetween val="midCat"/>
      </c:valAx>
      <c:valAx>
        <c:axId val="78671232"/>
        <c:scaling>
          <c:orientation val="minMax"/>
        </c:scaling>
        <c:delete val="0"/>
        <c:axPos val="l"/>
        <c:majorGridlines/>
        <c:minorGridlines>
          <c:spPr>
            <a:ln>
              <a:prstDash val="sysDash"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Shear</a:t>
                </a:r>
                <a:r>
                  <a:rPr lang="en-US" baseline="0"/>
                  <a:t> Stress (kPa</a:t>
                </a:r>
                <a:r>
                  <a:rPr lang="en-US"/>
                  <a:t>)</a:t>
                </a:r>
              </a:p>
            </c:rich>
          </c:tx>
          <c:layout>
            <c:manualLayout>
              <c:xMode val="edge"/>
              <c:yMode val="edge"/>
              <c:x val="1.0457365977272358E-2"/>
              <c:y val="0.22711635885333126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txPr>
          <a:bodyPr/>
          <a:lstStyle/>
          <a:p>
            <a:pPr>
              <a:defRPr lang="id-ID" sz="900"/>
            </a:pPr>
            <a:endParaRPr lang="en-US"/>
          </a:p>
        </c:txPr>
        <c:crossAx val="78669312"/>
        <c:crosses val="autoZero"/>
        <c:crossBetween val="midCat"/>
      </c:valAx>
    </c:plotArea>
    <c:legend>
      <c:legendPos val="r"/>
      <c:legendEntry>
        <c:idx val="0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/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00"/>
            </a:pPr>
            <a:endParaRPr lang="en-US"/>
          </a:p>
        </c:txPr>
      </c:legendEntry>
      <c:overlay val="0"/>
      <c:txPr>
        <a:bodyPr/>
        <a:lstStyle/>
        <a:p>
          <a:pPr>
            <a:defRPr lang="id-ID"/>
          </a:pPr>
          <a:endParaRPr lang="en-US"/>
        </a:p>
      </c:txPr>
    </c:legend>
    <c:plotVisOnly val="1"/>
    <c:dispBlanksAs val="span"/>
    <c:showDLblsOverMax val="0"/>
  </c:chart>
  <c:spPr>
    <a:noFill/>
    <a:ln>
      <a:noFill/>
    </a:ln>
  </c:spPr>
  <c:printSettings>
    <c:headerFooter/>
    <c:pageMargins b="0.75000000000000633" l="0.70000000000000062" r="0.70000000000000062" t="0.75000000000000633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6446651719565"/>
          <c:y val="4.3389155819018713E-2"/>
          <c:w val="0.83361575497666252"/>
          <c:h val="0.80151650641627259"/>
        </c:manualLayout>
      </c:layout>
      <c:scatterChart>
        <c:scatterStyle val="smoothMarker"/>
        <c:varyColors val="0"/>
        <c:ser>
          <c:idx val="0"/>
          <c:order val="0"/>
          <c:spPr>
            <a:ln w="22225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't50(1) Ds CD'!$BH$10:$BH$23</c:f>
              <c:numCache>
                <c:formatCode>General</c:formatCode>
                <c:ptCount val="14"/>
                <c:pt idx="0">
                  <c:v>0.25</c:v>
                </c:pt>
                <c:pt idx="1">
                  <c:v>1</c:v>
                </c:pt>
                <c:pt idx="2">
                  <c:v>4</c:v>
                </c:pt>
                <c:pt idx="3">
                  <c:v>6.25</c:v>
                </c:pt>
                <c:pt idx="4">
                  <c:v>9</c:v>
                </c:pt>
                <c:pt idx="5">
                  <c:v>12.25</c:v>
                </c:pt>
                <c:pt idx="6">
                  <c:v>16</c:v>
                </c:pt>
                <c:pt idx="7">
                  <c:v>20.25</c:v>
                </c:pt>
                <c:pt idx="8">
                  <c:v>60</c:v>
                </c:pt>
                <c:pt idx="9">
                  <c:v>120</c:v>
                </c:pt>
                <c:pt idx="10">
                  <c:v>240</c:v>
                </c:pt>
                <c:pt idx="11">
                  <c:v>480</c:v>
                </c:pt>
                <c:pt idx="12">
                  <c:v>1440</c:v>
                </c:pt>
              </c:numCache>
            </c:numRef>
          </c:xVal>
          <c:yVal>
            <c:numRef>
              <c:f>'t50(1) Ds CD'!$BI$10:$BI$23</c:f>
              <c:numCache>
                <c:formatCode>0.00</c:formatCode>
                <c:ptCount val="14"/>
                <c:pt idx="0">
                  <c:v>24.603000000000002</c:v>
                </c:pt>
                <c:pt idx="1">
                  <c:v>24.582000000000004</c:v>
                </c:pt>
                <c:pt idx="2">
                  <c:v>24.569000000000003</c:v>
                </c:pt>
                <c:pt idx="3">
                  <c:v>24.559000000000001</c:v>
                </c:pt>
                <c:pt idx="4">
                  <c:v>24.55</c:v>
                </c:pt>
                <c:pt idx="5">
                  <c:v>24.548000000000002</c:v>
                </c:pt>
                <c:pt idx="6">
                  <c:v>24.542000000000002</c:v>
                </c:pt>
                <c:pt idx="7">
                  <c:v>24.523000000000003</c:v>
                </c:pt>
                <c:pt idx="8">
                  <c:v>24.51</c:v>
                </c:pt>
                <c:pt idx="9">
                  <c:v>24.500000000000004</c:v>
                </c:pt>
                <c:pt idx="10">
                  <c:v>24.492000000000001</c:v>
                </c:pt>
                <c:pt idx="11">
                  <c:v>24.471000000000004</c:v>
                </c:pt>
                <c:pt idx="12">
                  <c:v>24.453000000000003</c:v>
                </c:pt>
                <c:pt idx="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9D-4E75-85F7-FC31116A6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661888"/>
        <c:axId val="76664192"/>
      </c:scatterChart>
      <c:valAx>
        <c:axId val="76661888"/>
        <c:scaling>
          <c:logBase val="10"/>
          <c:orientation val="minMax"/>
          <c:min val="0.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Time (minute)</a:t>
                </a:r>
              </a:p>
            </c:rich>
          </c:tx>
          <c:layout>
            <c:manualLayout>
              <c:xMode val="edge"/>
              <c:yMode val="edge"/>
              <c:x val="0.4698321418854105"/>
              <c:y val="0.921037780033024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6664192"/>
        <c:crosses val="autoZero"/>
        <c:crossBetween val="midCat"/>
      </c:valAx>
      <c:valAx>
        <c:axId val="766641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067168958727114E-2"/>
              <c:y val="0.26644841102548988"/>
            </c:manualLayout>
          </c:layout>
          <c:overlay val="0"/>
        </c:title>
        <c:numFmt formatCode="0.00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6661888"/>
        <c:crosses val="autoZero"/>
        <c:crossBetween val="midCat"/>
      </c:valAx>
      <c:spPr>
        <a:noFill/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655" l="0.70000000000000062" r="0.70000000000000062" t="0.75000000000000655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67061169308727"/>
          <c:y val="3.1797220540904406E-2"/>
          <c:w val="0.73559096672049562"/>
          <c:h val="0.7556794504354406"/>
        </c:manualLayout>
      </c:layout>
      <c:scatterChart>
        <c:scatterStyle val="lineMarker"/>
        <c:varyColors val="0"/>
        <c:ser>
          <c:idx val="7"/>
          <c:order val="5"/>
          <c:spPr>
            <a:ln w="76200">
              <a:noFill/>
            </a:ln>
          </c:spPr>
          <c:marker>
            <c:symbol val="none"/>
          </c:marker>
          <c:trendline>
            <c:spPr>
              <a:ln w="9525">
                <a:solidFill>
                  <a:srgbClr val="FF0000"/>
                </a:solidFill>
              </a:ln>
            </c:spPr>
            <c:trendlineType val="log"/>
            <c:forward val="100"/>
            <c:backward val="10"/>
            <c:dispRSqr val="0"/>
            <c:dispEq val="0"/>
          </c:trendline>
          <c:xVal>
            <c:numRef>
              <c:f>'t50(1) Ds CD'!$BQ$36:$BQ$37</c:f>
              <c:numCache>
                <c:formatCode>0</c:formatCode>
                <c:ptCount val="2"/>
                <c:pt idx="0">
                  <c:v>60</c:v>
                </c:pt>
                <c:pt idx="1">
                  <c:v>240</c:v>
                </c:pt>
              </c:numCache>
            </c:numRef>
          </c:xVal>
          <c:yVal>
            <c:numRef>
              <c:f>'t50(1) Ds CD'!$BR$36:$BR$37</c:f>
              <c:numCache>
                <c:formatCode>0.000</c:formatCode>
                <c:ptCount val="2"/>
                <c:pt idx="0">
                  <c:v>24.51</c:v>
                </c:pt>
                <c:pt idx="1">
                  <c:v>24.492000000000001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A9-4C40-9F99-93D66C17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53856"/>
        <c:axId val="76972416"/>
      </c:scatterChart>
      <c:scatterChart>
        <c:scatterStyle val="smoothMarker"/>
        <c:varyColors val="0"/>
        <c:ser>
          <c:idx val="0"/>
          <c:order val="0"/>
          <c:marker>
            <c:symbol val="circle"/>
            <c:size val="4"/>
          </c:marker>
          <c:xVal>
            <c:numRef>
              <c:f>'t50(1) Ds CD'!$BH$10:$BH$22</c:f>
              <c:numCache>
                <c:formatCode>General</c:formatCode>
                <c:ptCount val="13"/>
                <c:pt idx="0">
                  <c:v>0.25</c:v>
                </c:pt>
                <c:pt idx="1">
                  <c:v>1</c:v>
                </c:pt>
                <c:pt idx="2">
                  <c:v>4</c:v>
                </c:pt>
                <c:pt idx="3">
                  <c:v>6.25</c:v>
                </c:pt>
                <c:pt idx="4">
                  <c:v>9</c:v>
                </c:pt>
                <c:pt idx="5">
                  <c:v>12.25</c:v>
                </c:pt>
                <c:pt idx="6">
                  <c:v>16</c:v>
                </c:pt>
                <c:pt idx="7">
                  <c:v>20.25</c:v>
                </c:pt>
                <c:pt idx="8">
                  <c:v>60</c:v>
                </c:pt>
                <c:pt idx="9">
                  <c:v>120</c:v>
                </c:pt>
                <c:pt idx="10">
                  <c:v>240</c:v>
                </c:pt>
                <c:pt idx="11">
                  <c:v>480</c:v>
                </c:pt>
                <c:pt idx="12">
                  <c:v>1440</c:v>
                </c:pt>
              </c:numCache>
            </c:numRef>
          </c:xVal>
          <c:yVal>
            <c:numRef>
              <c:f>'t50(1) Ds CD'!$BI$10:$BI$22</c:f>
              <c:numCache>
                <c:formatCode>0.00</c:formatCode>
                <c:ptCount val="13"/>
                <c:pt idx="0">
                  <c:v>24.603000000000002</c:v>
                </c:pt>
                <c:pt idx="1">
                  <c:v>24.582000000000004</c:v>
                </c:pt>
                <c:pt idx="2">
                  <c:v>24.569000000000003</c:v>
                </c:pt>
                <c:pt idx="3">
                  <c:v>24.559000000000001</c:v>
                </c:pt>
                <c:pt idx="4">
                  <c:v>24.55</c:v>
                </c:pt>
                <c:pt idx="5">
                  <c:v>24.548000000000002</c:v>
                </c:pt>
                <c:pt idx="6">
                  <c:v>24.542000000000002</c:v>
                </c:pt>
                <c:pt idx="7">
                  <c:v>24.523000000000003</c:v>
                </c:pt>
                <c:pt idx="8">
                  <c:v>24.51</c:v>
                </c:pt>
                <c:pt idx="9">
                  <c:v>24.500000000000004</c:v>
                </c:pt>
                <c:pt idx="10">
                  <c:v>24.492000000000001</c:v>
                </c:pt>
                <c:pt idx="11">
                  <c:v>24.471000000000004</c:v>
                </c:pt>
                <c:pt idx="12">
                  <c:v>24.453000000000003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A9-4C40-9F99-93D66C17E3BE}"/>
            </c:ext>
          </c:extLst>
        </c:ser>
        <c:ser>
          <c:idx val="1"/>
          <c:order val="1"/>
          <c:tx>
            <c:v>0.1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't50(1) Ds CD'!$BK$31:$BK$32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't50(1) Ds CD'!$BL$31:$BL$32</c:f>
              <c:numCache>
                <c:formatCode>General</c:formatCode>
                <c:ptCount val="2"/>
                <c:pt idx="0">
                  <c:v>24.443000000000001</c:v>
                </c:pt>
                <c:pt idx="1">
                  <c:v>24.613000000000003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A9-4C40-9F99-93D66C17E3BE}"/>
            </c:ext>
          </c:extLst>
        </c:ser>
        <c:ser>
          <c:idx val="2"/>
          <c:order val="2"/>
          <c:tx>
            <c:v>0.4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't50(1) Ds CD'!$BM$31:$BM$32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't50(1) Ds CD'!$BN$31:$BN$32</c:f>
              <c:numCache>
                <c:formatCode>General</c:formatCode>
                <c:ptCount val="2"/>
                <c:pt idx="0">
                  <c:v>24.443000000000001</c:v>
                </c:pt>
                <c:pt idx="1">
                  <c:v>24.613000000000003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A9-4C40-9F99-93D66C17E3BE}"/>
            </c:ext>
          </c:extLst>
        </c:ser>
        <c:ser>
          <c:idx val="4"/>
          <c:order val="3"/>
          <c:tx>
            <c:v>h. t2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't50(1) Ds CD'!$BM$36:$BM$37</c:f>
              <c:numCache>
                <c:formatCode>General</c:formatCode>
                <c:ptCount val="2"/>
                <c:pt idx="0">
                  <c:v>4</c:v>
                </c:pt>
                <c:pt idx="1">
                  <c:v>10000</c:v>
                </c:pt>
              </c:numCache>
            </c:numRef>
          </c:xVal>
          <c:yVal>
            <c:numRef>
              <c:f>'t50(1) Ds CD'!$BN$36:$BN$37</c:f>
              <c:numCache>
                <c:formatCode>General</c:formatCode>
                <c:ptCount val="2"/>
                <c:pt idx="0">
                  <c:v>20.25</c:v>
                </c:pt>
                <c:pt idx="1">
                  <c:v>20.25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0A9-4C40-9F99-93D66C17E3BE}"/>
            </c:ext>
          </c:extLst>
        </c:ser>
        <c:ser>
          <c:idx val="5"/>
          <c:order val="4"/>
          <c:tx>
            <c:v>d0</c:v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't50(1) Ds CD'!$BO$36:$BO$37</c:f>
              <c:numCache>
                <c:formatCode>General</c:formatCode>
                <c:ptCount val="2"/>
                <c:pt idx="0">
                  <c:v>1</c:v>
                </c:pt>
                <c:pt idx="1">
                  <c:v>10000</c:v>
                </c:pt>
              </c:numCache>
            </c:numRef>
          </c:xVal>
          <c:yVal>
            <c:numRef>
              <c:f>'t50(1) Ds CD'!$BP$36:$BP$37</c:f>
              <c:numCache>
                <c:formatCode>General</c:formatCode>
                <c:ptCount val="2"/>
                <c:pt idx="0">
                  <c:v>28.914000000000009</c:v>
                </c:pt>
                <c:pt idx="1">
                  <c:v>28.914000000000009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0A9-4C40-9F99-93D66C17E3BE}"/>
            </c:ext>
          </c:extLst>
        </c:ser>
        <c:ser>
          <c:idx val="3"/>
          <c:order val="6"/>
          <c:tx>
            <c:v>h. t1</c:v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't50(1) Ds CD'!$BK$36:$BK$37</c:f>
              <c:numCache>
                <c:formatCode>General</c:formatCode>
                <c:ptCount val="2"/>
                <c:pt idx="0">
                  <c:v>1</c:v>
                </c:pt>
                <c:pt idx="1">
                  <c:v>10000</c:v>
                </c:pt>
              </c:numCache>
            </c:numRef>
          </c:xVal>
          <c:yVal>
            <c:numRef>
              <c:f>'t50(1) Ds CD'!$BL$36:$BL$37</c:f>
              <c:numCache>
                <c:formatCode>General</c:formatCode>
                <c:ptCount val="2"/>
                <c:pt idx="0">
                  <c:v>24.582000000000004</c:v>
                </c:pt>
                <c:pt idx="1">
                  <c:v>24.582000000000004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0A9-4C40-9F99-93D66C17E3BE}"/>
            </c:ext>
          </c:extLst>
        </c:ser>
        <c:ser>
          <c:idx val="9"/>
          <c:order val="7"/>
          <c:tx>
            <c:v>d50</c:v>
          </c:tx>
          <c:spPr>
            <a:ln w="1905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't50(1) Ds CD'!$BQ$31:$BQ$32</c:f>
              <c:numCache>
                <c:formatCode>General</c:formatCode>
                <c:ptCount val="2"/>
                <c:pt idx="0">
                  <c:v>1</c:v>
                </c:pt>
                <c:pt idx="1">
                  <c:v>2.5</c:v>
                </c:pt>
              </c:numCache>
            </c:numRef>
          </c:xVal>
          <c:yVal>
            <c:numRef>
              <c:f>'t50(1) Ds CD'!$BR$31:$BR$32</c:f>
              <c:numCache>
                <c:formatCode>General</c:formatCode>
                <c:ptCount val="2"/>
                <c:pt idx="0">
                  <c:v>24.407000000000004</c:v>
                </c:pt>
                <c:pt idx="1">
                  <c:v>24.407000000000004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0A9-4C40-9F99-93D66C17E3BE}"/>
            </c:ext>
          </c:extLst>
        </c:ser>
        <c:ser>
          <c:idx val="8"/>
          <c:order val="8"/>
          <c:spPr>
            <a:ln w="19050">
              <a:solidFill>
                <a:schemeClr val="bg1"/>
              </a:solidFill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og"/>
            <c:forward val="20"/>
            <c:backward val="100"/>
            <c:dispRSqr val="0"/>
            <c:dispEq val="0"/>
          </c:trendline>
          <c:xVal>
            <c:numRef>
              <c:f>'t50(1) Ds CD'!$BT$36:$BT$37</c:f>
              <c:numCache>
                <c:formatCode>General</c:formatCode>
                <c:ptCount val="2"/>
                <c:pt idx="0" formatCode="0">
                  <c:v>240</c:v>
                </c:pt>
                <c:pt idx="1">
                  <c:v>1440</c:v>
                </c:pt>
              </c:numCache>
            </c:numRef>
          </c:xVal>
          <c:yVal>
            <c:numRef>
              <c:f>'t50(1) Ds CD'!$BU$36:$BU$37</c:f>
              <c:numCache>
                <c:formatCode>0.000</c:formatCode>
                <c:ptCount val="2"/>
                <c:pt idx="0">
                  <c:v>24.492000000000001</c:v>
                </c:pt>
                <c:pt idx="1">
                  <c:v>24.453000000000003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0A9-4C40-9F99-93D66C17E3BE}"/>
            </c:ext>
          </c:extLst>
        </c:ser>
        <c:ser>
          <c:idx val="10"/>
          <c:order val="9"/>
          <c:tx>
            <c:v>T adjust</c:v>
          </c:tx>
          <c:spPr>
            <a:ln w="22225">
              <a:solidFill>
                <a:srgbClr val="FFFF00"/>
              </a:solidFill>
              <a:prstDash val="dash"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't50(1) Ds CD'!$BO$31:$BO$32</c:f>
              <c:numCache>
                <c:formatCode>General</c:formatCode>
                <c:ptCount val="2"/>
                <c:pt idx="0">
                  <c:v>240</c:v>
                </c:pt>
                <c:pt idx="1">
                  <c:v>240</c:v>
                </c:pt>
              </c:numCache>
            </c:numRef>
          </c:xVal>
          <c:yVal>
            <c:numRef>
              <c:f>'t50(1) Ds CD'!$BP$31:$BP$32</c:f>
              <c:numCache>
                <c:formatCode>General</c:formatCode>
                <c:ptCount val="2"/>
                <c:pt idx="0">
                  <c:v>19.899999999999999</c:v>
                </c:pt>
                <c:pt idx="1">
                  <c:v>24.443000000000001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90A9-4C40-9F99-93D66C17E3BE}"/>
            </c:ext>
          </c:extLst>
        </c:ser>
        <c:ser>
          <c:idx val="6"/>
          <c:order val="10"/>
          <c:tx>
            <c:v>d100</c:v>
          </c:tx>
          <c:spPr>
            <a:ln w="22225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't50(1) Ds CD'!$BV$36:$BV$37</c:f>
              <c:numCache>
                <c:formatCode>General</c:formatCode>
                <c:ptCount val="2"/>
                <c:pt idx="0">
                  <c:v>1</c:v>
                </c:pt>
                <c:pt idx="1">
                  <c:v>240</c:v>
                </c:pt>
              </c:numCache>
            </c:numRef>
          </c:xVal>
          <c:yVal>
            <c:numRef>
              <c:f>'t50(1) Ds CD'!$BW$36:$BW$37</c:f>
              <c:numCache>
                <c:formatCode>General</c:formatCode>
                <c:ptCount val="2"/>
                <c:pt idx="0">
                  <c:v>19.899999999999999</c:v>
                </c:pt>
                <c:pt idx="1">
                  <c:v>19.899999999999999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0A9-4C40-9F99-93D66C17E3BE}"/>
            </c:ext>
          </c:extLst>
        </c:ser>
        <c:ser>
          <c:idx val="11"/>
          <c:order val="11"/>
          <c:tx>
            <c:v>t50</c:v>
          </c:tx>
          <c:spPr>
            <a:ln w="1905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't50(1) Ds CD'!$BS$31:$BS$32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't50(1) Ds CD'!$BT$31:$BT$32</c:f>
              <c:numCache>
                <c:formatCode>General</c:formatCode>
                <c:ptCount val="2"/>
                <c:pt idx="0">
                  <c:v>24.407000000000004</c:v>
                </c:pt>
                <c:pt idx="1">
                  <c:v>24.443000000000001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90A9-4C40-9F99-93D66C17E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953856"/>
        <c:axId val="76972416"/>
      </c:scatterChart>
      <c:valAx>
        <c:axId val="76953856"/>
        <c:scaling>
          <c:logBase val="10"/>
          <c:orientation val="minMax"/>
          <c:min val="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Time (minute)</a:t>
                </a:r>
              </a:p>
            </c:rich>
          </c:tx>
          <c:layout>
            <c:manualLayout>
              <c:xMode val="edge"/>
              <c:yMode val="edge"/>
              <c:x val="0.46983207520770126"/>
              <c:y val="0.94522477030523477"/>
            </c:manualLayout>
          </c:layout>
          <c:overlay val="0"/>
        </c:title>
        <c:numFmt formatCode="0.0" sourceLinked="0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6972416"/>
        <c:crosses val="autoZero"/>
        <c:crossBetween val="midCat"/>
      </c:valAx>
      <c:valAx>
        <c:axId val="76972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7074703339633835E-2"/>
              <c:y val="0.26644841102548988"/>
            </c:manualLayout>
          </c:layout>
          <c:overlay val="0"/>
        </c:title>
        <c:numFmt formatCode="0.000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6953856"/>
        <c:crosses val="autoZero"/>
        <c:crossBetween val="midCat"/>
      </c:valAx>
      <c:spPr>
        <a:noFill/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677" l="0.70000000000000062" r="0.70000000000000062" t="0.75000000000000677" header="0.30000000000000032" footer="0.30000000000000032"/>
    <c:pageSetup/>
  </c:printSettings>
  <c:userShapes r:id="rId1"/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6446651719565"/>
          <c:y val="4.3389155819018713E-2"/>
          <c:w val="0.83361575497666252"/>
          <c:h val="0.80151650641627259"/>
        </c:manualLayout>
      </c:layout>
      <c:scatterChart>
        <c:scatterStyle val="smoothMarker"/>
        <c:varyColors val="0"/>
        <c:ser>
          <c:idx val="0"/>
          <c:order val="0"/>
          <c:spPr>
            <a:ln w="22225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't50(1) Ds CD'!$BH$50:$BH$64</c:f>
              <c:numCache>
                <c:formatCode>0.00</c:formatCode>
                <c:ptCount val="15"/>
              </c:numCache>
            </c:numRef>
          </c:xVal>
          <c:yVal>
            <c:numRef>
              <c:f>'t50(1) Ds CD'!$BI$50:$BI$64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E9B-4E8A-89DC-B8B0DF54A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41376"/>
        <c:axId val="77634560"/>
      </c:scatterChart>
      <c:valAx>
        <c:axId val="7754137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Time (minute)</a:t>
                </a:r>
              </a:p>
            </c:rich>
          </c:tx>
          <c:layout>
            <c:manualLayout>
              <c:xMode val="edge"/>
              <c:yMode val="edge"/>
              <c:x val="0.46983214188541061"/>
              <c:y val="0.9210377800330245"/>
            </c:manualLayout>
          </c:layout>
          <c:overlay val="0"/>
        </c:title>
        <c:numFmt formatCode="0.00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634560"/>
        <c:crosses val="autoZero"/>
        <c:crossBetween val="midCat"/>
      </c:valAx>
      <c:valAx>
        <c:axId val="77634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067168958727114E-2"/>
              <c:y val="0.2664484110254898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541376"/>
        <c:crosses val="autoZero"/>
        <c:crossBetween val="midCat"/>
      </c:valAx>
      <c:spPr>
        <a:noFill/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677" l="0.70000000000000062" r="0.70000000000000062" t="0.75000000000000677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86446651719565"/>
          <c:y val="4.3389155819018713E-2"/>
          <c:w val="0.83361575497666252"/>
          <c:h val="0.801516506416272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't50(2) Ds CD'!$BI$10:$BI$22</c:f>
              <c:strCache>
                <c:ptCount val="13"/>
                <c:pt idx="0">
                  <c:v>23,89</c:v>
                </c:pt>
                <c:pt idx="1">
                  <c:v>23,87</c:v>
                </c:pt>
                <c:pt idx="2">
                  <c:v>23,85</c:v>
                </c:pt>
                <c:pt idx="3">
                  <c:v>23,84</c:v>
                </c:pt>
                <c:pt idx="4">
                  <c:v>23,82</c:v>
                </c:pt>
                <c:pt idx="5">
                  <c:v>23,80</c:v>
                </c:pt>
                <c:pt idx="6">
                  <c:v>23,80</c:v>
                </c:pt>
                <c:pt idx="7">
                  <c:v>23,79</c:v>
                </c:pt>
                <c:pt idx="8">
                  <c:v>23,77</c:v>
                </c:pt>
                <c:pt idx="9">
                  <c:v>23,75</c:v>
                </c:pt>
                <c:pt idx="10">
                  <c:v>23,73</c:v>
                </c:pt>
                <c:pt idx="11">
                  <c:v>23,72</c:v>
                </c:pt>
                <c:pt idx="12">
                  <c:v>23,69</c:v>
                </c:pt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't50(2) Ds CD'!$BH$23</c:f>
              <c:numCache>
                <c:formatCode>General</c:formatCode>
                <c:ptCount val="1"/>
              </c:numCache>
            </c:numRef>
          </c:xVal>
          <c:yVal>
            <c:numRef>
              <c:f>'t50(2) Ds CD'!$BI$23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92-42CF-A869-2FABD614B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75680"/>
        <c:axId val="77582336"/>
      </c:scatterChart>
      <c:valAx>
        <c:axId val="77575680"/>
        <c:scaling>
          <c:logBase val="10"/>
          <c:orientation val="minMax"/>
          <c:min val="0.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Time (minute)</a:t>
                </a:r>
              </a:p>
            </c:rich>
          </c:tx>
          <c:layout>
            <c:manualLayout>
              <c:xMode val="edge"/>
              <c:yMode val="edge"/>
              <c:x val="0.46983214188541061"/>
              <c:y val="0.921037780033024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582336"/>
        <c:crosses val="autoZero"/>
        <c:crossBetween val="midCat"/>
      </c:valAx>
      <c:valAx>
        <c:axId val="775823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067168958727114E-2"/>
              <c:y val="0.26644841102548988"/>
            </c:manualLayout>
          </c:layout>
          <c:overlay val="0"/>
        </c:title>
        <c:numFmt formatCode="0.00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575680"/>
        <c:crosses val="autoZero"/>
        <c:crossBetween val="midCat"/>
      </c:valAx>
      <c:spPr>
        <a:noFill/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677" l="0.70000000000000062" r="0.70000000000000062" t="0.75000000000000677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867061169308716"/>
          <c:y val="3.1797220540904406E-2"/>
          <c:w val="0.73559096672049562"/>
          <c:h val="0.75567945043544105"/>
        </c:manualLayout>
      </c:layout>
      <c:scatterChart>
        <c:scatterStyle val="lineMarker"/>
        <c:varyColors val="0"/>
        <c:ser>
          <c:idx val="7"/>
          <c:order val="5"/>
          <c:spPr>
            <a:ln w="76200">
              <a:noFill/>
            </a:ln>
          </c:spPr>
          <c:marker>
            <c:symbol val="none"/>
          </c:marker>
          <c:trendline>
            <c:spPr>
              <a:ln w="9525">
                <a:solidFill>
                  <a:srgbClr val="FF0000"/>
                </a:solidFill>
              </a:ln>
            </c:spPr>
            <c:trendlineType val="log"/>
            <c:forward val="500"/>
            <c:backward val="2"/>
            <c:dispRSqr val="0"/>
            <c:dispEq val="0"/>
          </c:trendline>
          <c:xVal>
            <c:numRef>
              <c:f>'t50(2) Ds CD'!$BQ$36:$BQ$37</c:f>
              <c:numCache>
                <c:formatCode>0</c:formatCode>
                <c:ptCount val="2"/>
                <c:pt idx="0">
                  <c:v>60</c:v>
                </c:pt>
                <c:pt idx="1">
                  <c:v>480</c:v>
                </c:pt>
              </c:numCache>
            </c:numRef>
          </c:xVal>
          <c:yVal>
            <c:numRef>
              <c:f>'t50(2) Ds CD'!$BR$36:$BR$37</c:f>
              <c:numCache>
                <c:formatCode>0.000</c:formatCode>
                <c:ptCount val="2"/>
                <c:pt idx="0">
                  <c:v>23.770000000000003</c:v>
                </c:pt>
                <c:pt idx="1">
                  <c:v>23.716000000000001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47-4BDD-807C-733F2483D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37344"/>
        <c:axId val="77760000"/>
      </c:scatterChart>
      <c:scatterChart>
        <c:scatterStyle val="smoothMarker"/>
        <c:varyColors val="0"/>
        <c:ser>
          <c:idx val="0"/>
          <c:order val="0"/>
          <c:marker>
            <c:symbol val="circle"/>
            <c:size val="4"/>
          </c:marker>
          <c:xVal>
            <c:numRef>
              <c:f>'t50(2) Ds CD'!$BH$10:$BH$22</c:f>
              <c:numCache>
                <c:formatCode>General</c:formatCode>
                <c:ptCount val="13"/>
                <c:pt idx="0">
                  <c:v>0.25</c:v>
                </c:pt>
                <c:pt idx="1">
                  <c:v>1</c:v>
                </c:pt>
                <c:pt idx="2">
                  <c:v>4</c:v>
                </c:pt>
                <c:pt idx="3">
                  <c:v>6.25</c:v>
                </c:pt>
                <c:pt idx="4">
                  <c:v>9</c:v>
                </c:pt>
                <c:pt idx="5">
                  <c:v>12.25</c:v>
                </c:pt>
                <c:pt idx="6">
                  <c:v>16</c:v>
                </c:pt>
                <c:pt idx="7">
                  <c:v>20.25</c:v>
                </c:pt>
                <c:pt idx="8">
                  <c:v>60</c:v>
                </c:pt>
                <c:pt idx="9">
                  <c:v>120</c:v>
                </c:pt>
                <c:pt idx="10">
                  <c:v>240</c:v>
                </c:pt>
                <c:pt idx="11">
                  <c:v>480</c:v>
                </c:pt>
                <c:pt idx="12">
                  <c:v>1440</c:v>
                </c:pt>
              </c:numCache>
            </c:numRef>
          </c:xVal>
          <c:yVal>
            <c:numRef>
              <c:f>'t50(2) Ds CD'!$BI$10:$BI$22</c:f>
              <c:numCache>
                <c:formatCode>0.00</c:formatCode>
                <c:ptCount val="13"/>
                <c:pt idx="0">
                  <c:v>23.886000000000003</c:v>
                </c:pt>
                <c:pt idx="1">
                  <c:v>23.867000000000001</c:v>
                </c:pt>
                <c:pt idx="2">
                  <c:v>23.846</c:v>
                </c:pt>
                <c:pt idx="3">
                  <c:v>23.837000000000003</c:v>
                </c:pt>
                <c:pt idx="4">
                  <c:v>23.817</c:v>
                </c:pt>
                <c:pt idx="5">
                  <c:v>23.799000000000003</c:v>
                </c:pt>
                <c:pt idx="6">
                  <c:v>23.797000000000001</c:v>
                </c:pt>
                <c:pt idx="7">
                  <c:v>23.785000000000004</c:v>
                </c:pt>
                <c:pt idx="8">
                  <c:v>23.770000000000003</c:v>
                </c:pt>
                <c:pt idx="9">
                  <c:v>23.749000000000002</c:v>
                </c:pt>
                <c:pt idx="10">
                  <c:v>23.727</c:v>
                </c:pt>
                <c:pt idx="11">
                  <c:v>23.716000000000001</c:v>
                </c:pt>
                <c:pt idx="12">
                  <c:v>23.69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247-4BDD-807C-733F2483D5F1}"/>
            </c:ext>
          </c:extLst>
        </c:ser>
        <c:ser>
          <c:idx val="1"/>
          <c:order val="1"/>
          <c:tx>
            <c:v>0.1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't50(2) Ds CD'!$BK$31:$BK$32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't50(2) Ds CD'!$BL$31:$BL$32</c:f>
              <c:numCache>
                <c:formatCode>General</c:formatCode>
                <c:ptCount val="2"/>
                <c:pt idx="0">
                  <c:v>23.59</c:v>
                </c:pt>
                <c:pt idx="1">
                  <c:v>23.896000000000004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247-4BDD-807C-733F2483D5F1}"/>
            </c:ext>
          </c:extLst>
        </c:ser>
        <c:ser>
          <c:idx val="2"/>
          <c:order val="2"/>
          <c:tx>
            <c:v>0.4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't50(2) Ds CD'!$BM$31:$BM$32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't50(2) Ds CD'!$BN$31:$BN$32</c:f>
              <c:numCache>
                <c:formatCode>General</c:formatCode>
                <c:ptCount val="2"/>
                <c:pt idx="0">
                  <c:v>23.59</c:v>
                </c:pt>
                <c:pt idx="1">
                  <c:v>23.896000000000004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247-4BDD-807C-733F2483D5F1}"/>
            </c:ext>
          </c:extLst>
        </c:ser>
        <c:ser>
          <c:idx val="4"/>
          <c:order val="3"/>
          <c:tx>
            <c:v>h. t2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't50(2) Ds CD'!$BM$36:$BM$37</c:f>
              <c:numCache>
                <c:formatCode>General</c:formatCode>
                <c:ptCount val="2"/>
                <c:pt idx="0">
                  <c:v>4</c:v>
                </c:pt>
                <c:pt idx="1">
                  <c:v>10000</c:v>
                </c:pt>
              </c:numCache>
            </c:numRef>
          </c:xVal>
          <c:yVal>
            <c:numRef>
              <c:f>'t50(2) Ds CD'!$BN$36:$BN$37</c:f>
              <c:numCache>
                <c:formatCode>General</c:formatCode>
                <c:ptCount val="2"/>
                <c:pt idx="0">
                  <c:v>20.100000000000001</c:v>
                </c:pt>
                <c:pt idx="1">
                  <c:v>20.100000000000001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247-4BDD-807C-733F2483D5F1}"/>
            </c:ext>
          </c:extLst>
        </c:ser>
        <c:ser>
          <c:idx val="5"/>
          <c:order val="4"/>
          <c:tx>
            <c:v>d0</c:v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't50(2) Ds CD'!$BO$36:$BO$37</c:f>
              <c:numCache>
                <c:formatCode>General</c:formatCode>
                <c:ptCount val="2"/>
                <c:pt idx="0">
                  <c:v>1</c:v>
                </c:pt>
                <c:pt idx="1">
                  <c:v>10000</c:v>
                </c:pt>
              </c:numCache>
            </c:numRef>
          </c:xVal>
          <c:yVal>
            <c:numRef>
              <c:f>'t50(2) Ds CD'!$BP$36:$BP$37</c:f>
              <c:numCache>
                <c:formatCode>General</c:formatCode>
                <c:ptCount val="2"/>
                <c:pt idx="0">
                  <c:v>27.634</c:v>
                </c:pt>
                <c:pt idx="1">
                  <c:v>27.634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247-4BDD-807C-733F2483D5F1}"/>
            </c:ext>
          </c:extLst>
        </c:ser>
        <c:ser>
          <c:idx val="3"/>
          <c:order val="6"/>
          <c:tx>
            <c:v>h. t1</c:v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't50(2) Ds CD'!$BK$36:$BK$37</c:f>
              <c:numCache>
                <c:formatCode>General</c:formatCode>
                <c:ptCount val="2"/>
                <c:pt idx="0">
                  <c:v>1</c:v>
                </c:pt>
                <c:pt idx="1">
                  <c:v>10000</c:v>
                </c:pt>
              </c:numCache>
            </c:numRef>
          </c:xVal>
          <c:yVal>
            <c:numRef>
              <c:f>'t50(2) Ds CD'!$BL$36:$BL$37</c:f>
              <c:numCache>
                <c:formatCode>General</c:formatCode>
                <c:ptCount val="2"/>
                <c:pt idx="0">
                  <c:v>23.867000000000001</c:v>
                </c:pt>
                <c:pt idx="1">
                  <c:v>23.867000000000001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247-4BDD-807C-733F2483D5F1}"/>
            </c:ext>
          </c:extLst>
        </c:ser>
        <c:ser>
          <c:idx val="9"/>
          <c:order val="7"/>
          <c:tx>
            <c:v>d50</c:v>
          </c:tx>
          <c:spPr>
            <a:ln w="1905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't50(2) Ds CD'!$BQ$31:$BQ$32</c:f>
              <c:numCache>
                <c:formatCode>General</c:formatCode>
                <c:ptCount val="2"/>
                <c:pt idx="0">
                  <c:v>1</c:v>
                </c:pt>
                <c:pt idx="1">
                  <c:v>2.1</c:v>
                </c:pt>
              </c:numCache>
            </c:numRef>
          </c:xVal>
          <c:yVal>
            <c:numRef>
              <c:f>'t50(2) Ds CD'!$BR$31:$BR$32</c:f>
              <c:numCache>
                <c:formatCode>General</c:formatCode>
                <c:ptCount val="2"/>
                <c:pt idx="0">
                  <c:v>23.786999999999999</c:v>
                </c:pt>
                <c:pt idx="1">
                  <c:v>23.786999999999999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247-4BDD-807C-733F2483D5F1}"/>
            </c:ext>
          </c:extLst>
        </c:ser>
        <c:ser>
          <c:idx val="8"/>
          <c:order val="8"/>
          <c:spPr>
            <a:ln w="19050">
              <a:solidFill>
                <a:schemeClr val="bg1"/>
              </a:solidFill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og"/>
            <c:forward val="200"/>
            <c:backward val="400"/>
            <c:dispRSqr val="0"/>
            <c:dispEq val="0"/>
          </c:trendline>
          <c:xVal>
            <c:numRef>
              <c:f>'t50(2) Ds CD'!$BT$36:$BT$37</c:f>
              <c:numCache>
                <c:formatCode>General</c:formatCode>
                <c:ptCount val="2"/>
                <c:pt idx="0" formatCode="0">
                  <c:v>480</c:v>
                </c:pt>
                <c:pt idx="1">
                  <c:v>1440</c:v>
                </c:pt>
              </c:numCache>
            </c:numRef>
          </c:xVal>
          <c:yVal>
            <c:numRef>
              <c:f>'t50(2) Ds CD'!$BU$36:$BU$37</c:f>
              <c:numCache>
                <c:formatCode>0.000</c:formatCode>
                <c:ptCount val="2"/>
                <c:pt idx="0">
                  <c:v>23.716000000000001</c:v>
                </c:pt>
                <c:pt idx="1">
                  <c:v>23.69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247-4BDD-807C-733F2483D5F1}"/>
            </c:ext>
          </c:extLst>
        </c:ser>
        <c:ser>
          <c:idx val="10"/>
          <c:order val="9"/>
          <c:tx>
            <c:v>T adjust</c:v>
          </c:tx>
          <c:spPr>
            <a:ln w="22225">
              <a:solidFill>
                <a:srgbClr val="FFFF00"/>
              </a:solidFill>
              <a:prstDash val="dash"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't50(2) Ds CD'!$BO$31:$BO$32</c:f>
              <c:numCache>
                <c:formatCode>General</c:formatCode>
                <c:ptCount val="2"/>
                <c:pt idx="0">
                  <c:v>243</c:v>
                </c:pt>
                <c:pt idx="1">
                  <c:v>243</c:v>
                </c:pt>
              </c:numCache>
            </c:numRef>
          </c:xVal>
          <c:yVal>
            <c:numRef>
              <c:f>'t50(2) Ds CD'!$BP$31:$BP$32</c:f>
              <c:numCache>
                <c:formatCode>General</c:formatCode>
                <c:ptCount val="2"/>
                <c:pt idx="0">
                  <c:v>19.940000000000001</c:v>
                </c:pt>
                <c:pt idx="1">
                  <c:v>23.59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7247-4BDD-807C-733F2483D5F1}"/>
            </c:ext>
          </c:extLst>
        </c:ser>
        <c:ser>
          <c:idx val="6"/>
          <c:order val="10"/>
          <c:tx>
            <c:v>d100</c:v>
          </c:tx>
          <c:spPr>
            <a:ln w="22225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't50(2) Ds CD'!$BV$36:$BV$37</c:f>
              <c:numCache>
                <c:formatCode>General</c:formatCode>
                <c:ptCount val="2"/>
                <c:pt idx="0">
                  <c:v>1</c:v>
                </c:pt>
                <c:pt idx="1">
                  <c:v>243</c:v>
                </c:pt>
              </c:numCache>
            </c:numRef>
          </c:xVal>
          <c:yVal>
            <c:numRef>
              <c:f>'t50(2) Ds CD'!$BW$36:$BW$37</c:f>
              <c:numCache>
                <c:formatCode>General</c:formatCode>
                <c:ptCount val="2"/>
                <c:pt idx="0">
                  <c:v>19.940000000000001</c:v>
                </c:pt>
                <c:pt idx="1">
                  <c:v>19.940000000000001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7247-4BDD-807C-733F2483D5F1}"/>
            </c:ext>
          </c:extLst>
        </c:ser>
        <c:ser>
          <c:idx val="11"/>
          <c:order val="11"/>
          <c:tx>
            <c:v>t50</c:v>
          </c:tx>
          <c:spPr>
            <a:ln w="1905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't50(2) Ds CD'!$BS$31:$BS$32</c:f>
              <c:numCache>
                <c:formatCode>General</c:formatCode>
                <c:ptCount val="2"/>
                <c:pt idx="0">
                  <c:v>2.1</c:v>
                </c:pt>
                <c:pt idx="1">
                  <c:v>2.1</c:v>
                </c:pt>
              </c:numCache>
            </c:numRef>
          </c:xVal>
          <c:yVal>
            <c:numRef>
              <c:f>'t50(2) Ds CD'!$BT$31:$BT$32</c:f>
              <c:numCache>
                <c:formatCode>General</c:formatCode>
                <c:ptCount val="2"/>
                <c:pt idx="0">
                  <c:v>23.786999999999999</c:v>
                </c:pt>
                <c:pt idx="1">
                  <c:v>23.59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7247-4BDD-807C-733F2483D5F1}"/>
            </c:ext>
          </c:extLst>
        </c:ser>
        <c:ser>
          <c:idx val="12"/>
          <c:order val="12"/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F-7247-4BDD-807C-733F2483D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37344"/>
        <c:axId val="77760000"/>
      </c:scatterChart>
      <c:valAx>
        <c:axId val="77737344"/>
        <c:scaling>
          <c:logBase val="10"/>
          <c:orientation val="minMax"/>
          <c:min val="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Time (minute)</a:t>
                </a:r>
              </a:p>
            </c:rich>
          </c:tx>
          <c:layout>
            <c:manualLayout>
              <c:xMode val="edge"/>
              <c:yMode val="edge"/>
              <c:x val="0.46983207520770143"/>
              <c:y val="0.94522477030523477"/>
            </c:manualLayout>
          </c:layout>
          <c:overlay val="0"/>
        </c:title>
        <c:numFmt formatCode="0.0" sourceLinked="0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760000"/>
        <c:crosses val="autoZero"/>
        <c:crossBetween val="midCat"/>
      </c:valAx>
      <c:valAx>
        <c:axId val="777600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7074703339633835E-2"/>
              <c:y val="0.26644841102548988"/>
            </c:manualLayout>
          </c:layout>
          <c:overlay val="0"/>
        </c:title>
        <c:numFmt formatCode="0.000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737344"/>
        <c:crosses val="autoZero"/>
        <c:crossBetween val="midCat"/>
      </c:valAx>
      <c:spPr>
        <a:noFill/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699" l="0.70000000000000062" r="0.70000000000000062" t="0.75000000000000699" header="0.30000000000000032" footer="0.30000000000000032"/>
    <c:pageSetup/>
  </c:printSettings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1586446651719565"/>
          <c:y val="4.3389155819018713E-2"/>
          <c:w val="0.83361575497666252"/>
          <c:h val="0.801516506416272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't50(2) Ds CD'!$BI$50</c:f>
              <c:strCache>
                <c:ptCount val="1"/>
              </c:strCache>
            </c:strRef>
          </c:tx>
          <c:spPr>
            <a:ln w="22225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't50(2) Ds CD'!$BH$51:$BH$64</c:f>
              <c:numCache>
                <c:formatCode>0.00</c:formatCode>
                <c:ptCount val="14"/>
              </c:numCache>
            </c:numRef>
          </c:xVal>
          <c:yVal>
            <c:numRef>
              <c:f>'t50(2) Ds CD'!$BI$51:$BI$64</c:f>
              <c:numCache>
                <c:formatCode>General</c:formatCode>
                <c:ptCount val="14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E8-4EC4-B83D-E5C5B4EC9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65344"/>
        <c:axId val="77867648"/>
      </c:scatterChart>
      <c:valAx>
        <c:axId val="7786534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Time (minute)</a:t>
                </a:r>
              </a:p>
            </c:rich>
          </c:tx>
          <c:layout>
            <c:manualLayout>
              <c:xMode val="edge"/>
              <c:yMode val="edge"/>
              <c:x val="0.46983214188541073"/>
              <c:y val="0.9210377800330245"/>
            </c:manualLayout>
          </c:layout>
          <c:overlay val="0"/>
        </c:title>
        <c:numFmt formatCode="0.00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867648"/>
        <c:crosses val="autoZero"/>
        <c:crossBetween val="midCat"/>
      </c:valAx>
      <c:valAx>
        <c:axId val="77867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067168958727114E-2"/>
              <c:y val="0.2664484110254898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865344"/>
        <c:crosses val="autoZero"/>
        <c:crossBetween val="midCat"/>
      </c:valAx>
      <c:spPr>
        <a:noFill/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6446651719565"/>
          <c:y val="4.3389155819018713E-2"/>
          <c:w val="0.83361575497666252"/>
          <c:h val="0.80151650641627259"/>
        </c:manualLayout>
      </c:layout>
      <c:scatterChart>
        <c:scatterStyle val="smoothMarker"/>
        <c:varyColors val="0"/>
        <c:ser>
          <c:idx val="0"/>
          <c:order val="0"/>
          <c:spPr>
            <a:ln w="22225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't50(3) Ds CD'!$BH$10:$BH$23</c:f>
              <c:numCache>
                <c:formatCode>General</c:formatCode>
                <c:ptCount val="14"/>
                <c:pt idx="0">
                  <c:v>0.25</c:v>
                </c:pt>
                <c:pt idx="1">
                  <c:v>1</c:v>
                </c:pt>
                <c:pt idx="2">
                  <c:v>4</c:v>
                </c:pt>
                <c:pt idx="3">
                  <c:v>6.25</c:v>
                </c:pt>
                <c:pt idx="4">
                  <c:v>9</c:v>
                </c:pt>
                <c:pt idx="5">
                  <c:v>12.25</c:v>
                </c:pt>
                <c:pt idx="6">
                  <c:v>16</c:v>
                </c:pt>
                <c:pt idx="7">
                  <c:v>20.25</c:v>
                </c:pt>
                <c:pt idx="8">
                  <c:v>60</c:v>
                </c:pt>
                <c:pt idx="9">
                  <c:v>120</c:v>
                </c:pt>
                <c:pt idx="10">
                  <c:v>240</c:v>
                </c:pt>
                <c:pt idx="11">
                  <c:v>480</c:v>
                </c:pt>
                <c:pt idx="12">
                  <c:v>1440</c:v>
                </c:pt>
              </c:numCache>
            </c:numRef>
          </c:xVal>
          <c:yVal>
            <c:numRef>
              <c:f>'t50(3) Ds CD'!$BI$10:$BI$23</c:f>
              <c:numCache>
                <c:formatCode>0.00</c:formatCode>
                <c:ptCount val="14"/>
                <c:pt idx="0">
                  <c:v>22.494000000000003</c:v>
                </c:pt>
                <c:pt idx="1">
                  <c:v>22.395000000000003</c:v>
                </c:pt>
                <c:pt idx="2">
                  <c:v>22.351000000000003</c:v>
                </c:pt>
                <c:pt idx="3">
                  <c:v>22.340000000000003</c:v>
                </c:pt>
                <c:pt idx="4">
                  <c:v>22.331000000000003</c:v>
                </c:pt>
                <c:pt idx="5">
                  <c:v>22.322000000000003</c:v>
                </c:pt>
                <c:pt idx="6">
                  <c:v>22.313000000000002</c:v>
                </c:pt>
                <c:pt idx="7">
                  <c:v>22.310000000000002</c:v>
                </c:pt>
                <c:pt idx="8">
                  <c:v>22.275000000000002</c:v>
                </c:pt>
                <c:pt idx="9">
                  <c:v>22.254000000000005</c:v>
                </c:pt>
                <c:pt idx="10">
                  <c:v>22.231000000000002</c:v>
                </c:pt>
                <c:pt idx="11">
                  <c:v>22.218000000000004</c:v>
                </c:pt>
                <c:pt idx="12">
                  <c:v>22.204000000000004</c:v>
                </c:pt>
                <c:pt idx="1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E77-4ED3-82CC-0132A89020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02112"/>
        <c:axId val="77816960"/>
      </c:scatterChart>
      <c:valAx>
        <c:axId val="77802112"/>
        <c:scaling>
          <c:logBase val="10"/>
          <c:orientation val="minMax"/>
          <c:min val="0.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Time (minute)</a:t>
                </a:r>
              </a:p>
            </c:rich>
          </c:tx>
          <c:layout>
            <c:manualLayout>
              <c:xMode val="edge"/>
              <c:yMode val="edge"/>
              <c:x val="0.4698321418854105"/>
              <c:y val="0.9210377800330245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816960"/>
        <c:crosses val="autoZero"/>
        <c:crossBetween val="midCat"/>
      </c:valAx>
      <c:valAx>
        <c:axId val="77816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067168958727114E-2"/>
              <c:y val="0.26644841102548988"/>
            </c:manualLayout>
          </c:layout>
          <c:overlay val="0"/>
        </c:title>
        <c:numFmt formatCode="0.00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7802112"/>
        <c:crosses val="autoZero"/>
        <c:crossBetween val="midCat"/>
      </c:valAx>
      <c:spPr>
        <a:noFill/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655" l="0.70000000000000062" r="0.70000000000000062" t="0.75000000000000655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87294871969276"/>
          <c:y val="8.7375870550894477E-2"/>
          <c:w val="0.73559096672049562"/>
          <c:h val="0.7556794504354406"/>
        </c:manualLayout>
      </c:layout>
      <c:scatterChart>
        <c:scatterStyle val="lineMarker"/>
        <c:varyColors val="0"/>
        <c:ser>
          <c:idx val="7"/>
          <c:order val="5"/>
          <c:spPr>
            <a:ln w="76200">
              <a:noFill/>
            </a:ln>
          </c:spPr>
          <c:marker>
            <c:symbol val="none"/>
          </c:marker>
          <c:trendline>
            <c:spPr>
              <a:ln w="9525">
                <a:solidFill>
                  <a:srgbClr val="FF0000"/>
                </a:solidFill>
              </a:ln>
            </c:spPr>
            <c:trendlineType val="log"/>
            <c:forward val="600"/>
            <c:backward val="10"/>
            <c:dispRSqr val="0"/>
            <c:dispEq val="0"/>
          </c:trendline>
          <c:xVal>
            <c:numRef>
              <c:f>'t50(3) Ds CD'!$BQ$36:$BQ$37</c:f>
              <c:numCache>
                <c:formatCode>0</c:formatCode>
                <c:ptCount val="2"/>
                <c:pt idx="0">
                  <c:v>240</c:v>
                </c:pt>
                <c:pt idx="1">
                  <c:v>480</c:v>
                </c:pt>
              </c:numCache>
            </c:numRef>
          </c:xVal>
          <c:yVal>
            <c:numRef>
              <c:f>'t50(3) Ds CD'!$BR$36:$BR$37</c:f>
              <c:numCache>
                <c:formatCode>0.000</c:formatCode>
                <c:ptCount val="2"/>
                <c:pt idx="0">
                  <c:v>22.231000000000002</c:v>
                </c:pt>
                <c:pt idx="1">
                  <c:v>22.218000000000004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36-412E-A155-7D7C9D4B4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60576"/>
        <c:axId val="78362496"/>
      </c:scatterChart>
      <c:scatterChart>
        <c:scatterStyle val="smoothMarker"/>
        <c:varyColors val="0"/>
        <c:ser>
          <c:idx val="0"/>
          <c:order val="0"/>
          <c:marker>
            <c:symbol val="circle"/>
            <c:size val="4"/>
          </c:marker>
          <c:xVal>
            <c:numRef>
              <c:f>'t50(3) Ds CD'!$BH$10:$BH$22</c:f>
              <c:numCache>
                <c:formatCode>General</c:formatCode>
                <c:ptCount val="13"/>
                <c:pt idx="0">
                  <c:v>0.25</c:v>
                </c:pt>
                <c:pt idx="1">
                  <c:v>1</c:v>
                </c:pt>
                <c:pt idx="2">
                  <c:v>4</c:v>
                </c:pt>
                <c:pt idx="3">
                  <c:v>6.25</c:v>
                </c:pt>
                <c:pt idx="4">
                  <c:v>9</c:v>
                </c:pt>
                <c:pt idx="5">
                  <c:v>12.25</c:v>
                </c:pt>
                <c:pt idx="6">
                  <c:v>16</c:v>
                </c:pt>
                <c:pt idx="7">
                  <c:v>20.25</c:v>
                </c:pt>
                <c:pt idx="8">
                  <c:v>60</c:v>
                </c:pt>
                <c:pt idx="9">
                  <c:v>120</c:v>
                </c:pt>
                <c:pt idx="10">
                  <c:v>240</c:v>
                </c:pt>
                <c:pt idx="11">
                  <c:v>480</c:v>
                </c:pt>
                <c:pt idx="12">
                  <c:v>1440</c:v>
                </c:pt>
              </c:numCache>
            </c:numRef>
          </c:xVal>
          <c:yVal>
            <c:numRef>
              <c:f>'t50(3) Ds CD'!$BI$10:$BI$22</c:f>
              <c:numCache>
                <c:formatCode>0.00</c:formatCode>
                <c:ptCount val="13"/>
                <c:pt idx="0">
                  <c:v>22.494000000000003</c:v>
                </c:pt>
                <c:pt idx="1">
                  <c:v>22.395000000000003</c:v>
                </c:pt>
                <c:pt idx="2">
                  <c:v>22.351000000000003</c:v>
                </c:pt>
                <c:pt idx="3">
                  <c:v>22.340000000000003</c:v>
                </c:pt>
                <c:pt idx="4">
                  <c:v>22.331000000000003</c:v>
                </c:pt>
                <c:pt idx="5">
                  <c:v>22.322000000000003</c:v>
                </c:pt>
                <c:pt idx="6">
                  <c:v>22.313000000000002</c:v>
                </c:pt>
                <c:pt idx="7">
                  <c:v>22.310000000000002</c:v>
                </c:pt>
                <c:pt idx="8">
                  <c:v>22.275000000000002</c:v>
                </c:pt>
                <c:pt idx="9">
                  <c:v>22.254000000000005</c:v>
                </c:pt>
                <c:pt idx="10">
                  <c:v>22.231000000000002</c:v>
                </c:pt>
                <c:pt idx="11">
                  <c:v>22.218000000000004</c:v>
                </c:pt>
                <c:pt idx="12">
                  <c:v>22.204000000000004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36-412E-A155-7D7C9D4B4D81}"/>
            </c:ext>
          </c:extLst>
        </c:ser>
        <c:ser>
          <c:idx val="1"/>
          <c:order val="1"/>
          <c:tx>
            <c:v>0.1</c:v>
          </c:tx>
          <c:spPr>
            <a:ln w="285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't50(3) Ds CD'!$BK$31:$BK$32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xVal>
          <c:yVal>
            <c:numRef>
              <c:f>'t50(3) Ds CD'!$BL$31:$BL$32</c:f>
              <c:numCache>
                <c:formatCode>General</c:formatCode>
                <c:ptCount val="2"/>
                <c:pt idx="0">
                  <c:v>20</c:v>
                </c:pt>
                <c:pt idx="1">
                  <c:v>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636-412E-A155-7D7C9D4B4D81}"/>
            </c:ext>
          </c:extLst>
        </c:ser>
        <c:ser>
          <c:idx val="2"/>
          <c:order val="2"/>
          <c:tx>
            <c:v>0.4</c:v>
          </c:tx>
          <c:spPr>
            <a:ln w="1905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't50(3) Ds CD'!$BM$31:$BM$32</c:f>
              <c:numCache>
                <c:formatCode>General</c:formatCode>
                <c:ptCount val="2"/>
                <c:pt idx="0">
                  <c:v>4</c:v>
                </c:pt>
                <c:pt idx="1">
                  <c:v>4</c:v>
                </c:pt>
              </c:numCache>
            </c:numRef>
          </c:xVal>
          <c:yVal>
            <c:numRef>
              <c:f>'t50(3) Ds CD'!$BN$31:$BN$32</c:f>
              <c:numCache>
                <c:formatCode>General</c:formatCode>
                <c:ptCount val="2"/>
                <c:pt idx="0">
                  <c:v>20</c:v>
                </c:pt>
                <c:pt idx="1">
                  <c:v>20.9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636-412E-A155-7D7C9D4B4D81}"/>
            </c:ext>
          </c:extLst>
        </c:ser>
        <c:ser>
          <c:idx val="4"/>
          <c:order val="3"/>
          <c:tx>
            <c:v>h. t2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't50(3) Ds CD'!$BM$36:$BM$37</c:f>
              <c:numCache>
                <c:formatCode>General</c:formatCode>
                <c:ptCount val="2"/>
                <c:pt idx="0">
                  <c:v>4</c:v>
                </c:pt>
                <c:pt idx="1">
                  <c:v>10000</c:v>
                </c:pt>
              </c:numCache>
            </c:numRef>
          </c:xVal>
          <c:yVal>
            <c:numRef>
              <c:f>'t50(3) Ds CD'!$BN$36:$BN$37</c:f>
              <c:numCache>
                <c:formatCode>General</c:formatCode>
                <c:ptCount val="2"/>
                <c:pt idx="0">
                  <c:v>20.6</c:v>
                </c:pt>
                <c:pt idx="1">
                  <c:v>20.6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636-412E-A155-7D7C9D4B4D81}"/>
            </c:ext>
          </c:extLst>
        </c:ser>
        <c:ser>
          <c:idx val="5"/>
          <c:order val="4"/>
          <c:tx>
            <c:v>d0</c:v>
          </c:tx>
          <c:spPr>
            <a:ln w="19050">
              <a:solidFill>
                <a:srgbClr val="92D050"/>
              </a:solidFill>
            </a:ln>
          </c:spPr>
          <c:marker>
            <c:symbol val="none"/>
          </c:marker>
          <c:xVal>
            <c:numRef>
              <c:f>'t50(3) Ds CD'!$BO$36:$BO$37</c:f>
              <c:numCache>
                <c:formatCode>General</c:formatCode>
                <c:ptCount val="2"/>
                <c:pt idx="0">
                  <c:v>1</c:v>
                </c:pt>
                <c:pt idx="1">
                  <c:v>10000</c:v>
                </c:pt>
              </c:numCache>
            </c:numRef>
          </c:xVal>
          <c:yVal>
            <c:numRef>
              <c:f>'t50(3) Ds CD'!$BP$36:$BP$37</c:f>
              <c:numCache>
                <c:formatCode>General</c:formatCode>
                <c:ptCount val="2"/>
                <c:pt idx="0">
                  <c:v>24.190000000000005</c:v>
                </c:pt>
                <c:pt idx="1">
                  <c:v>24.190000000000005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636-412E-A155-7D7C9D4B4D81}"/>
            </c:ext>
          </c:extLst>
        </c:ser>
        <c:ser>
          <c:idx val="3"/>
          <c:order val="6"/>
          <c:tx>
            <c:v>h. t1</c:v>
          </c:tx>
          <c:spPr>
            <a:ln w="19050">
              <a:solidFill>
                <a:schemeClr val="accent4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't50(3) Ds CD'!$BK$36:$BK$37</c:f>
              <c:numCache>
                <c:formatCode>General</c:formatCode>
                <c:ptCount val="2"/>
                <c:pt idx="0">
                  <c:v>1</c:v>
                </c:pt>
                <c:pt idx="1">
                  <c:v>10000</c:v>
                </c:pt>
              </c:numCache>
            </c:numRef>
          </c:xVal>
          <c:yVal>
            <c:numRef>
              <c:f>'t50(3) Ds CD'!$BL$36:$BL$37</c:f>
              <c:numCache>
                <c:formatCode>General</c:formatCode>
                <c:ptCount val="2"/>
                <c:pt idx="0">
                  <c:v>22.395000000000003</c:v>
                </c:pt>
                <c:pt idx="1">
                  <c:v>22.395000000000003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636-412E-A155-7D7C9D4B4D81}"/>
            </c:ext>
          </c:extLst>
        </c:ser>
        <c:ser>
          <c:idx val="9"/>
          <c:order val="7"/>
          <c:tx>
            <c:v>d50</c:v>
          </c:tx>
          <c:spPr>
            <a:ln w="1905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't50(3) Ds CD'!$BQ$31:$BQ$32</c:f>
              <c:numCache>
                <c:formatCode>General</c:formatCode>
                <c:ptCount val="2"/>
                <c:pt idx="0">
                  <c:v>1</c:v>
                </c:pt>
                <c:pt idx="1">
                  <c:v>2.5</c:v>
                </c:pt>
              </c:numCache>
            </c:numRef>
          </c:xVal>
          <c:yVal>
            <c:numRef>
              <c:f>'t50(3) Ds CD'!$BR$31:$BR$32</c:f>
              <c:numCache>
                <c:formatCode>General</c:formatCode>
                <c:ptCount val="2"/>
                <c:pt idx="0">
                  <c:v>22.120000000000005</c:v>
                </c:pt>
                <c:pt idx="1">
                  <c:v>22.120000000000005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636-412E-A155-7D7C9D4B4D81}"/>
            </c:ext>
          </c:extLst>
        </c:ser>
        <c:ser>
          <c:idx val="8"/>
          <c:order val="8"/>
          <c:spPr>
            <a:ln w="19050">
              <a:solidFill>
                <a:schemeClr val="bg1"/>
              </a:solidFill>
            </a:ln>
          </c:spPr>
          <c:marker>
            <c:symbol val="none"/>
          </c:marker>
          <c:trendline>
            <c:spPr>
              <a:ln>
                <a:solidFill>
                  <a:srgbClr val="FF0000"/>
                </a:solidFill>
              </a:ln>
            </c:spPr>
            <c:trendlineType val="log"/>
            <c:backward val="100"/>
            <c:dispRSqr val="0"/>
            <c:dispEq val="0"/>
          </c:trendline>
          <c:xVal>
            <c:numRef>
              <c:f>'t50(3) Ds CD'!$BT$36:$BT$37</c:f>
              <c:numCache>
                <c:formatCode>General</c:formatCode>
                <c:ptCount val="2"/>
                <c:pt idx="0" formatCode="0">
                  <c:v>480</c:v>
                </c:pt>
                <c:pt idx="1">
                  <c:v>1440</c:v>
                </c:pt>
              </c:numCache>
            </c:numRef>
          </c:xVal>
          <c:yVal>
            <c:numRef>
              <c:f>'t50(3) Ds CD'!$BU$36:$BU$37</c:f>
              <c:numCache>
                <c:formatCode>0.000</c:formatCode>
                <c:ptCount val="2"/>
                <c:pt idx="0">
                  <c:v>22.218000000000004</c:v>
                </c:pt>
                <c:pt idx="1">
                  <c:v>22.204000000000004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636-412E-A155-7D7C9D4B4D81}"/>
            </c:ext>
          </c:extLst>
        </c:ser>
        <c:ser>
          <c:idx val="10"/>
          <c:order val="9"/>
          <c:tx>
            <c:v>T adjust</c:v>
          </c:tx>
          <c:spPr>
            <a:ln w="22225">
              <a:solidFill>
                <a:srgbClr val="FFFF00"/>
              </a:solidFill>
              <a:prstDash val="dash"/>
            </a:ln>
          </c:spPr>
          <c:marker>
            <c:symbol val="none"/>
          </c:marker>
          <c:trendline>
            <c:trendlineType val="linear"/>
            <c:dispRSqr val="0"/>
            <c:dispEq val="0"/>
          </c:trendline>
          <c:xVal>
            <c:numRef>
              <c:f>'t50(3) Ds CD'!$BO$31:$BO$32</c:f>
              <c:numCache>
                <c:formatCode>General</c:formatCode>
                <c:ptCount val="2"/>
                <c:pt idx="0">
                  <c:v>480</c:v>
                </c:pt>
                <c:pt idx="1">
                  <c:v>480</c:v>
                </c:pt>
              </c:numCache>
            </c:numRef>
          </c:xVal>
          <c:yVal>
            <c:numRef>
              <c:f>'t50(3) Ds CD'!$BP$31:$BP$32</c:f>
              <c:numCache>
                <c:formatCode>General</c:formatCode>
                <c:ptCount val="2"/>
                <c:pt idx="0">
                  <c:v>20.05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2636-412E-A155-7D7C9D4B4D81}"/>
            </c:ext>
          </c:extLst>
        </c:ser>
        <c:ser>
          <c:idx val="6"/>
          <c:order val="10"/>
          <c:tx>
            <c:v>d100</c:v>
          </c:tx>
          <c:spPr>
            <a:ln w="22225">
              <a:solidFill>
                <a:srgbClr val="FFFF00"/>
              </a:solidFill>
              <a:prstDash val="dash"/>
            </a:ln>
          </c:spPr>
          <c:marker>
            <c:symbol val="none"/>
          </c:marker>
          <c:xVal>
            <c:numRef>
              <c:f>'t50(3) Ds CD'!$BV$36:$BV$37</c:f>
              <c:numCache>
                <c:formatCode>General</c:formatCode>
                <c:ptCount val="2"/>
                <c:pt idx="0">
                  <c:v>1</c:v>
                </c:pt>
                <c:pt idx="1">
                  <c:v>480</c:v>
                </c:pt>
              </c:numCache>
            </c:numRef>
          </c:xVal>
          <c:yVal>
            <c:numRef>
              <c:f>'t50(3) Ds CD'!$BW$36:$BW$37</c:f>
              <c:numCache>
                <c:formatCode>General</c:formatCode>
                <c:ptCount val="2"/>
                <c:pt idx="0">
                  <c:v>20.05</c:v>
                </c:pt>
                <c:pt idx="1">
                  <c:v>20.05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2636-412E-A155-7D7C9D4B4D81}"/>
            </c:ext>
          </c:extLst>
        </c:ser>
        <c:ser>
          <c:idx val="11"/>
          <c:order val="11"/>
          <c:tx>
            <c:v>t50</c:v>
          </c:tx>
          <c:spPr>
            <a:ln w="19050">
              <a:solidFill>
                <a:schemeClr val="accent6">
                  <a:lumMod val="60000"/>
                  <a:lumOff val="40000"/>
                </a:schemeClr>
              </a:solidFill>
            </a:ln>
          </c:spPr>
          <c:marker>
            <c:symbol val="none"/>
          </c:marker>
          <c:xVal>
            <c:numRef>
              <c:f>'t50(3) Ds CD'!$BS$31:$BS$32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't50(3) Ds CD'!$BT$31:$BT$32</c:f>
              <c:numCache>
                <c:formatCode>General</c:formatCode>
                <c:ptCount val="2"/>
                <c:pt idx="0">
                  <c:v>22.120000000000005</c:v>
                </c:pt>
                <c:pt idx="1">
                  <c:v>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2636-412E-A155-7D7C9D4B4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60576"/>
        <c:axId val="78362496"/>
      </c:scatterChart>
      <c:valAx>
        <c:axId val="78360576"/>
        <c:scaling>
          <c:logBase val="10"/>
          <c:orientation val="minMax"/>
          <c:min val="1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Time (minute)</a:t>
                </a:r>
              </a:p>
            </c:rich>
          </c:tx>
          <c:layout>
            <c:manualLayout>
              <c:xMode val="edge"/>
              <c:yMode val="edge"/>
              <c:x val="0.46983207520770126"/>
              <c:y val="0.94522477030523477"/>
            </c:manualLayout>
          </c:layout>
          <c:overlay val="0"/>
        </c:title>
        <c:numFmt formatCode="0.0" sourceLinked="0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8362496"/>
        <c:crosses val="autoZero"/>
        <c:crossBetween val="midCat"/>
      </c:valAx>
      <c:valAx>
        <c:axId val="783624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7074703339633835E-2"/>
              <c:y val="0.26644841102548988"/>
            </c:manualLayout>
          </c:layout>
          <c:overlay val="0"/>
        </c:title>
        <c:numFmt formatCode="0.000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8360576"/>
        <c:crosses val="autoZero"/>
        <c:crossBetween val="midCat"/>
      </c:valAx>
      <c:spPr>
        <a:noFill/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677" l="0.70000000000000062" r="0.70000000000000062" t="0.75000000000000677" header="0.30000000000000032" footer="0.30000000000000032"/>
    <c:pageSetup/>
  </c:printSettings>
  <c:userShapes r:id="rId1"/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86446651719565"/>
          <c:y val="4.3389155819018713E-2"/>
          <c:w val="0.83361575497666252"/>
          <c:h val="0.80151650641627259"/>
        </c:manualLayout>
      </c:layout>
      <c:scatterChart>
        <c:scatterStyle val="smoothMarker"/>
        <c:varyColors val="0"/>
        <c:ser>
          <c:idx val="0"/>
          <c:order val="0"/>
          <c:spPr>
            <a:ln w="22225">
              <a:solidFill>
                <a:schemeClr val="tx1"/>
              </a:solidFill>
            </a:ln>
          </c:spPr>
          <c:marker>
            <c:symbol val="circle"/>
            <c:size val="4"/>
            <c:spPr>
              <a:solidFill>
                <a:schemeClr val="tx1"/>
              </a:solidFill>
              <a:ln>
                <a:noFill/>
              </a:ln>
            </c:spPr>
          </c:marker>
          <c:xVal>
            <c:numRef>
              <c:f>'t50(3) Ds CD'!$BH$50:$BH$64</c:f>
              <c:numCache>
                <c:formatCode>0.00</c:formatCode>
                <c:ptCount val="15"/>
              </c:numCache>
            </c:numRef>
          </c:xVal>
          <c:yVal>
            <c:numRef>
              <c:f>'t50(3) Ds CD'!$BI$50:$BI$64</c:f>
              <c:numCache>
                <c:formatCode>General</c:formatCode>
                <c:ptCount val="15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DA-41AC-B465-AF74AB89B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80032"/>
        <c:axId val="78748672"/>
      </c:scatterChart>
      <c:valAx>
        <c:axId val="783800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 lang="id-ID"/>
                </a:pPr>
                <a:r>
                  <a:rPr lang="en-US"/>
                  <a:t>Time (minute)</a:t>
                </a:r>
              </a:p>
            </c:rich>
          </c:tx>
          <c:layout>
            <c:manualLayout>
              <c:xMode val="edge"/>
              <c:yMode val="edge"/>
              <c:x val="0.46983214188541061"/>
              <c:y val="0.9210377800330245"/>
            </c:manualLayout>
          </c:layout>
          <c:overlay val="0"/>
        </c:title>
        <c:numFmt formatCode="0.00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8748672"/>
        <c:crosses val="autoZero"/>
        <c:crossBetween val="midCat"/>
      </c:valAx>
      <c:valAx>
        <c:axId val="787486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lang="id-ID"/>
                </a:pPr>
                <a:r>
                  <a:rPr lang="en-US"/>
                  <a:t>Settlement (mm)</a:t>
                </a:r>
              </a:p>
            </c:rich>
          </c:tx>
          <c:layout>
            <c:manualLayout>
              <c:xMode val="edge"/>
              <c:yMode val="edge"/>
              <c:x val="1.067168958727114E-2"/>
              <c:y val="0.26644841102548988"/>
            </c:manualLayout>
          </c:layout>
          <c:overlay val="0"/>
        </c:title>
        <c:numFmt formatCode="General" sourceLinked="1"/>
        <c:majorTickMark val="out"/>
        <c:minorTickMark val="none"/>
        <c:tickLblPos val="low"/>
        <c:txPr>
          <a:bodyPr/>
          <a:lstStyle/>
          <a:p>
            <a:pPr>
              <a:defRPr lang="id-ID"/>
            </a:pPr>
            <a:endParaRPr lang="en-US"/>
          </a:p>
        </c:txPr>
        <c:crossAx val="78380032"/>
        <c:crosses val="autoZero"/>
        <c:crossBetween val="midCat"/>
      </c:valAx>
      <c:spPr>
        <a:noFill/>
        <a:ln w="3175">
          <a:solidFill>
            <a:schemeClr val="tx1">
              <a:lumMod val="50000"/>
              <a:lumOff val="50000"/>
            </a:schemeClr>
          </a:solidFill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677" l="0.70000000000000062" r="0.70000000000000062" t="0.75000000000000677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STRENGTH ENVELOPES</a:t>
            </a:r>
          </a:p>
        </c:rich>
      </c:tx>
      <c:layout>
        <c:manualLayout>
          <c:xMode val="edge"/>
          <c:yMode val="edge"/>
          <c:x val="0.34343502098133877"/>
          <c:y val="6.74604481733014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161648046180646"/>
          <c:y val="0.14880981214698843"/>
          <c:w val="0.8060621963032597"/>
          <c:h val="0.70833470581966496"/>
        </c:manualLayout>
      </c:layout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marker>
            <c:symbol val="circle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'DS RS Curve'!$BI$51:$BI$53</c:f>
              <c:numCache>
                <c:formatCode>0</c:formatCode>
                <c:ptCount val="3"/>
                <c:pt idx="0">
                  <c:v>59.902550880872987</c:v>
                </c:pt>
                <c:pt idx="1">
                  <c:v>99.378241781570395</c:v>
                </c:pt>
                <c:pt idx="2">
                  <c:v>239.46586002739338</c:v>
                </c:pt>
              </c:numCache>
            </c:numRef>
          </c:xVal>
          <c:yVal>
            <c:numRef>
              <c:f>'DS RS Curve'!$BJ$51:$BJ$53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35-4FB2-BD7C-BFF67235F857}"/>
            </c:ext>
          </c:extLst>
        </c:ser>
        <c:ser>
          <c:idx val="1"/>
          <c:order val="1"/>
          <c:spPr>
            <a:ln w="19050">
              <a:noFill/>
            </a:ln>
          </c:spPr>
          <c:marker>
            <c:symbol val="none"/>
          </c:marker>
          <c:trendline>
            <c:spPr>
              <a:ln w="15875">
                <a:solidFill>
                  <a:schemeClr val="tx1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'DS RS Curve'!$BI$42:$BI$43</c:f>
              <c:numCache>
                <c:formatCode>0</c:formatCode>
                <c:ptCount val="2"/>
                <c:pt idx="0" formatCode="General">
                  <c:v>0</c:v>
                </c:pt>
                <c:pt idx="1">
                  <c:v>289.46586002739338</c:v>
                </c:pt>
              </c:numCache>
            </c:numRef>
          </c:xVal>
          <c:yVal>
            <c:numRef>
              <c:f>'DS RS Curve'!$BH$42:$BH$43</c:f>
              <c:numCache>
                <c:formatCode>0.0</c:formatCode>
                <c:ptCount val="2"/>
                <c:pt idx="0">
                  <c:v>14</c:v>
                </c:pt>
                <c:pt idx="1">
                  <c:v>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635-4FB2-BD7C-BFF67235F857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circle"/>
            <c:size val="5"/>
            <c:spPr>
              <a:noFill/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'DS RS Curve'!$BI$51:$BI$53</c:f>
              <c:numCache>
                <c:formatCode>0</c:formatCode>
                <c:ptCount val="3"/>
                <c:pt idx="0">
                  <c:v>59.902550880872987</c:v>
                </c:pt>
                <c:pt idx="1">
                  <c:v>99.378241781570395</c:v>
                </c:pt>
                <c:pt idx="2">
                  <c:v>239.46586002739338</c:v>
                </c:pt>
              </c:numCache>
            </c:numRef>
          </c:xVal>
          <c:yVal>
            <c:numRef>
              <c:f>'DS RS Curve'!$BK$51:$BK$53</c:f>
              <c:numCache>
                <c:formatCode>0.000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35-4FB2-BD7C-BFF67235F857}"/>
            </c:ext>
          </c:extLst>
        </c:ser>
        <c:ser>
          <c:idx val="3"/>
          <c:order val="3"/>
          <c:spPr>
            <a:ln w="19050">
              <a:noFill/>
            </a:ln>
          </c:spPr>
          <c:marker>
            <c:symbol val="none"/>
          </c:marker>
          <c:trendline>
            <c:spPr>
              <a:ln w="15875">
                <a:solidFill>
                  <a:srgbClr val="FF000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'DS RS Curve'!$BK$42:$BK$43</c:f>
              <c:numCache>
                <c:formatCode>0</c:formatCode>
                <c:ptCount val="2"/>
                <c:pt idx="0">
                  <c:v>0</c:v>
                </c:pt>
                <c:pt idx="1">
                  <c:v>289.46586002739338</c:v>
                </c:pt>
              </c:numCache>
            </c:numRef>
          </c:xVal>
          <c:yVal>
            <c:numRef>
              <c:f>'DS RS Curve'!$BJ$42:$BJ$43</c:f>
              <c:numCache>
                <c:formatCode>0</c:formatCode>
                <c:ptCount val="2"/>
                <c:pt idx="0">
                  <c:v>4</c:v>
                </c:pt>
                <c:pt idx="1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35-4FB2-BD7C-BFF67235F8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128816"/>
        <c:axId val="1"/>
      </c:scatterChart>
      <c:valAx>
        <c:axId val="2034128816"/>
        <c:scaling>
          <c:orientation val="minMax"/>
          <c:min val="0"/>
        </c:scaling>
        <c:delete val="0"/>
        <c:axPos val="b"/>
        <c:majorGridlines>
          <c:spPr>
            <a:ln w="3175">
              <a:solidFill>
                <a:srgbClr val="000000">
                  <a:alpha val="59827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Normal stress (kN/m2)</a:t>
                </a:r>
              </a:p>
            </c:rich>
          </c:tx>
          <c:layout>
            <c:manualLayout>
              <c:xMode val="edge"/>
              <c:yMode val="edge"/>
              <c:x val="0.40808161316606134"/>
              <c:y val="0.942462143597593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200"/>
          <c:min val="0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Shear stress (kN/m2)</a:t>
                </a:r>
              </a:p>
            </c:rich>
          </c:tx>
          <c:layout>
            <c:manualLayout>
              <c:xMode val="edge"/>
              <c:yMode val="edge"/>
              <c:x val="1.0101030028862904E-2"/>
              <c:y val="0.36508007246727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03412881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Peak and Residual stress speciment 3</a:t>
            </a:r>
          </a:p>
        </c:rich>
      </c:tx>
      <c:layout>
        <c:manualLayout>
          <c:xMode val="edge"/>
          <c:yMode val="edge"/>
          <c:x val="0.24693902158304926"/>
          <c:y val="3.157894736842105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510219537447723"/>
          <c:y val="0.17105263157894737"/>
          <c:w val="0.8061232522752434"/>
          <c:h val="0.71842105263157896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'DS RS(3)'!$E$30:$E$67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RS(3)'!$H$30:$H$67</c:f>
              <c:numCache>
                <c:formatCode>0.00</c:formatCode>
                <c:ptCount val="3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6C-4233-87D5-3F14B2CF04B0}"/>
            </c:ext>
          </c:extLst>
        </c:ser>
        <c:ser>
          <c:idx val="1"/>
          <c:order val="1"/>
          <c:spPr>
            <a:ln w="15875">
              <a:solidFill>
                <a:srgbClr val="000000">
                  <a:alpha val="99000"/>
                </a:srgbClr>
              </a:solidFill>
              <a:prstDash val="sysDash"/>
            </a:ln>
          </c:spPr>
          <c:marker>
            <c:symbol val="none"/>
          </c:marker>
          <c:xVal>
            <c:numRef>
              <c:f>'DS RS(3)'!$T$30:$T$67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RS(3)'!$W$30:$W$67</c:f>
              <c:numCache>
                <c:formatCode>0.00</c:formatCode>
                <c:ptCount val="3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6C-4233-87D5-3F14B2CF04B0}"/>
            </c:ext>
          </c:extLst>
        </c:ser>
        <c:ser>
          <c:idx val="2"/>
          <c:order val="2"/>
          <c:spPr>
            <a:ln w="158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'DS RS(3)'!$AI$30:$AI$67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RS(3)'!$AL$30:$AL$67</c:f>
              <c:numCache>
                <c:formatCode>0.00</c:formatCode>
                <c:ptCount val="3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46C-4233-87D5-3F14B2CF0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172976"/>
        <c:axId val="1"/>
      </c:scatterChart>
      <c:valAx>
        <c:axId val="20341729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60000"/>
                </a:srgbClr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80"/>
          <c:min val="0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Shear stress kN/m2</a:t>
                </a:r>
              </a:p>
            </c:rich>
          </c:tx>
          <c:layout>
            <c:manualLayout>
              <c:xMode val="edge"/>
              <c:yMode val="edge"/>
              <c:x val="1.4285728521333427E-2"/>
              <c:y val="0.392105263157894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034172976"/>
        <c:crosses val="autoZero"/>
        <c:crossBetween val="midCat"/>
        <c:majorUnit val="30"/>
        <c:minorUnit val="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Peak and Residual stress speciment 1</a:t>
            </a:r>
          </a:p>
        </c:rich>
      </c:tx>
      <c:layout>
        <c:manualLayout>
          <c:xMode val="edge"/>
          <c:yMode val="edge"/>
          <c:x val="0.31619946429220713"/>
          <c:y val="6.71661949729593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4928716904277"/>
          <c:y val="0.17105263157894737"/>
          <c:w val="0.82281059063136452"/>
          <c:h val="0.71842105263157896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'DS RS(1)'!$E$30:$E$67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RS(1)'!$H$30:$H$67</c:f>
              <c:numCache>
                <c:formatCode>0.00</c:formatCode>
                <c:ptCount val="3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2D-4EBE-B9CB-03AB6800A711}"/>
            </c:ext>
          </c:extLst>
        </c:ser>
        <c:ser>
          <c:idx val="1"/>
          <c:order val="1"/>
          <c:spPr>
            <a:ln w="158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'DS RS(1)'!$T$30:$T$67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RS(1)'!$W$30:$W$67</c:f>
              <c:numCache>
                <c:formatCode>0.00</c:formatCode>
                <c:ptCount val="3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52D-4EBE-B9CB-03AB6800A711}"/>
            </c:ext>
          </c:extLst>
        </c:ser>
        <c:ser>
          <c:idx val="2"/>
          <c:order val="2"/>
          <c:spPr>
            <a:ln w="158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'DS RS(1)'!$AI$30:$AI$67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RS(1)'!$AL$30:$AL$67</c:f>
              <c:numCache>
                <c:formatCode>0.00</c:formatCode>
                <c:ptCount val="3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52D-4EBE-B9CB-03AB6800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123056"/>
        <c:axId val="1"/>
      </c:scatterChart>
      <c:valAx>
        <c:axId val="203412305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59265"/>
                </a:srgbClr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60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Shear stress kN/m2</a:t>
                </a:r>
              </a:p>
            </c:rich>
          </c:tx>
          <c:layout>
            <c:manualLayout>
              <c:xMode val="edge"/>
              <c:yMode val="edge"/>
              <c:x val="1.2219959266802444E-2"/>
              <c:y val="0.3921052631578947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03412305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60" verticalDpi="360"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052953156822812"/>
          <c:y val="9.49367088607595E-2"/>
          <c:w val="0.81873727087576376"/>
          <c:h val="0.61392405063291144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'DS RS(1)'!$E$30:$E$67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RS(1)'!$J$30:$J$67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DAF-4A16-9EB7-49FBE432A64A}"/>
            </c:ext>
          </c:extLst>
        </c:ser>
        <c:ser>
          <c:idx val="1"/>
          <c:order val="1"/>
          <c:spPr>
            <a:ln w="15875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'DS RS(1)'!$T$30:$T$67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RS(1)'!$Y$30:$Y$67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DAF-4A16-9EB7-49FBE432A64A}"/>
            </c:ext>
          </c:extLst>
        </c:ser>
        <c:ser>
          <c:idx val="2"/>
          <c:order val="2"/>
          <c:spPr>
            <a:ln w="158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'DS RS(1)'!$AI$30:$AI$67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RS(1)'!$AN$30:$AN$67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DAF-4A16-9EB7-49FBE432A6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140336"/>
        <c:axId val="1"/>
      </c:scatterChart>
      <c:valAx>
        <c:axId val="203414033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Horizontal displacement (mm)</a:t>
                </a:r>
              </a:p>
            </c:rich>
          </c:tx>
          <c:layout>
            <c:manualLayout>
              <c:xMode val="edge"/>
              <c:yMode val="edge"/>
              <c:x val="0.36863543788187375"/>
              <c:y val="0.8734177215189873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At val="-7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>
                  <a:alpha val="59731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Vertical movement (mm)</a:t>
                </a:r>
              </a:p>
            </c:rich>
          </c:tx>
          <c:layout>
            <c:manualLayout>
              <c:xMode val="edge"/>
              <c:yMode val="edge"/>
              <c:x val="1.4256619144602852E-2"/>
              <c:y val="7.5949367088607597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03414033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 paperSize="9" orientation="landscape" horizontalDpi="360" verticalDpi="360"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US" b="1"/>
              <a:t>Peak and Residual stress speciment 2</a:t>
            </a:r>
          </a:p>
        </c:rich>
      </c:tx>
      <c:layout>
        <c:manualLayout>
          <c:xMode val="edge"/>
          <c:yMode val="edge"/>
          <c:x val="0.2497245738873454"/>
          <c:y val="8.230372018715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285728521333427"/>
          <c:y val="0.1736842105263158"/>
          <c:w val="0.81836816243638633"/>
          <c:h val="0.72368421052631582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'DS RS(2)'!$E$30:$E$67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RS(2)'!$H$30:$H$67</c:f>
              <c:numCache>
                <c:formatCode>0.00</c:formatCode>
                <c:ptCount val="3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39-404F-95AB-788B201D2516}"/>
            </c:ext>
          </c:extLst>
        </c:ser>
        <c:ser>
          <c:idx val="1"/>
          <c:order val="1"/>
          <c:spPr>
            <a:ln w="15875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'DS RS(2)'!$T$30:$T$67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RS(2)'!$W$30:$W$67</c:f>
              <c:numCache>
                <c:formatCode>0.00</c:formatCode>
                <c:ptCount val="3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39-404F-95AB-788B201D2516}"/>
            </c:ext>
          </c:extLst>
        </c:ser>
        <c:ser>
          <c:idx val="2"/>
          <c:order val="2"/>
          <c:spPr>
            <a:ln w="158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'DS RS(2)'!$AI$30:$AI$67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RS(2)'!$AL$30:$AL$67</c:f>
              <c:numCache>
                <c:formatCode>0.00</c:formatCode>
                <c:ptCount val="3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39-404F-95AB-788B201D2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126896"/>
        <c:axId val="1"/>
      </c:scatterChart>
      <c:valAx>
        <c:axId val="203412689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>
                <a:alpha val="50000"/>
              </a:srgbClr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60"/>
        </c:scaling>
        <c:delete val="0"/>
        <c:axPos val="l"/>
        <c:majorGridlines>
          <c:spPr>
            <a:ln w="3175">
              <a:solidFill>
                <a:srgbClr val="000000">
                  <a:alpha val="60006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Shear stress kN/m2</a:t>
                </a:r>
              </a:p>
            </c:rich>
          </c:tx>
          <c:layout>
            <c:manualLayout>
              <c:xMode val="edge"/>
              <c:yMode val="edge"/>
              <c:x val="1.2244910161142939E-2"/>
              <c:y val="0.3973684210526315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0341268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061237505219134"/>
          <c:y val="9.49367088607595E-2"/>
          <c:w val="0.82857225423733882"/>
          <c:h val="0.61392405063291144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'DS RS(2)'!$E$30:$E$67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RS(2)'!$J$30:$J$67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167-421E-9B6D-F7E9EFE80158}"/>
            </c:ext>
          </c:extLst>
        </c:ser>
        <c:ser>
          <c:idx val="1"/>
          <c:order val="1"/>
          <c:spPr>
            <a:ln w="15875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'DS RS(2)'!$T$30:$T$67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RS(2)'!$AN$30:$AN$67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167-421E-9B6D-F7E9EFE80158}"/>
            </c:ext>
          </c:extLst>
        </c:ser>
        <c:ser>
          <c:idx val="2"/>
          <c:order val="2"/>
          <c:spPr>
            <a:ln w="158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'DS RS(2)'!$T$30:$T$67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RS(2)'!$Y$30:$Y$67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167-421E-9B6D-F7E9EFE80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150896"/>
        <c:axId val="1"/>
      </c:scatterChart>
      <c:valAx>
        <c:axId val="203415089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en-US" b="1"/>
                  <a:t>Horizontal displacement (mm)</a:t>
                </a:r>
              </a:p>
            </c:rich>
          </c:tx>
          <c:layout>
            <c:manualLayout>
              <c:xMode val="edge"/>
              <c:yMode val="edge"/>
              <c:x val="0.36326566811390715"/>
              <c:y val="0.8734177215189873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At val="-7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>
                  <a:alpha val="60349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Vertical movement (mm)</a:t>
                </a:r>
              </a:p>
            </c:rich>
          </c:tx>
          <c:layout>
            <c:manualLayout>
              <c:xMode val="edge"/>
              <c:yMode val="edge"/>
              <c:x val="1.0204091800952449E-2"/>
              <c:y val="8.2278481012658222E-2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03415089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85728521333427"/>
          <c:y val="9.49367088607595E-2"/>
          <c:w val="0.81632734407619589"/>
          <c:h val="0.61392405063291144"/>
        </c:manualLayout>
      </c:layout>
      <c:scatterChart>
        <c:scatterStyle val="lineMarker"/>
        <c:varyColors val="0"/>
        <c:ser>
          <c:idx val="0"/>
          <c:order val="0"/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'DS RS(3)'!$E$30:$E$67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RS(3)'!$J$30:$J$67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CF-4812-8609-30A38393DAC5}"/>
            </c:ext>
          </c:extLst>
        </c:ser>
        <c:ser>
          <c:idx val="1"/>
          <c:order val="1"/>
          <c:spPr>
            <a:ln w="15875">
              <a:solidFill>
                <a:schemeClr val="tx1"/>
              </a:solidFill>
              <a:prstDash val="sysDash"/>
            </a:ln>
          </c:spPr>
          <c:marker>
            <c:symbol val="none"/>
          </c:marker>
          <c:xVal>
            <c:numRef>
              <c:f>'DS RS(3)'!$T$30:$T$67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RS(3)'!$Y$30:$Y$67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CF-4812-8609-30A38393DAC5}"/>
            </c:ext>
          </c:extLst>
        </c:ser>
        <c:ser>
          <c:idx val="2"/>
          <c:order val="2"/>
          <c:spPr>
            <a:ln w="158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'DS RS(3)'!$AI$30:$AI$67</c:f>
              <c:numCache>
                <c:formatCode>0.00</c:formatCode>
                <c:ptCount val="3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3.5</c:v>
                </c:pt>
                <c:pt idx="12">
                  <c:v>4</c:v>
                </c:pt>
                <c:pt idx="13">
                  <c:v>4.5</c:v>
                </c:pt>
                <c:pt idx="14">
                  <c:v>5</c:v>
                </c:pt>
                <c:pt idx="15">
                  <c:v>5.5</c:v>
                </c:pt>
                <c:pt idx="16">
                  <c:v>6</c:v>
                </c:pt>
                <c:pt idx="17">
                  <c:v>6.5</c:v>
                </c:pt>
                <c:pt idx="18">
                  <c:v>7</c:v>
                </c:pt>
                <c:pt idx="19">
                  <c:v>7.5</c:v>
                </c:pt>
                <c:pt idx="20">
                  <c:v>8</c:v>
                </c:pt>
                <c:pt idx="21">
                  <c:v>8.5</c:v>
                </c:pt>
                <c:pt idx="22">
                  <c:v>9</c:v>
                </c:pt>
                <c:pt idx="23">
                  <c:v>9.5</c:v>
                </c:pt>
                <c:pt idx="24">
                  <c:v>10</c:v>
                </c:pt>
                <c:pt idx="25">
                  <c:v>10.5</c:v>
                </c:pt>
                <c:pt idx="26">
                  <c:v>11</c:v>
                </c:pt>
                <c:pt idx="27">
                  <c:v>11.5</c:v>
                </c:pt>
                <c:pt idx="28">
                  <c:v>12</c:v>
                </c:pt>
              </c:numCache>
            </c:numRef>
          </c:xVal>
          <c:yVal>
            <c:numRef>
              <c:f>'DS RS(3)'!$AN$30:$AN$67</c:f>
              <c:numCache>
                <c:formatCode>0.000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CF-4812-8609-30A38393DA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4153776"/>
        <c:axId val="1"/>
      </c:scatterChart>
      <c:valAx>
        <c:axId val="2034153776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60391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Horizontal displacement (mm)</a:t>
                </a:r>
              </a:p>
            </c:rich>
          </c:tx>
          <c:layout>
            <c:manualLayout>
              <c:xMode val="edge"/>
              <c:yMode val="edge"/>
              <c:x val="0.36938812319447861"/>
              <c:y val="0.8734177215189873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At val="-7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Vertical movement (mm)</a:t>
                </a:r>
              </a:p>
            </c:rich>
          </c:tx>
          <c:layout>
            <c:manualLayout>
              <c:xMode val="edge"/>
              <c:yMode val="edge"/>
              <c:x val="2.4489820322285877E-2"/>
              <c:y val="0.1265822784810126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2034153776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D"/>
              <a:t>CONSOLIDATION</a:t>
            </a:r>
          </a:p>
        </c:rich>
      </c:tx>
      <c:layout>
        <c:manualLayout>
          <c:xMode val="edge"/>
          <c:yMode val="edge"/>
          <c:x val="0.45365408941716678"/>
          <c:y val="1.03074767988322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570947424831571E-2"/>
          <c:y val="0.10167470302165066"/>
          <c:w val="0.83342191073104277"/>
          <c:h val="0.69835125407578158"/>
        </c:manualLayout>
      </c:layout>
      <c:scatterChart>
        <c:scatterStyle val="lineMarker"/>
        <c:varyColors val="0"/>
        <c:ser>
          <c:idx val="0"/>
          <c:order val="0"/>
          <c:tx>
            <c:v>Speciment 1</c:v>
          </c:tx>
          <c:spPr>
            <a:ln w="15875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'DS RS(1)'!$A$30:$A$44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0.31622776601683794</c:v>
                </c:pt>
                <c:pt idx="2">
                  <c:v>0.5</c:v>
                </c:pt>
                <c:pt idx="3">
                  <c:v>0.70710678118654757</c:v>
                </c:pt>
                <c:pt idx="4">
                  <c:v>1</c:v>
                </c:pt>
                <c:pt idx="5">
                  <c:v>1.4142135623730951</c:v>
                </c:pt>
                <c:pt idx="6">
                  <c:v>2</c:v>
                </c:pt>
                <c:pt idx="7">
                  <c:v>2.8284271247461903</c:v>
                </c:pt>
                <c:pt idx="8">
                  <c:v>3.872983346207417</c:v>
                </c:pt>
                <c:pt idx="9">
                  <c:v>5.4772255750516612</c:v>
                </c:pt>
                <c:pt idx="10">
                  <c:v>7.745966692414834</c:v>
                </c:pt>
                <c:pt idx="11">
                  <c:v>10.954451150103322</c:v>
                </c:pt>
                <c:pt idx="12">
                  <c:v>16</c:v>
                </c:pt>
                <c:pt idx="13">
                  <c:v>22</c:v>
                </c:pt>
                <c:pt idx="14">
                  <c:v>37.947331922020552</c:v>
                </c:pt>
              </c:numCache>
            </c:numRef>
          </c:xVal>
          <c:yVal>
            <c:numRef>
              <c:f>'DS RS(1)'!$C$30:$C$44</c:f>
              <c:numCache>
                <c:formatCode>0.000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E0-457B-85A4-E136F5503A21}"/>
            </c:ext>
          </c:extLst>
        </c:ser>
        <c:ser>
          <c:idx val="1"/>
          <c:order val="1"/>
          <c:tx>
            <c:v>Speciment 2</c:v>
          </c:tx>
          <c:spPr>
            <a:ln w="158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'DS RS(2)'!$A$30:$A$44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0.31622776601683794</c:v>
                </c:pt>
                <c:pt idx="2">
                  <c:v>0.5</c:v>
                </c:pt>
                <c:pt idx="3">
                  <c:v>0.70710678118654757</c:v>
                </c:pt>
                <c:pt idx="4">
                  <c:v>1</c:v>
                </c:pt>
                <c:pt idx="5">
                  <c:v>1.4142135623730951</c:v>
                </c:pt>
                <c:pt idx="6">
                  <c:v>2</c:v>
                </c:pt>
                <c:pt idx="7">
                  <c:v>2.8284271247461903</c:v>
                </c:pt>
                <c:pt idx="8">
                  <c:v>3.872983346207417</c:v>
                </c:pt>
                <c:pt idx="9">
                  <c:v>5.4772255750516612</c:v>
                </c:pt>
                <c:pt idx="10">
                  <c:v>7.745966692414834</c:v>
                </c:pt>
                <c:pt idx="11">
                  <c:v>10.954451150103322</c:v>
                </c:pt>
                <c:pt idx="12">
                  <c:v>16</c:v>
                </c:pt>
                <c:pt idx="13">
                  <c:v>22</c:v>
                </c:pt>
                <c:pt idx="14">
                  <c:v>37.947331922020552</c:v>
                </c:pt>
              </c:numCache>
            </c:numRef>
          </c:xVal>
          <c:yVal>
            <c:numRef>
              <c:f>'DS RS(2)'!$C$30:$C$44</c:f>
              <c:numCache>
                <c:formatCode>0.000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AE0-457B-85A4-E136F5503A21}"/>
            </c:ext>
          </c:extLst>
        </c:ser>
        <c:ser>
          <c:idx val="2"/>
          <c:order val="2"/>
          <c:tx>
            <c:v>Speciment 3</c:v>
          </c:tx>
          <c:spPr>
            <a:ln w="158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'DS RS(3)'!$A$30:$A$44</c:f>
              <c:numCache>
                <c:formatCode>0.00</c:formatCode>
                <c:ptCount val="15"/>
                <c:pt idx="0" formatCode="General">
                  <c:v>0</c:v>
                </c:pt>
                <c:pt idx="1">
                  <c:v>0.31622776601683794</c:v>
                </c:pt>
                <c:pt idx="2">
                  <c:v>0.5</c:v>
                </c:pt>
                <c:pt idx="3">
                  <c:v>0.70710678118654757</c:v>
                </c:pt>
                <c:pt idx="4">
                  <c:v>1</c:v>
                </c:pt>
                <c:pt idx="5">
                  <c:v>1.4142135623730951</c:v>
                </c:pt>
                <c:pt idx="6">
                  <c:v>2</c:v>
                </c:pt>
                <c:pt idx="7">
                  <c:v>2.8284271247461903</c:v>
                </c:pt>
                <c:pt idx="8">
                  <c:v>3.872983346207417</c:v>
                </c:pt>
                <c:pt idx="9">
                  <c:v>5.4772255750516612</c:v>
                </c:pt>
                <c:pt idx="10">
                  <c:v>7.745966692414834</c:v>
                </c:pt>
                <c:pt idx="11">
                  <c:v>10.954451150103322</c:v>
                </c:pt>
                <c:pt idx="12">
                  <c:v>16</c:v>
                </c:pt>
                <c:pt idx="13">
                  <c:v>22</c:v>
                </c:pt>
                <c:pt idx="14">
                  <c:v>37.947331922020552</c:v>
                </c:pt>
              </c:numCache>
            </c:numRef>
          </c:xVal>
          <c:yVal>
            <c:numRef>
              <c:f>'DS RS(3)'!$C$30:$C$44</c:f>
              <c:numCache>
                <c:formatCode>0.000</c:formatCode>
                <c:ptCount val="1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E0-457B-85A4-E136F5503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3350799"/>
        <c:axId val="1"/>
      </c:scatterChart>
      <c:valAx>
        <c:axId val="1943350799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Squart root time ( minutes)</a:t>
                </a:r>
              </a:p>
            </c:rich>
          </c:tx>
          <c:layout>
            <c:manualLayout>
              <c:xMode val="edge"/>
              <c:yMode val="edge"/>
              <c:x val="0.42558994591084914"/>
              <c:y val="0.8889178186060074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  <c:majorUnit val="2.5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Settlement (mm)</a:t>
                </a:r>
              </a:p>
            </c:rich>
          </c:tx>
          <c:layout>
            <c:manualLayout>
              <c:xMode val="edge"/>
              <c:yMode val="edge"/>
              <c:x val="5.2412001958874639E-3"/>
              <c:y val="0.26667553222513851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943350799"/>
        <c:crosses val="autoZero"/>
        <c:crossBetween val="midCat"/>
        <c:majorUnit val="0.2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9416250117853613"/>
          <c:y val="0.11687047347730918"/>
          <c:w val="0.1058374988214638"/>
          <c:h val="0.3151473459358835"/>
        </c:manualLayout>
      </c:layout>
      <c:overlay val="0"/>
      <c:txPr>
        <a:bodyPr/>
        <a:lstStyle/>
        <a:p>
          <a:pPr>
            <a:defRPr sz="800"/>
          </a:pPr>
          <a:endParaRPr lang="en-US"/>
        </a:p>
      </c:txPr>
    </c:legend>
    <c:plotVisOnly val="1"/>
    <c:dispBlanksAs val="gap"/>
    <c:showDLblsOverMax val="0"/>
  </c:chart>
  <c:spPr>
    <a:noFill/>
    <a:ln w="12700">
      <a:solidFill>
        <a:schemeClr val="tx1"/>
      </a:solidFill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/>
              <a:t>Saturation Build - Up</a:t>
            </a:r>
          </a:p>
        </c:rich>
      </c:tx>
      <c:layout>
        <c:manualLayout>
          <c:xMode val="edge"/>
          <c:yMode val="edge"/>
          <c:x val="0.39390664850245188"/>
          <c:y val="2.9787234042553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51188798110204E-2"/>
          <c:y val="0.16382978723404254"/>
          <c:w val="0.88248142644084226"/>
          <c:h val="0.6851063829787233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Saturasi pmdtn'!$T$33:$T$37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240</c:v>
                </c:pt>
              </c:numCache>
            </c:numRef>
          </c:xVal>
          <c:yVal>
            <c:numRef>
              <c:f>'CU_Multi Saturasi pmdtn'!$U$33:$U$37</c:f>
              <c:numCache>
                <c:formatCode>0.00</c:formatCode>
                <c:ptCount val="5"/>
                <c:pt idx="0">
                  <c:v>0.1</c:v>
                </c:pt>
                <c:pt idx="1">
                  <c:v>0.46</c:v>
                </c:pt>
                <c:pt idx="2">
                  <c:v>0.72</c:v>
                </c:pt>
                <c:pt idx="3">
                  <c:v>0.9</c:v>
                </c:pt>
                <c:pt idx="4">
                  <c:v>0.97499999999999998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F6-4D37-80A3-33EBF8C65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2271"/>
        <c:axId val="1"/>
      </c:scatterChart>
      <c:valAx>
        <c:axId val="31292271"/>
        <c:scaling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Cell Pressure (kN/m2)</a:t>
                </a:r>
              </a:p>
            </c:rich>
          </c:tx>
          <c:layout>
            <c:manualLayout>
              <c:xMode val="edge"/>
              <c:yMode val="edge"/>
              <c:x val="0.4439610554665433"/>
              <c:y val="0.91702127659574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B Value</a:t>
                </a:r>
              </a:p>
            </c:rich>
          </c:tx>
          <c:layout>
            <c:manualLayout>
              <c:xMode val="edge"/>
              <c:yMode val="edge"/>
              <c:x val="1.7410228509249184E-2"/>
              <c:y val="0.446808510638297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9227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/>
              <a:t>Saturation Build - Up</a:t>
            </a:r>
          </a:p>
        </c:rich>
      </c:tx>
      <c:layout>
        <c:manualLayout>
          <c:xMode val="edge"/>
          <c:yMode val="edge"/>
          <c:x val="0.39390664850245188"/>
          <c:y val="2.9787234042553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51188798110204E-2"/>
          <c:y val="0.16382978723404254"/>
          <c:w val="0.88465770616079498"/>
          <c:h val="0.6851063829787233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Saturasi pmdtn'!$T$110:$T$115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290</c:v>
                </c:pt>
                <c:pt idx="5">
                  <c:v>390</c:v>
                </c:pt>
              </c:numCache>
            </c:numRef>
          </c:xVal>
          <c:yVal>
            <c:numRef>
              <c:f>'CU_Multi Saturasi pmdtn'!$U$110:$U$115</c:f>
              <c:numCache>
                <c:formatCode>0.00</c:formatCode>
                <c:ptCount val="6"/>
                <c:pt idx="0">
                  <c:v>0.24</c:v>
                </c:pt>
                <c:pt idx="1">
                  <c:v>0.4</c:v>
                </c:pt>
                <c:pt idx="2">
                  <c:v>0.64</c:v>
                </c:pt>
                <c:pt idx="3">
                  <c:v>0.78</c:v>
                </c:pt>
                <c:pt idx="4">
                  <c:v>0.94444444444444442</c:v>
                </c:pt>
                <c:pt idx="5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A4-4388-B95A-99FB883CF2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2719"/>
        <c:axId val="1"/>
      </c:scatterChart>
      <c:valAx>
        <c:axId val="31272719"/>
        <c:scaling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Cell Pressure (kN/m2)</a:t>
                </a:r>
              </a:p>
            </c:rich>
          </c:tx>
          <c:layout>
            <c:manualLayout>
              <c:xMode val="edge"/>
              <c:yMode val="edge"/>
              <c:x val="0.44504919474837135"/>
              <c:y val="0.91702127659574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B Value</a:t>
                </a:r>
              </a:p>
            </c:rich>
          </c:tx>
          <c:layout>
            <c:manualLayout>
              <c:xMode val="edge"/>
              <c:yMode val="edge"/>
              <c:x val="1.7410228509249184E-2"/>
              <c:y val="0.446808510638297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7271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/>
              <a:t>Saturation Build - Up</a:t>
            </a:r>
          </a:p>
        </c:rich>
      </c:tx>
      <c:layout>
        <c:manualLayout>
          <c:xMode val="edge"/>
          <c:yMode val="edge"/>
          <c:x val="0.39390664850245188"/>
          <c:y val="2.9787234042553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51188798110204E-2"/>
          <c:y val="0.16382978723404254"/>
          <c:w val="0.88465770616079498"/>
          <c:h val="0.6851063829787233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Saturasi pmdtn'!$T$187:$T$192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xVal>
          <c:yVal>
            <c:numRef>
              <c:f>'CU_Multi Saturasi pmdtn'!$U$187:$U$192</c:f>
              <c:numCache>
                <c:formatCode>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C4A-4C8B-8E7A-61410C313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6879"/>
        <c:axId val="1"/>
      </c:scatterChart>
      <c:valAx>
        <c:axId val="31276879"/>
        <c:scaling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Cell Pressure (kN/m2)</a:t>
                </a:r>
              </a:p>
            </c:rich>
          </c:tx>
          <c:layout>
            <c:manualLayout>
              <c:xMode val="edge"/>
              <c:yMode val="edge"/>
              <c:x val="0.44504919474837135"/>
              <c:y val="0.91702127659574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B Value</a:t>
                </a:r>
              </a:p>
            </c:rich>
          </c:tx>
          <c:layout>
            <c:manualLayout>
              <c:xMode val="edge"/>
              <c:yMode val="edge"/>
              <c:x val="1.7410228509249184E-2"/>
              <c:y val="0.446808510638297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7687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D"/>
              <a:t>Saturation Build - Up</a:t>
            </a:r>
          </a:p>
        </c:rich>
      </c:tx>
      <c:layout>
        <c:manualLayout>
          <c:xMode val="edge"/>
          <c:yMode val="edge"/>
          <c:x val="0.39390664850245188"/>
          <c:y val="2.97872340425531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7051188798110204E-2"/>
          <c:y val="0.16382978723404254"/>
          <c:w val="0.88248142644084226"/>
          <c:h val="0.68510638297872339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Saturasi pmdtn'!$T$33:$T$37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240</c:v>
                </c:pt>
              </c:numCache>
            </c:numRef>
          </c:xVal>
          <c:yVal>
            <c:numRef>
              <c:f>'CU_Multi Saturasi pmdtn'!$U$33:$U$37</c:f>
              <c:numCache>
                <c:formatCode>0.00</c:formatCode>
                <c:ptCount val="5"/>
                <c:pt idx="0">
                  <c:v>0.1</c:v>
                </c:pt>
                <c:pt idx="1">
                  <c:v>0.46</c:v>
                </c:pt>
                <c:pt idx="2">
                  <c:v>0.72</c:v>
                </c:pt>
                <c:pt idx="3">
                  <c:v>0.9</c:v>
                </c:pt>
                <c:pt idx="4">
                  <c:v>0.97499999999999998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88-4878-A6D7-D7375C3D25F2}"/>
            </c:ext>
          </c:extLst>
        </c:ser>
        <c:ser>
          <c:idx val="1"/>
          <c:order val="1"/>
          <c:xVal>
            <c:numRef>
              <c:f>'CU_Multi Saturasi pmdtn'!$T$110:$T$115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290</c:v>
                </c:pt>
                <c:pt idx="5">
                  <c:v>390</c:v>
                </c:pt>
              </c:numCache>
            </c:numRef>
          </c:xVal>
          <c:yVal>
            <c:numRef>
              <c:f>'CU_Multi Saturasi pmdtn'!$U$110:$U$115</c:f>
              <c:numCache>
                <c:formatCode>0.00</c:formatCode>
                <c:ptCount val="6"/>
                <c:pt idx="0">
                  <c:v>0.24</c:v>
                </c:pt>
                <c:pt idx="1">
                  <c:v>0.4</c:v>
                </c:pt>
                <c:pt idx="2">
                  <c:v>0.64</c:v>
                </c:pt>
                <c:pt idx="3">
                  <c:v>0.78</c:v>
                </c:pt>
                <c:pt idx="4">
                  <c:v>0.94444444444444442</c:v>
                </c:pt>
                <c:pt idx="5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D88-4878-A6D7-D7375C3D2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2271"/>
        <c:axId val="1"/>
      </c:scatterChart>
      <c:valAx>
        <c:axId val="31292271"/>
        <c:scaling>
          <c:orientation val="minMax"/>
        </c:scaling>
        <c:delete val="0"/>
        <c:axPos val="b"/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Cell Pressure (kN/m2)</a:t>
                </a:r>
              </a:p>
            </c:rich>
          </c:tx>
          <c:layout>
            <c:manualLayout>
              <c:xMode val="edge"/>
              <c:yMode val="edge"/>
              <c:x val="0.4439610554665433"/>
              <c:y val="0.9170212765957447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B Value</a:t>
                </a:r>
              </a:p>
            </c:rich>
          </c:tx>
          <c:layout>
            <c:manualLayout>
              <c:xMode val="edge"/>
              <c:yMode val="edge"/>
              <c:x val="1.7410228509249184E-2"/>
              <c:y val="0.4468085106382978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9227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60625814863103"/>
          <c:y val="4.5584172409667716E-2"/>
          <c:w val="0.87092568448500651"/>
          <c:h val="0.76353488786193424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Consol pmdtn'!$G$25:$G$38</c:f>
              <c:numCache>
                <c:formatCode>0.0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 pmdtn'!$I$25:$I$38</c:f>
              <c:numCache>
                <c:formatCode>0.00</c:formatCode>
                <c:ptCount val="14"/>
                <c:pt idx="0">
                  <c:v>0</c:v>
                </c:pt>
                <c:pt idx="1">
                  <c:v>0.30000000000000071</c:v>
                </c:pt>
                <c:pt idx="2">
                  <c:v>0.40000000000000213</c:v>
                </c:pt>
                <c:pt idx="3">
                  <c:v>0.60000000000000142</c:v>
                </c:pt>
                <c:pt idx="4">
                  <c:v>0.80000000000000071</c:v>
                </c:pt>
                <c:pt idx="5">
                  <c:v>0.90000000000000213</c:v>
                </c:pt>
                <c:pt idx="6">
                  <c:v>1.1000000000000014</c:v>
                </c:pt>
                <c:pt idx="7">
                  <c:v>1.1999999999999993</c:v>
                </c:pt>
                <c:pt idx="8">
                  <c:v>1.3000000000000007</c:v>
                </c:pt>
                <c:pt idx="9">
                  <c:v>1.4000000000000021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801-4C4D-A3B4-8DCE2FCE4EF1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25400">
                <a:solidFill>
                  <a:srgbClr val="FF00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2-E801-4C4D-A3B4-8DCE2FCE4EF1}"/>
              </c:ext>
            </c:extLst>
          </c:dPt>
          <c:xVal>
            <c:numRef>
              <c:f>'Cu_Multi Consol pmdtn'!$R$48:$R$49</c:f>
              <c:numCache>
                <c:formatCode>General</c:formatCode>
                <c:ptCount val="2"/>
                <c:pt idx="0" formatCode="0.0">
                  <c:v>33.015148038438355</c:v>
                </c:pt>
                <c:pt idx="1">
                  <c:v>0</c:v>
                </c:pt>
              </c:numCache>
            </c:numRef>
          </c:xVal>
          <c:yVal>
            <c:numRef>
              <c:f>'Cu_Multi Consol pmdtn'!$Q$48:$Q$49</c:f>
              <c:numCache>
                <c:formatCode>General</c:formatCode>
                <c:ptCount val="2"/>
                <c:pt idx="0" formatCode="0.00">
                  <c:v>1.5</c:v>
                </c:pt>
                <c:pt idx="1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801-4C4D-A3B4-8DCE2FCE4EF1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none"/>
          </c:marker>
          <c:trendline>
            <c:spPr>
              <a:ln w="25400">
                <a:solidFill>
                  <a:srgbClr val="FF0000"/>
                </a:solidFill>
                <a:prstDash val="sysDash"/>
              </a:ln>
            </c:spPr>
            <c:trendlineType val="linear"/>
            <c:forward val="11"/>
            <c:dispRSqr val="0"/>
            <c:dispEq val="0"/>
          </c:trendline>
          <c:xVal>
            <c:numRef>
              <c:f>'Cu_Multi Consol pmdtn'!$R$55:$R$56</c:f>
              <c:numCache>
                <c:formatCode>0.0</c:formatCode>
                <c:ptCount val="2"/>
                <c:pt idx="0">
                  <c:v>0.5</c:v>
                </c:pt>
                <c:pt idx="1">
                  <c:v>4</c:v>
                </c:pt>
              </c:numCache>
            </c:numRef>
          </c:xVal>
          <c:yVal>
            <c:numRef>
              <c:f>'Cu_Multi Consol pmdtn'!$Q$55:$Q$56</c:f>
              <c:numCache>
                <c:formatCode>0.00</c:formatCode>
                <c:ptCount val="2"/>
                <c:pt idx="0">
                  <c:v>0.30000000000000071</c:v>
                </c:pt>
                <c:pt idx="1">
                  <c:v>1.1999999999999993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801-4C4D-A3B4-8DCE2FCE4EF1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'Cu_Multi Consol pmdtn'!$Q$42:$Q$43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'Cu_Multi Consol pmdtn'!$R$42:$R$43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801-4C4D-A3B4-8DCE2FCE4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8671"/>
        <c:axId val="1"/>
      </c:scatterChart>
      <c:valAx>
        <c:axId val="26438671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Squart root time</a:t>
                </a:r>
              </a:p>
            </c:rich>
          </c:tx>
          <c:layout>
            <c:manualLayout>
              <c:xMode val="edge"/>
              <c:yMode val="edge"/>
              <c:x val="0.46544980443285527"/>
              <c:y val="0.9059852988461912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axMin"/>
          <c:max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Volume change ( cm</a:t>
                </a:r>
                <a:r>
                  <a:rPr lang="en-ID" sz="12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5645371577574969E-2"/>
              <c:y val="0.18233678055200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438671"/>
        <c:crosses val="autoZero"/>
        <c:crossBetween val="midCat"/>
        <c:maj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430247718383312"/>
          <c:y val="4.5584172409667716E-2"/>
          <c:w val="0.8722294654498044"/>
          <c:h val="0.76353488786193424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Consol pmdtn'!$G$89:$G$103</c:f>
              <c:numCache>
                <c:formatCode>0.0</c:formatCode>
                <c:ptCount val="15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 pmdtn'!$I$89:$I$103</c:f>
              <c:numCache>
                <c:formatCode>0.00</c:formatCode>
                <c:ptCount val="15"/>
                <c:pt idx="0">
                  <c:v>0</c:v>
                </c:pt>
                <c:pt idx="1">
                  <c:v>0.39999999999999858</c:v>
                </c:pt>
                <c:pt idx="2">
                  <c:v>0.59999999999999432</c:v>
                </c:pt>
                <c:pt idx="3">
                  <c:v>0.79999999999999716</c:v>
                </c:pt>
                <c:pt idx="4">
                  <c:v>0.99999999999999645</c:v>
                </c:pt>
                <c:pt idx="5">
                  <c:v>1.1999999999999957</c:v>
                </c:pt>
                <c:pt idx="6">
                  <c:v>1.4999999999999964</c:v>
                </c:pt>
                <c:pt idx="7">
                  <c:v>1.5999999999999979</c:v>
                </c:pt>
                <c:pt idx="8">
                  <c:v>1.6999999999999957</c:v>
                </c:pt>
                <c:pt idx="9">
                  <c:v>1.6999999999999957</c:v>
                </c:pt>
                <c:pt idx="10">
                  <c:v>1.6999999999999957</c:v>
                </c:pt>
                <c:pt idx="11">
                  <c:v>1.6999999999999957</c:v>
                </c:pt>
                <c:pt idx="12">
                  <c:v>1.6999999999999957</c:v>
                </c:pt>
                <c:pt idx="13">
                  <c:v>1.6999999999999957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B6-419F-AC2A-31300A4828C4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'Cu_Multi Consol pmdtn'!$R$112:$R$113</c:f>
              <c:numCache>
                <c:formatCode>General</c:formatCode>
                <c:ptCount val="2"/>
                <c:pt idx="0" formatCode="0.0">
                  <c:v>33.015148038438355</c:v>
                </c:pt>
                <c:pt idx="1">
                  <c:v>0</c:v>
                </c:pt>
              </c:numCache>
            </c:numRef>
          </c:xVal>
          <c:yVal>
            <c:numRef>
              <c:f>'Cu_Multi Consol pmdtn'!$Q$112:$Q$113</c:f>
              <c:numCache>
                <c:formatCode>0.00</c:formatCode>
                <c:ptCount val="2"/>
                <c:pt idx="0">
                  <c:v>1.6999999999999957</c:v>
                </c:pt>
                <c:pt idx="1">
                  <c:v>1.6999999999999957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B6-419F-AC2A-31300A4828C4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none"/>
          </c:marker>
          <c:trendline>
            <c:spPr>
              <a:ln w="12700">
                <a:solidFill>
                  <a:srgbClr val="FF0000"/>
                </a:solidFill>
                <a:prstDash val="sysDash"/>
              </a:ln>
            </c:spPr>
            <c:trendlineType val="linear"/>
            <c:forward val="20"/>
            <c:dispRSqr val="0"/>
            <c:dispEq val="0"/>
          </c:trendline>
          <c:xVal>
            <c:numRef>
              <c:f>'Cu_Multi Consol pmdtn'!$R$119:$R$120</c:f>
              <c:numCache>
                <c:formatCode>0.0</c:formatCode>
                <c:ptCount val="2"/>
                <c:pt idx="0">
                  <c:v>0</c:v>
                </c:pt>
                <c:pt idx="1">
                  <c:v>9</c:v>
                </c:pt>
              </c:numCache>
            </c:numRef>
          </c:xVal>
          <c:yVal>
            <c:numRef>
              <c:f>'Cu_Multi Consol pmdtn'!$Q$119:$Q$120</c:f>
              <c:numCache>
                <c:formatCode>0.00</c:formatCode>
                <c:ptCount val="2"/>
                <c:pt idx="0">
                  <c:v>0</c:v>
                </c:pt>
                <c:pt idx="1">
                  <c:v>0.9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B6-419F-AC2A-31300A4828C4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'Cu_Multi Consol pmdtn'!$Q$106:$Q$107</c:f>
              <c:numCache>
                <c:formatCode>General</c:formatCode>
                <c:ptCount val="2"/>
                <c:pt idx="0">
                  <c:v>2.2999999999999998</c:v>
                </c:pt>
                <c:pt idx="1">
                  <c:v>2.2999999999999998</c:v>
                </c:pt>
              </c:numCache>
            </c:numRef>
          </c:xVal>
          <c:yVal>
            <c:numRef>
              <c:f>'Cu_Multi Consol pmdtn'!$R$106:$R$107</c:f>
              <c:numCache>
                <c:formatCode>General</c:formatCode>
                <c:ptCount val="2"/>
                <c:pt idx="0">
                  <c:v>0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1B6-419F-AC2A-31300A482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41999"/>
        <c:axId val="1"/>
      </c:scatterChart>
      <c:valAx>
        <c:axId val="26441999"/>
        <c:scaling>
          <c:orientation val="minMax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Squart root time</a:t>
                </a:r>
              </a:p>
            </c:rich>
          </c:tx>
          <c:layout>
            <c:manualLayout>
              <c:xMode val="edge"/>
              <c:yMode val="edge"/>
              <c:x val="0.46284224250325945"/>
              <c:y val="0.90313629599718837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axMin"/>
          <c:max val="2.8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Volume change ( cm</a:t>
                </a:r>
                <a:r>
                  <a:rPr lang="en-ID" sz="12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4341590612777053E-2"/>
              <c:y val="0.18233678055200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441999"/>
        <c:crosses val="autoZero"/>
        <c:crossBetween val="midCat"/>
        <c:maj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647979139504563E-2"/>
          <c:y val="4.5584172409667716E-2"/>
          <c:w val="0.88005215123859193"/>
          <c:h val="0.76353488786193424"/>
        </c:manualLayout>
      </c:layout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Consol pmdtn'!$G$153:$G$166</c:f>
              <c:numCache>
                <c:formatCode>0.0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 pmdtn'!$I$153:$I$166</c:f>
              <c:numCache>
                <c:formatCode>0.0</c:formatCode>
                <c:ptCount val="14"/>
                <c:pt idx="0">
                  <c:v>0</c:v>
                </c:pt>
                <c:pt idx="1">
                  <c:v>0.40000000000000568</c:v>
                </c:pt>
                <c:pt idx="2">
                  <c:v>0.60000000000000142</c:v>
                </c:pt>
                <c:pt idx="3">
                  <c:v>0.90000000000000568</c:v>
                </c:pt>
                <c:pt idx="4">
                  <c:v>1.1000000000000014</c:v>
                </c:pt>
                <c:pt idx="5">
                  <c:v>1.3000000000000043</c:v>
                </c:pt>
                <c:pt idx="6">
                  <c:v>1.5</c:v>
                </c:pt>
                <c:pt idx="7">
                  <c:v>1.8000000000000043</c:v>
                </c:pt>
                <c:pt idx="8">
                  <c:v>2</c:v>
                </c:pt>
                <c:pt idx="9">
                  <c:v>2.2000000000000028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201-4D2F-99CC-53E84BB1A85D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'Cu_Multi Consol pmdtn'!$R$176:$R$177</c:f>
              <c:numCache>
                <c:formatCode>General</c:formatCode>
                <c:ptCount val="2"/>
                <c:pt idx="0" formatCode="0.0">
                  <c:v>33.015148038438355</c:v>
                </c:pt>
                <c:pt idx="1">
                  <c:v>0</c:v>
                </c:pt>
              </c:numCache>
            </c:numRef>
          </c:xVal>
          <c:yVal>
            <c:numRef>
              <c:f>'Cu_Multi Consol pmdtn'!$Q$176:$Q$177</c:f>
              <c:numCache>
                <c:formatCode>General</c:formatCode>
                <c:ptCount val="2"/>
                <c:pt idx="0" formatCode="0.0">
                  <c:v>2.5</c:v>
                </c:pt>
                <c:pt idx="1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01-4D2F-99CC-53E84BB1A85D}"/>
            </c:ext>
          </c:extLst>
        </c:ser>
        <c:ser>
          <c:idx val="2"/>
          <c:order val="2"/>
          <c:spPr>
            <a:ln w="19050">
              <a:noFill/>
            </a:ln>
          </c:spPr>
          <c:marker>
            <c:symbol val="none"/>
          </c:marker>
          <c:trendline>
            <c:spPr>
              <a:ln w="12700">
                <a:solidFill>
                  <a:srgbClr val="FF0000"/>
                </a:solidFill>
                <a:prstDash val="sysDash"/>
              </a:ln>
            </c:spPr>
            <c:trendlineType val="linear"/>
            <c:forward val="15"/>
            <c:backward val="0.5"/>
            <c:dispRSqr val="0"/>
            <c:dispEq val="0"/>
          </c:trendline>
          <c:xVal>
            <c:numRef>
              <c:f>'Cu_Multi Consol pmdtn'!$R$183:$R$184</c:f>
              <c:numCache>
                <c:formatCode>0.0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xVal>
          <c:yVal>
            <c:numRef>
              <c:f>'Cu_Multi Consol pmdtn'!$Q$183:$Q$184</c:f>
              <c:numCache>
                <c:formatCode>0.0</c:formatCode>
                <c:ptCount val="2"/>
                <c:pt idx="0">
                  <c:v>0</c:v>
                </c:pt>
                <c:pt idx="1">
                  <c:v>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01-4D2F-99CC-53E84BB1A85D}"/>
            </c:ext>
          </c:extLst>
        </c:ser>
        <c:ser>
          <c:idx val="3"/>
          <c:order val="3"/>
          <c:spPr>
            <a:ln w="31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'Cu_Multi Consol pmdtn'!$Q$170:$Q$171</c:f>
              <c:numCache>
                <c:formatCode>General</c:formatCode>
                <c:ptCount val="2"/>
                <c:pt idx="0">
                  <c:v>2.6</c:v>
                </c:pt>
                <c:pt idx="1">
                  <c:v>2.6</c:v>
                </c:pt>
              </c:numCache>
            </c:numRef>
          </c:xVal>
          <c:yVal>
            <c:numRef>
              <c:f>'Cu_Multi Consol pmdtn'!$R$170:$R$171</c:f>
              <c:numCache>
                <c:formatCode>General</c:formatCode>
                <c:ptCount val="2"/>
                <c:pt idx="0">
                  <c:v>0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01-4D2F-99CC-53E84BB1A8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4767"/>
        <c:axId val="1"/>
      </c:scatterChart>
      <c:valAx>
        <c:axId val="31294767"/>
        <c:scaling>
          <c:orientation val="minMax"/>
          <c:min val="0"/>
        </c:scaling>
        <c:delete val="0"/>
        <c:axPos val="t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Squart root time</a:t>
                </a:r>
              </a:p>
            </c:rich>
          </c:tx>
          <c:layout>
            <c:manualLayout>
              <c:xMode val="edge"/>
              <c:yMode val="edge"/>
              <c:x val="0.46023468057366362"/>
              <c:y val="0.9059852988461912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axMin"/>
          <c:max val="2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Volume change ( cm</a:t>
                </a:r>
                <a:r>
                  <a:rPr lang="en-ID" sz="12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5645371577574969E-2"/>
              <c:y val="0.18233678055200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31294767"/>
        <c:crosses val="autoZero"/>
        <c:crossBetween val="midCat"/>
        <c:majorUnit val="0.5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2404934798256767"/>
          <c:y val="4.5584172409667716E-2"/>
          <c:w val="0.85248259891113398"/>
          <c:h val="0.7436213929824031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Consol pmdtn'!$G$25:$G$38</c:f>
              <c:numCache>
                <c:formatCode>0.0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 pmdtn'!$I$25:$I$38</c:f>
              <c:numCache>
                <c:formatCode>0.00</c:formatCode>
                <c:ptCount val="14"/>
                <c:pt idx="0">
                  <c:v>0</c:v>
                </c:pt>
                <c:pt idx="1">
                  <c:v>0.30000000000000071</c:v>
                </c:pt>
                <c:pt idx="2">
                  <c:v>0.40000000000000213</c:v>
                </c:pt>
                <c:pt idx="3">
                  <c:v>0.60000000000000142</c:v>
                </c:pt>
                <c:pt idx="4">
                  <c:v>0.80000000000000071</c:v>
                </c:pt>
                <c:pt idx="5">
                  <c:v>0.90000000000000213</c:v>
                </c:pt>
                <c:pt idx="6">
                  <c:v>1.1000000000000014</c:v>
                </c:pt>
                <c:pt idx="7">
                  <c:v>1.1999999999999993</c:v>
                </c:pt>
                <c:pt idx="8">
                  <c:v>1.3000000000000007</c:v>
                </c:pt>
                <c:pt idx="9">
                  <c:v>1.4000000000000021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D83-409A-9C92-B718B4A7A67F}"/>
            </c:ext>
          </c:extLst>
        </c:ser>
        <c:ser>
          <c:idx val="2"/>
          <c:order val="1"/>
          <c:spPr>
            <a:ln w="12700">
              <a:solidFill>
                <a:schemeClr val="accent3">
                  <a:lumMod val="50000"/>
                </a:schemeClr>
              </a:solidFill>
            </a:ln>
          </c:spPr>
          <c:marker>
            <c:symbol val="none"/>
          </c:marker>
          <c:xVal>
            <c:numRef>
              <c:f>'Cu_Multi Consol pmdtn'!$G$89:$G$102</c:f>
              <c:numCache>
                <c:formatCode>0.0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 pmdtn'!$I$89:$I$102</c:f>
              <c:numCache>
                <c:formatCode>0.00</c:formatCode>
                <c:ptCount val="14"/>
                <c:pt idx="0">
                  <c:v>0</c:v>
                </c:pt>
                <c:pt idx="1">
                  <c:v>0.39999999999999858</c:v>
                </c:pt>
                <c:pt idx="2">
                  <c:v>0.59999999999999432</c:v>
                </c:pt>
                <c:pt idx="3">
                  <c:v>0.79999999999999716</c:v>
                </c:pt>
                <c:pt idx="4">
                  <c:v>0.99999999999999645</c:v>
                </c:pt>
                <c:pt idx="5">
                  <c:v>1.1999999999999957</c:v>
                </c:pt>
                <c:pt idx="6">
                  <c:v>1.4999999999999964</c:v>
                </c:pt>
                <c:pt idx="7">
                  <c:v>1.5999999999999979</c:v>
                </c:pt>
                <c:pt idx="8">
                  <c:v>1.6999999999999957</c:v>
                </c:pt>
                <c:pt idx="9">
                  <c:v>1.6999999999999957</c:v>
                </c:pt>
                <c:pt idx="10">
                  <c:v>1.6999999999999957</c:v>
                </c:pt>
                <c:pt idx="11">
                  <c:v>1.6999999999999957</c:v>
                </c:pt>
                <c:pt idx="12">
                  <c:v>1.6999999999999957</c:v>
                </c:pt>
                <c:pt idx="13">
                  <c:v>1.6999999999999957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D83-409A-9C92-B718B4A7A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8671"/>
        <c:axId val="1"/>
      </c:scatterChart>
      <c:valAx>
        <c:axId val="26438671"/>
        <c:scaling>
          <c:orientation val="minMax"/>
        </c:scaling>
        <c:delete val="0"/>
        <c:axPos val="t"/>
        <c:majorGridlines>
          <c:spPr>
            <a:ln w="3175">
              <a:solidFill>
                <a:schemeClr val="bg1">
                  <a:lumMod val="75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ID"/>
                  <a:t>Squart root time</a:t>
                </a:r>
              </a:p>
            </c:rich>
          </c:tx>
          <c:layout>
            <c:manualLayout>
              <c:xMode val="edge"/>
              <c:yMode val="edge"/>
              <c:x val="0.46544980443285527"/>
              <c:y val="0.9059852988461912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high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Volume change ( cm</a:t>
                </a:r>
                <a:r>
                  <a:rPr lang="en-ID" sz="1200" b="1" i="0" u="none" strike="noStrike" baseline="30000">
                    <a:solidFill>
                      <a:srgbClr val="000000"/>
                    </a:solidFill>
                    <a:latin typeface="Arial"/>
                    <a:cs typeface="Arial"/>
                  </a:rPr>
                  <a:t>3</a:t>
                </a:r>
                <a:r>
                  <a:rPr lang="en-ID" sz="1200" b="1" i="0" u="none" strike="noStrike" baseline="0">
                    <a:solidFill>
                      <a:srgbClr val="000000"/>
                    </a:solidFill>
                    <a:latin typeface="Arial"/>
                    <a:cs typeface="Arial"/>
                  </a:rPr>
                  <a:t>)</a:t>
                </a:r>
              </a:p>
            </c:rich>
          </c:tx>
          <c:layout>
            <c:manualLayout>
              <c:xMode val="edge"/>
              <c:yMode val="edge"/>
              <c:x val="1.5645371577574969E-2"/>
              <c:y val="0.1823367805520036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43867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526692122314185"/>
          <c:y val="2.4944107841996528E-2"/>
          <c:w val="0.84704600019061482"/>
          <c:h val="0.26388631970220794"/>
        </c:manualLayout>
      </c:layout>
      <c:scatterChart>
        <c:scatterStyle val="lineMarker"/>
        <c:varyColors val="0"/>
        <c:ser>
          <c:idx val="0"/>
          <c:order val="0"/>
          <c:spPr>
            <a:ln w="19050" cap="flat" cmpd="sng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 pmdtn'!$E$25:$E$63</c:f>
              <c:numCache>
                <c:formatCode>0.00</c:formatCode>
                <c:ptCount val="39"/>
                <c:pt idx="0">
                  <c:v>0</c:v>
                </c:pt>
                <c:pt idx="1">
                  <c:v>0.13203063110641672</c:v>
                </c:pt>
                <c:pt idx="2">
                  <c:v>0.26406126221283344</c:v>
                </c:pt>
                <c:pt idx="3">
                  <c:v>0.52812252442566687</c:v>
                </c:pt>
                <c:pt idx="4">
                  <c:v>0.79218378663850009</c:v>
                </c:pt>
                <c:pt idx="5">
                  <c:v>1.0562450488513337</c:v>
                </c:pt>
                <c:pt idx="6">
                  <c:v>1.3203063110641671</c:v>
                </c:pt>
                <c:pt idx="7">
                  <c:v>1.5843675732770002</c:v>
                </c:pt>
                <c:pt idx="8">
                  <c:v>1.8484288354898337</c:v>
                </c:pt>
                <c:pt idx="9">
                  <c:v>2.1124900977026675</c:v>
                </c:pt>
                <c:pt idx="10">
                  <c:v>2.3765513599155006</c:v>
                </c:pt>
                <c:pt idx="11">
                  <c:v>2.6406126221283341</c:v>
                </c:pt>
                <c:pt idx="12">
                  <c:v>2.9046738843411677</c:v>
                </c:pt>
                <c:pt idx="13">
                  <c:v>3.1687351465540003</c:v>
                </c:pt>
                <c:pt idx="14">
                  <c:v>3.4327964087668339</c:v>
                </c:pt>
                <c:pt idx="15">
                  <c:v>3.6968576709796674</c:v>
                </c:pt>
                <c:pt idx="16">
                  <c:v>3.960918933192501</c:v>
                </c:pt>
                <c:pt idx="17">
                  <c:v>4.621072088724584</c:v>
                </c:pt>
                <c:pt idx="18">
                  <c:v>5.2812252442566683</c:v>
                </c:pt>
                <c:pt idx="19">
                  <c:v>5.9413783997887517</c:v>
                </c:pt>
                <c:pt idx="20">
                  <c:v>6.6015315553208342</c:v>
                </c:pt>
                <c:pt idx="21">
                  <c:v>7.2616847108529186</c:v>
                </c:pt>
                <c:pt idx="22">
                  <c:v>7.921837866385002</c:v>
                </c:pt>
                <c:pt idx="23">
                  <c:v>8.5819910219170854</c:v>
                </c:pt>
                <c:pt idx="24">
                  <c:v>9.2421441774491679</c:v>
                </c:pt>
                <c:pt idx="25">
                  <c:v>9.9022973329812523</c:v>
                </c:pt>
                <c:pt idx="26">
                  <c:v>10.562450488513337</c:v>
                </c:pt>
              </c:numCache>
            </c:numRef>
          </c:xVal>
          <c:yVal>
            <c:numRef>
              <c:f>'Cu_Multi Shear pmdtn'!$P$25:$P$63</c:f>
              <c:numCache>
                <c:formatCode>0.00</c:formatCode>
                <c:ptCount val="39"/>
                <c:pt idx="0" formatCode="General">
                  <c:v>1</c:v>
                </c:pt>
                <c:pt idx="1">
                  <c:v>1.2758440050963185</c:v>
                </c:pt>
                <c:pt idx="2">
                  <c:v>1.4383143719063092</c:v>
                </c:pt>
                <c:pt idx="3">
                  <c:v>1.7995286412291425</c:v>
                </c:pt>
                <c:pt idx="4">
                  <c:v>2.2581162294010522</c:v>
                </c:pt>
                <c:pt idx="5">
                  <c:v>2.8415072101181731</c:v>
                </c:pt>
                <c:pt idx="6">
                  <c:v>3.1999002364014846</c:v>
                </c:pt>
                <c:pt idx="7">
                  <c:v>3.4511397865595272</c:v>
                </c:pt>
                <c:pt idx="8">
                  <c:v>3.7418797593569435</c:v>
                </c:pt>
                <c:pt idx="9">
                  <c:v>3.9166703627739876</c:v>
                </c:pt>
                <c:pt idx="10">
                  <c:v>4.0567987649831494</c:v>
                </c:pt>
                <c:pt idx="11">
                  <c:v>4.272361805059397</c:v>
                </c:pt>
                <c:pt idx="12">
                  <c:v>4.457617342072985</c:v>
                </c:pt>
                <c:pt idx="13">
                  <c:v>4.6012553657887807</c:v>
                </c:pt>
                <c:pt idx="14">
                  <c:v>4.7125893358390636</c:v>
                </c:pt>
                <c:pt idx="15">
                  <c:v>4.8012381766000143</c:v>
                </c:pt>
                <c:pt idx="16">
                  <c:v>4.9322048834314991</c:v>
                </c:pt>
                <c:pt idx="17">
                  <c:v>5.32101668085767</c:v>
                </c:pt>
                <c:pt idx="18">
                  <c:v>5.760614356956455</c:v>
                </c:pt>
                <c:pt idx="19">
                  <c:v>6.1185627990758835</c:v>
                </c:pt>
                <c:pt idx="20">
                  <c:v>6.3234354381723543</c:v>
                </c:pt>
                <c:pt idx="21">
                  <c:v>6.4323510289741277</c:v>
                </c:pt>
                <c:pt idx="22">
                  <c:v>6.6412850167221196</c:v>
                </c:pt>
                <c:pt idx="23">
                  <c:v>6.6996782501818739</c:v>
                </c:pt>
                <c:pt idx="24">
                  <c:v>6.5679428285376451</c:v>
                </c:pt>
                <c:pt idx="25">
                  <c:v>6.4225387872068209</c:v>
                </c:pt>
                <c:pt idx="26">
                  <c:v>6.1869337149653889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AC-4E8D-8783-0960486B76F5}"/>
            </c:ext>
          </c:extLst>
        </c:ser>
        <c:ser>
          <c:idx val="2"/>
          <c:order val="1"/>
          <c:spPr>
            <a:ln w="19050" cap="flat" cmpd="sng" algn="ctr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 pmdtn'!$E$159:$E$197</c:f>
              <c:numCache>
                <c:formatCode>0.00</c:formatCode>
                <c:ptCount val="39"/>
                <c:pt idx="0">
                  <c:v>0</c:v>
                </c:pt>
                <c:pt idx="1">
                  <c:v>0.13203063110641672</c:v>
                </c:pt>
                <c:pt idx="2">
                  <c:v>0.26406126221283344</c:v>
                </c:pt>
                <c:pt idx="3">
                  <c:v>0.52812252442566687</c:v>
                </c:pt>
                <c:pt idx="4">
                  <c:v>0.79218378663850009</c:v>
                </c:pt>
                <c:pt idx="5">
                  <c:v>1.0562450488513337</c:v>
                </c:pt>
                <c:pt idx="6">
                  <c:v>1.3203063110641671</c:v>
                </c:pt>
                <c:pt idx="7">
                  <c:v>1.5843675732770002</c:v>
                </c:pt>
                <c:pt idx="8">
                  <c:v>1.8484288354898337</c:v>
                </c:pt>
                <c:pt idx="9">
                  <c:v>2.1124900977026675</c:v>
                </c:pt>
                <c:pt idx="10">
                  <c:v>2.3765513599155006</c:v>
                </c:pt>
                <c:pt idx="11">
                  <c:v>2.6406126221283341</c:v>
                </c:pt>
                <c:pt idx="12">
                  <c:v>2.9046738843411677</c:v>
                </c:pt>
                <c:pt idx="13">
                  <c:v>3.1687351465540003</c:v>
                </c:pt>
                <c:pt idx="14">
                  <c:v>3.4327964087668339</c:v>
                </c:pt>
                <c:pt idx="15">
                  <c:v>3.6968576709796674</c:v>
                </c:pt>
                <c:pt idx="16">
                  <c:v>3.960918933192501</c:v>
                </c:pt>
                <c:pt idx="17">
                  <c:v>4.621072088724584</c:v>
                </c:pt>
                <c:pt idx="18">
                  <c:v>5.2812252442566683</c:v>
                </c:pt>
                <c:pt idx="19">
                  <c:v>5.9413783997887517</c:v>
                </c:pt>
                <c:pt idx="20">
                  <c:v>6.6015315553208342</c:v>
                </c:pt>
                <c:pt idx="21">
                  <c:v>7.2616847108529186</c:v>
                </c:pt>
                <c:pt idx="22">
                  <c:v>7.921837866385002</c:v>
                </c:pt>
                <c:pt idx="23">
                  <c:v>8.5819910219170854</c:v>
                </c:pt>
                <c:pt idx="24">
                  <c:v>9.2421441774491679</c:v>
                </c:pt>
                <c:pt idx="25">
                  <c:v>9.9022973329812523</c:v>
                </c:pt>
                <c:pt idx="26">
                  <c:v>10.562450488513337</c:v>
                </c:pt>
                <c:pt idx="27">
                  <c:v>11.222603644045419</c:v>
                </c:pt>
                <c:pt idx="28">
                  <c:v>11.882756799577503</c:v>
                </c:pt>
                <c:pt idx="29">
                  <c:v>12.542909955109586</c:v>
                </c:pt>
                <c:pt idx="30">
                  <c:v>13.203063110641668</c:v>
                </c:pt>
                <c:pt idx="31">
                  <c:v>13.863216266173753</c:v>
                </c:pt>
              </c:numCache>
            </c:numRef>
          </c:xVal>
          <c:yVal>
            <c:numRef>
              <c:f>'Cu_Multi Shear pmdtn'!$P$159:$P$197</c:f>
              <c:numCache>
                <c:formatCode>0.00</c:formatCode>
                <c:ptCount val="39"/>
                <c:pt idx="0" formatCode="General">
                  <c:v>1</c:v>
                </c:pt>
                <c:pt idx="1">
                  <c:v>1.2105310690116222</c:v>
                </c:pt>
                <c:pt idx="2">
                  <c:v>1.5094781914904229</c:v>
                </c:pt>
                <c:pt idx="3">
                  <c:v>1.8339407043445703</c:v>
                </c:pt>
                <c:pt idx="4">
                  <c:v>2.151484048262374</c:v>
                </c:pt>
                <c:pt idx="5">
                  <c:v>2.9135566922473402</c:v>
                </c:pt>
                <c:pt idx="6">
                  <c:v>3.2888983699775807</c:v>
                </c:pt>
                <c:pt idx="7">
                  <c:v>3.5101251091411547</c:v>
                </c:pt>
                <c:pt idx="8">
                  <c:v>3.736463887606976</c:v>
                </c:pt>
                <c:pt idx="9">
                  <c:v>3.9428679943662615</c:v>
                </c:pt>
                <c:pt idx="10">
                  <c:v>4.1972696069263273</c:v>
                </c:pt>
                <c:pt idx="11">
                  <c:v>4.4232310301635005</c:v>
                </c:pt>
                <c:pt idx="12">
                  <c:v>4.5785909739978603</c:v>
                </c:pt>
                <c:pt idx="13">
                  <c:v>4.7291016700243125</c:v>
                </c:pt>
                <c:pt idx="14">
                  <c:v>4.9114818818541961</c:v>
                </c:pt>
                <c:pt idx="15">
                  <c:v>5.0400286965940593</c:v>
                </c:pt>
                <c:pt idx="16">
                  <c:v>5.1999360496411882</c:v>
                </c:pt>
                <c:pt idx="17">
                  <c:v>5.4276855601694924</c:v>
                </c:pt>
                <c:pt idx="18">
                  <c:v>5.5400206609201472</c:v>
                </c:pt>
                <c:pt idx="19">
                  <c:v>5.6581279978063881</c:v>
                </c:pt>
                <c:pt idx="20">
                  <c:v>5.7298792983962885</c:v>
                </c:pt>
                <c:pt idx="21">
                  <c:v>5.7606693482760152</c:v>
                </c:pt>
                <c:pt idx="22">
                  <c:v>5.7972571052791384</c:v>
                </c:pt>
                <c:pt idx="23">
                  <c:v>5.8830920984796382</c:v>
                </c:pt>
                <c:pt idx="24">
                  <c:v>5.9851706595573653</c:v>
                </c:pt>
                <c:pt idx="25">
                  <c:v>6.1144016428389669</c:v>
                </c:pt>
                <c:pt idx="26">
                  <c:v>6.2437251719673501</c:v>
                </c:pt>
                <c:pt idx="27">
                  <c:v>6.2718715603368205</c:v>
                </c:pt>
                <c:pt idx="28">
                  <c:v>6.3008841257983752</c:v>
                </c:pt>
                <c:pt idx="29">
                  <c:v>6.2636331216227434</c:v>
                </c:pt>
                <c:pt idx="30">
                  <c:v>6.23062082873082</c:v>
                </c:pt>
                <c:pt idx="31">
                  <c:v>6.1914443877710035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4AC-4E8D-8783-0960486B7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82287"/>
        <c:axId val="1"/>
      </c:scatterChart>
      <c:valAx>
        <c:axId val="3128228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  <c:minorUnit val="1"/>
      </c:valAx>
      <c:valAx>
        <c:axId val="1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1282287"/>
        <c:crosses val="autoZero"/>
        <c:crossBetween val="midCat"/>
        <c:majorUnit val="1"/>
        <c:minorUnit val="0.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900">
          <a:latin typeface="Aptos" panose="020B0004020202020204" pitchFamily="34" charset="0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3"/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225488129939305"/>
          <c:y val="2.5187512139730157E-2"/>
          <c:w val="0.85024807382948098"/>
          <c:h val="0.82846862965583234"/>
        </c:manualLayout>
      </c:layout>
      <c:scatterChart>
        <c:scatterStyle val="lineMarker"/>
        <c:varyColors val="0"/>
        <c:ser>
          <c:idx val="0"/>
          <c:order val="0"/>
          <c:spPr>
            <a:ln w="19050" cap="flat" cmpd="sng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 pmdtn'!$E$25:$E$49</c:f>
              <c:numCache>
                <c:formatCode>0.00</c:formatCode>
                <c:ptCount val="25"/>
                <c:pt idx="0">
                  <c:v>0</c:v>
                </c:pt>
                <c:pt idx="1">
                  <c:v>0.13203063110641672</c:v>
                </c:pt>
                <c:pt idx="2">
                  <c:v>0.26406126221283344</c:v>
                </c:pt>
                <c:pt idx="3">
                  <c:v>0.52812252442566687</c:v>
                </c:pt>
                <c:pt idx="4">
                  <c:v>0.79218378663850009</c:v>
                </c:pt>
                <c:pt idx="5">
                  <c:v>1.0562450488513337</c:v>
                </c:pt>
                <c:pt idx="6">
                  <c:v>1.3203063110641671</c:v>
                </c:pt>
                <c:pt idx="7">
                  <c:v>1.5843675732770002</c:v>
                </c:pt>
                <c:pt idx="8">
                  <c:v>1.8484288354898337</c:v>
                </c:pt>
                <c:pt idx="9">
                  <c:v>2.1124900977026675</c:v>
                </c:pt>
                <c:pt idx="10">
                  <c:v>2.3765513599155006</c:v>
                </c:pt>
                <c:pt idx="11">
                  <c:v>2.6406126221283341</c:v>
                </c:pt>
                <c:pt idx="12">
                  <c:v>2.9046738843411677</c:v>
                </c:pt>
                <c:pt idx="13">
                  <c:v>3.1687351465540003</c:v>
                </c:pt>
                <c:pt idx="14">
                  <c:v>3.4327964087668339</c:v>
                </c:pt>
                <c:pt idx="15">
                  <c:v>3.6968576709796674</c:v>
                </c:pt>
                <c:pt idx="16">
                  <c:v>3.960918933192501</c:v>
                </c:pt>
                <c:pt idx="17">
                  <c:v>4.621072088724584</c:v>
                </c:pt>
                <c:pt idx="18">
                  <c:v>5.2812252442566683</c:v>
                </c:pt>
                <c:pt idx="19">
                  <c:v>5.9413783997887517</c:v>
                </c:pt>
                <c:pt idx="20">
                  <c:v>6.6015315553208342</c:v>
                </c:pt>
                <c:pt idx="21">
                  <c:v>7.2616847108529186</c:v>
                </c:pt>
                <c:pt idx="22">
                  <c:v>7.921837866385002</c:v>
                </c:pt>
                <c:pt idx="23">
                  <c:v>8.5819910219170854</c:v>
                </c:pt>
                <c:pt idx="24">
                  <c:v>9.2421441774491679</c:v>
                </c:pt>
              </c:numCache>
            </c:numRef>
          </c:xVal>
          <c:yVal>
            <c:numRef>
              <c:f>'Cu_Multi Shear pmdtn'!$I$25:$I$49</c:f>
              <c:numCache>
                <c:formatCode>0.0</c:formatCode>
                <c:ptCount val="25"/>
                <c:pt idx="0">
                  <c:v>190</c:v>
                </c:pt>
                <c:pt idx="1">
                  <c:v>190.8</c:v>
                </c:pt>
                <c:pt idx="2">
                  <c:v>191.1</c:v>
                </c:pt>
                <c:pt idx="3">
                  <c:v>191.9</c:v>
                </c:pt>
                <c:pt idx="4">
                  <c:v>192.9</c:v>
                </c:pt>
                <c:pt idx="5">
                  <c:v>193.7</c:v>
                </c:pt>
                <c:pt idx="6">
                  <c:v>194.4</c:v>
                </c:pt>
                <c:pt idx="7">
                  <c:v>194.7</c:v>
                </c:pt>
                <c:pt idx="8">
                  <c:v>195.2</c:v>
                </c:pt>
                <c:pt idx="9">
                  <c:v>195.7</c:v>
                </c:pt>
                <c:pt idx="10">
                  <c:v>196.6</c:v>
                </c:pt>
                <c:pt idx="11">
                  <c:v>197.5</c:v>
                </c:pt>
                <c:pt idx="12">
                  <c:v>198.2</c:v>
                </c:pt>
                <c:pt idx="13">
                  <c:v>198.9</c:v>
                </c:pt>
                <c:pt idx="14">
                  <c:v>199.2</c:v>
                </c:pt>
                <c:pt idx="15">
                  <c:v>199.7</c:v>
                </c:pt>
                <c:pt idx="16">
                  <c:v>200.3</c:v>
                </c:pt>
                <c:pt idx="17">
                  <c:v>201.4</c:v>
                </c:pt>
                <c:pt idx="18">
                  <c:v>202</c:v>
                </c:pt>
                <c:pt idx="19">
                  <c:v>202</c:v>
                </c:pt>
                <c:pt idx="20">
                  <c:v>202</c:v>
                </c:pt>
                <c:pt idx="21">
                  <c:v>202</c:v>
                </c:pt>
                <c:pt idx="22">
                  <c:v>202</c:v>
                </c:pt>
                <c:pt idx="23">
                  <c:v>202</c:v>
                </c:pt>
                <c:pt idx="24">
                  <c:v>202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6E0-4B74-822A-BBE1CBEC9728}"/>
            </c:ext>
          </c:extLst>
        </c:ser>
        <c:ser>
          <c:idx val="2"/>
          <c:order val="1"/>
          <c:spPr>
            <a:ln w="19050" cap="flat" cmpd="sng" algn="ctr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 pmdtn'!$E$159:$E$197</c:f>
              <c:numCache>
                <c:formatCode>0.00</c:formatCode>
                <c:ptCount val="39"/>
                <c:pt idx="0">
                  <c:v>0</c:v>
                </c:pt>
                <c:pt idx="1">
                  <c:v>0.13203063110641672</c:v>
                </c:pt>
                <c:pt idx="2">
                  <c:v>0.26406126221283344</c:v>
                </c:pt>
                <c:pt idx="3">
                  <c:v>0.52812252442566687</c:v>
                </c:pt>
                <c:pt idx="4">
                  <c:v>0.79218378663850009</c:v>
                </c:pt>
                <c:pt idx="5">
                  <c:v>1.0562450488513337</c:v>
                </c:pt>
                <c:pt idx="6">
                  <c:v>1.3203063110641671</c:v>
                </c:pt>
                <c:pt idx="7">
                  <c:v>1.5843675732770002</c:v>
                </c:pt>
                <c:pt idx="8">
                  <c:v>1.8484288354898337</c:v>
                </c:pt>
                <c:pt idx="9">
                  <c:v>2.1124900977026675</c:v>
                </c:pt>
                <c:pt idx="10">
                  <c:v>2.3765513599155006</c:v>
                </c:pt>
                <c:pt idx="11">
                  <c:v>2.6406126221283341</c:v>
                </c:pt>
                <c:pt idx="12">
                  <c:v>2.9046738843411677</c:v>
                </c:pt>
                <c:pt idx="13">
                  <c:v>3.1687351465540003</c:v>
                </c:pt>
                <c:pt idx="14">
                  <c:v>3.4327964087668339</c:v>
                </c:pt>
                <c:pt idx="15">
                  <c:v>3.6968576709796674</c:v>
                </c:pt>
                <c:pt idx="16">
                  <c:v>3.960918933192501</c:v>
                </c:pt>
                <c:pt idx="17">
                  <c:v>4.621072088724584</c:v>
                </c:pt>
                <c:pt idx="18">
                  <c:v>5.2812252442566683</c:v>
                </c:pt>
                <c:pt idx="19">
                  <c:v>5.9413783997887517</c:v>
                </c:pt>
                <c:pt idx="20">
                  <c:v>6.6015315553208342</c:v>
                </c:pt>
                <c:pt idx="21">
                  <c:v>7.2616847108529186</c:v>
                </c:pt>
                <c:pt idx="22">
                  <c:v>7.921837866385002</c:v>
                </c:pt>
                <c:pt idx="23">
                  <c:v>8.5819910219170854</c:v>
                </c:pt>
                <c:pt idx="24">
                  <c:v>9.2421441774491679</c:v>
                </c:pt>
                <c:pt idx="25">
                  <c:v>9.9022973329812523</c:v>
                </c:pt>
                <c:pt idx="26">
                  <c:v>10.562450488513337</c:v>
                </c:pt>
                <c:pt idx="27">
                  <c:v>11.222603644045419</c:v>
                </c:pt>
                <c:pt idx="28">
                  <c:v>11.882756799577503</c:v>
                </c:pt>
                <c:pt idx="29">
                  <c:v>12.542909955109586</c:v>
                </c:pt>
                <c:pt idx="30">
                  <c:v>13.203063110641668</c:v>
                </c:pt>
                <c:pt idx="31">
                  <c:v>13.863216266173753</c:v>
                </c:pt>
              </c:numCache>
            </c:numRef>
          </c:xVal>
          <c:yVal>
            <c:numRef>
              <c:f>'Cu_Multi Shear pmdtn'!$I$159:$I$197</c:f>
              <c:numCache>
                <c:formatCode>0.0</c:formatCode>
                <c:ptCount val="39"/>
                <c:pt idx="0">
                  <c:v>190</c:v>
                </c:pt>
                <c:pt idx="1">
                  <c:v>192.9</c:v>
                </c:pt>
                <c:pt idx="2">
                  <c:v>195.7</c:v>
                </c:pt>
                <c:pt idx="3">
                  <c:v>198.6</c:v>
                </c:pt>
                <c:pt idx="4">
                  <c:v>203.5</c:v>
                </c:pt>
                <c:pt idx="5">
                  <c:v>207.3</c:v>
                </c:pt>
                <c:pt idx="6">
                  <c:v>209.4</c:v>
                </c:pt>
                <c:pt idx="7">
                  <c:v>210.8</c:v>
                </c:pt>
                <c:pt idx="8">
                  <c:v>215.2</c:v>
                </c:pt>
                <c:pt idx="9">
                  <c:v>218</c:v>
                </c:pt>
                <c:pt idx="10">
                  <c:v>221.6</c:v>
                </c:pt>
                <c:pt idx="11">
                  <c:v>223.5</c:v>
                </c:pt>
                <c:pt idx="12">
                  <c:v>224.5</c:v>
                </c:pt>
                <c:pt idx="13">
                  <c:v>226.7</c:v>
                </c:pt>
                <c:pt idx="14">
                  <c:v>230.2</c:v>
                </c:pt>
                <c:pt idx="15">
                  <c:v>231.3</c:v>
                </c:pt>
                <c:pt idx="16">
                  <c:v>233.8</c:v>
                </c:pt>
                <c:pt idx="17">
                  <c:v>236.1</c:v>
                </c:pt>
                <c:pt idx="18">
                  <c:v>237.2</c:v>
                </c:pt>
                <c:pt idx="19">
                  <c:v>238.4</c:v>
                </c:pt>
                <c:pt idx="20">
                  <c:v>238.6</c:v>
                </c:pt>
                <c:pt idx="21">
                  <c:v>238.8</c:v>
                </c:pt>
                <c:pt idx="22">
                  <c:v>238.9</c:v>
                </c:pt>
                <c:pt idx="23">
                  <c:v>238.9</c:v>
                </c:pt>
                <c:pt idx="24">
                  <c:v>239</c:v>
                </c:pt>
                <c:pt idx="25">
                  <c:v>239</c:v>
                </c:pt>
                <c:pt idx="26">
                  <c:v>239</c:v>
                </c:pt>
                <c:pt idx="27">
                  <c:v>239</c:v>
                </c:pt>
                <c:pt idx="28">
                  <c:v>239</c:v>
                </c:pt>
                <c:pt idx="29">
                  <c:v>239</c:v>
                </c:pt>
                <c:pt idx="30">
                  <c:v>239</c:v>
                </c:pt>
                <c:pt idx="31">
                  <c:v>239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6E0-4B74-822A-BBE1CBEC9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3103"/>
        <c:axId val="1"/>
      </c:scatterChart>
      <c:valAx>
        <c:axId val="31293103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  <c:minorUnit val="1"/>
      </c:valAx>
      <c:valAx>
        <c:axId val="1"/>
        <c:scaling>
          <c:orientation val="minMax"/>
          <c:max val="270"/>
          <c:min val="1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cap="non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D" sz="800" cap="none" baseline="0"/>
                  <a:t>Pore pressure (kN/m</a:t>
                </a:r>
                <a:r>
                  <a:rPr lang="en-ID" sz="800" cap="none" baseline="30000"/>
                  <a:t>2</a:t>
                </a:r>
                <a:r>
                  <a:rPr lang="en-ID" sz="800" cap="none" baseline="0"/>
                  <a:t>)</a:t>
                </a:r>
              </a:p>
            </c:rich>
          </c:tx>
          <c:layout>
            <c:manualLayout>
              <c:xMode val="edge"/>
              <c:yMode val="edge"/>
              <c:x val="8.771929824561403E-3"/>
              <c:y val="0.2116792152805716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0" i="0" u="none" strike="noStrike" kern="1200" cap="none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1293103"/>
        <c:crosses val="autoZero"/>
        <c:crossBetween val="midCat"/>
        <c:majorUnit val="20"/>
        <c:min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ptos" panose="020B0004020202020204" pitchFamily="34" charset="0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810402298850574"/>
          <c:y val="5.2980132450331126E-2"/>
          <c:w val="0.85371685823754784"/>
          <c:h val="0.74687010825685052"/>
        </c:manualLayout>
      </c:layout>
      <c:scatterChart>
        <c:scatterStyle val="lineMarker"/>
        <c:varyColors val="0"/>
        <c:ser>
          <c:idx val="0"/>
          <c:order val="0"/>
          <c:spPr>
            <a:ln w="19050" cap="flat" cmpd="sng" algn="ctr">
              <a:solidFill>
                <a:schemeClr val="accent1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 pmdtn'!$E$25:$E$63</c:f>
              <c:numCache>
                <c:formatCode>0.00</c:formatCode>
                <c:ptCount val="39"/>
                <c:pt idx="0">
                  <c:v>0</c:v>
                </c:pt>
                <c:pt idx="1">
                  <c:v>0.13203063110641672</c:v>
                </c:pt>
                <c:pt idx="2">
                  <c:v>0.26406126221283344</c:v>
                </c:pt>
                <c:pt idx="3">
                  <c:v>0.52812252442566687</c:v>
                </c:pt>
                <c:pt idx="4">
                  <c:v>0.79218378663850009</c:v>
                </c:pt>
                <c:pt idx="5">
                  <c:v>1.0562450488513337</c:v>
                </c:pt>
                <c:pt idx="6">
                  <c:v>1.3203063110641671</c:v>
                </c:pt>
                <c:pt idx="7">
                  <c:v>1.5843675732770002</c:v>
                </c:pt>
                <c:pt idx="8">
                  <c:v>1.8484288354898337</c:v>
                </c:pt>
                <c:pt idx="9">
                  <c:v>2.1124900977026675</c:v>
                </c:pt>
                <c:pt idx="10">
                  <c:v>2.3765513599155006</c:v>
                </c:pt>
                <c:pt idx="11">
                  <c:v>2.6406126221283341</c:v>
                </c:pt>
                <c:pt idx="12">
                  <c:v>2.9046738843411677</c:v>
                </c:pt>
                <c:pt idx="13">
                  <c:v>3.1687351465540003</c:v>
                </c:pt>
                <c:pt idx="14">
                  <c:v>3.4327964087668339</c:v>
                </c:pt>
                <c:pt idx="15">
                  <c:v>3.6968576709796674</c:v>
                </c:pt>
                <c:pt idx="16">
                  <c:v>3.960918933192501</c:v>
                </c:pt>
                <c:pt idx="17">
                  <c:v>4.621072088724584</c:v>
                </c:pt>
                <c:pt idx="18">
                  <c:v>5.2812252442566683</c:v>
                </c:pt>
                <c:pt idx="19">
                  <c:v>5.9413783997887517</c:v>
                </c:pt>
                <c:pt idx="20">
                  <c:v>6.6015315553208342</c:v>
                </c:pt>
                <c:pt idx="21">
                  <c:v>7.2616847108529186</c:v>
                </c:pt>
                <c:pt idx="22">
                  <c:v>7.921837866385002</c:v>
                </c:pt>
                <c:pt idx="23">
                  <c:v>8.5819910219170854</c:v>
                </c:pt>
                <c:pt idx="24">
                  <c:v>9.2421441774491679</c:v>
                </c:pt>
                <c:pt idx="25">
                  <c:v>9.9022973329812523</c:v>
                </c:pt>
                <c:pt idx="26">
                  <c:v>10.562450488513337</c:v>
                </c:pt>
              </c:numCache>
            </c:numRef>
          </c:xVal>
          <c:yVal>
            <c:numRef>
              <c:f>'Cu_Multi Shear pmdtn'!$K$25:$K$63</c:f>
              <c:numCache>
                <c:formatCode>0.00</c:formatCode>
                <c:ptCount val="39"/>
                <c:pt idx="0" formatCode="General">
                  <c:v>0</c:v>
                </c:pt>
                <c:pt idx="1">
                  <c:v>13.571525050738877</c:v>
                </c:pt>
                <c:pt idx="2">
                  <c:v>21.433572786218498</c:v>
                </c:pt>
                <c:pt idx="3">
                  <c:v>38.457327643121729</c:v>
                </c:pt>
                <c:pt idx="4">
                  <c:v>59.257274404789563</c:v>
                </c:pt>
                <c:pt idx="5">
                  <c:v>85.261783828471451</c:v>
                </c:pt>
                <c:pt idx="6">
                  <c:v>100.31545077990766</c:v>
                </c:pt>
                <c:pt idx="7">
                  <c:v>111.03663233114663</c:v>
                </c:pt>
                <c:pt idx="8">
                  <c:v>122.83621321919112</c:v>
                </c:pt>
                <c:pt idx="9">
                  <c:v>129.20849707088766</c:v>
                </c:pt>
                <c:pt idx="10">
                  <c:v>132.6650664002687</c:v>
                </c:pt>
                <c:pt idx="11">
                  <c:v>139.07537671502439</c:v>
                </c:pt>
                <c:pt idx="12">
                  <c:v>144.52840489865082</c:v>
                </c:pt>
                <c:pt idx="13">
                  <c:v>148.01159553391886</c:v>
                </c:pt>
                <c:pt idx="14">
                  <c:v>151.47364490223384</c:v>
                </c:pt>
                <c:pt idx="15">
                  <c:v>153.18989851698061</c:v>
                </c:pt>
                <c:pt idx="16">
                  <c:v>156.10853387223045</c:v>
                </c:pt>
                <c:pt idx="17">
                  <c:v>166.79124388110603</c:v>
                </c:pt>
                <c:pt idx="18">
                  <c:v>180.90334556434524</c:v>
                </c:pt>
                <c:pt idx="19">
                  <c:v>194.50538636488358</c:v>
                </c:pt>
                <c:pt idx="20">
                  <c:v>202.29054665054943</c:v>
                </c:pt>
                <c:pt idx="21">
                  <c:v>206.42933910101686</c:v>
                </c:pt>
                <c:pt idx="22">
                  <c:v>214.36883063544053</c:v>
                </c:pt>
                <c:pt idx="23">
                  <c:v>216.58777350691122</c:v>
                </c:pt>
                <c:pt idx="24">
                  <c:v>211.58182748443053</c:v>
                </c:pt>
                <c:pt idx="25">
                  <c:v>206.05647391385918</c:v>
                </c:pt>
                <c:pt idx="26">
                  <c:v>197.10348116868477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25-4EAA-A7F5-957E7FFBD154}"/>
            </c:ext>
          </c:extLst>
        </c:ser>
        <c:ser>
          <c:idx val="2"/>
          <c:order val="1"/>
          <c:spPr>
            <a:ln w="19050" cap="flat" cmpd="sng" algn="ctr">
              <a:solidFill>
                <a:schemeClr val="accent3">
                  <a:alpha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'Cu_Multi Shear pmdtn'!$E$159:$E$197</c:f>
              <c:numCache>
                <c:formatCode>0.00</c:formatCode>
                <c:ptCount val="39"/>
                <c:pt idx="0">
                  <c:v>0</c:v>
                </c:pt>
                <c:pt idx="1">
                  <c:v>0.13203063110641672</c:v>
                </c:pt>
                <c:pt idx="2">
                  <c:v>0.26406126221283344</c:v>
                </c:pt>
                <c:pt idx="3">
                  <c:v>0.52812252442566687</c:v>
                </c:pt>
                <c:pt idx="4">
                  <c:v>0.79218378663850009</c:v>
                </c:pt>
                <c:pt idx="5">
                  <c:v>1.0562450488513337</c:v>
                </c:pt>
                <c:pt idx="6">
                  <c:v>1.3203063110641671</c:v>
                </c:pt>
                <c:pt idx="7">
                  <c:v>1.5843675732770002</c:v>
                </c:pt>
                <c:pt idx="8">
                  <c:v>1.8484288354898337</c:v>
                </c:pt>
                <c:pt idx="9">
                  <c:v>2.1124900977026675</c:v>
                </c:pt>
                <c:pt idx="10">
                  <c:v>2.3765513599155006</c:v>
                </c:pt>
                <c:pt idx="11">
                  <c:v>2.6406126221283341</c:v>
                </c:pt>
                <c:pt idx="12">
                  <c:v>2.9046738843411677</c:v>
                </c:pt>
                <c:pt idx="13">
                  <c:v>3.1687351465540003</c:v>
                </c:pt>
                <c:pt idx="14">
                  <c:v>3.4327964087668339</c:v>
                </c:pt>
                <c:pt idx="15">
                  <c:v>3.6968576709796674</c:v>
                </c:pt>
                <c:pt idx="16">
                  <c:v>3.960918933192501</c:v>
                </c:pt>
                <c:pt idx="17">
                  <c:v>4.621072088724584</c:v>
                </c:pt>
                <c:pt idx="18">
                  <c:v>5.2812252442566683</c:v>
                </c:pt>
                <c:pt idx="19">
                  <c:v>5.9413783997887517</c:v>
                </c:pt>
                <c:pt idx="20">
                  <c:v>6.6015315553208342</c:v>
                </c:pt>
                <c:pt idx="21">
                  <c:v>7.2616847108529186</c:v>
                </c:pt>
                <c:pt idx="22">
                  <c:v>7.921837866385002</c:v>
                </c:pt>
                <c:pt idx="23">
                  <c:v>8.5819910219170854</c:v>
                </c:pt>
                <c:pt idx="24">
                  <c:v>9.2421441774491679</c:v>
                </c:pt>
                <c:pt idx="25">
                  <c:v>9.9022973329812523</c:v>
                </c:pt>
                <c:pt idx="26">
                  <c:v>10.562450488513337</c:v>
                </c:pt>
                <c:pt idx="27">
                  <c:v>11.222603644045419</c:v>
                </c:pt>
                <c:pt idx="28">
                  <c:v>11.882756799577503</c:v>
                </c:pt>
                <c:pt idx="29">
                  <c:v>12.542909955109586</c:v>
                </c:pt>
                <c:pt idx="30">
                  <c:v>13.203063110641668</c:v>
                </c:pt>
                <c:pt idx="31">
                  <c:v>13.863216266173753</c:v>
                </c:pt>
              </c:numCache>
            </c:numRef>
          </c:xVal>
          <c:yVal>
            <c:numRef>
              <c:f>'Cu_Multi Shear pmdtn'!$K$159:$K$197</c:f>
              <c:numCache>
                <c:formatCode>0.00</c:formatCode>
                <c:ptCount val="39"/>
                <c:pt idx="0" formatCode="General">
                  <c:v>0</c:v>
                </c:pt>
                <c:pt idx="1">
                  <c:v>41.495673702190771</c:v>
                </c:pt>
                <c:pt idx="2">
                  <c:v>98.991612606589186</c:v>
                </c:pt>
                <c:pt idx="3">
                  <c:v>159.61625081155083</c:v>
                </c:pt>
                <c:pt idx="4">
                  <c:v>214.75177500093272</c:v>
                </c:pt>
                <c:pt idx="5">
                  <c:v>349.606807673589</c:v>
                </c:pt>
                <c:pt idx="6">
                  <c:v>413.37504561795106</c:v>
                </c:pt>
                <c:pt idx="7">
                  <c:v>449.81441955809493</c:v>
                </c:pt>
                <c:pt idx="8">
                  <c:v>478.33388755369941</c:v>
                </c:pt>
                <c:pt idx="9">
                  <c:v>506.17329503099705</c:v>
                </c:pt>
                <c:pt idx="10">
                  <c:v>538.42020180639361</c:v>
                </c:pt>
                <c:pt idx="11">
                  <c:v>569.96796652222281</c:v>
                </c:pt>
                <c:pt idx="12">
                  <c:v>592.25680619664581</c:v>
                </c:pt>
                <c:pt idx="13">
                  <c:v>608.96230271497018</c:v>
                </c:pt>
                <c:pt idx="14">
                  <c:v>625.05480472030047</c:v>
                </c:pt>
                <c:pt idx="15">
                  <c:v>641.15255414947717</c:v>
                </c:pt>
                <c:pt idx="16">
                  <c:v>656.03001095395359</c:v>
                </c:pt>
                <c:pt idx="17">
                  <c:v>681.420807710085</c:v>
                </c:pt>
                <c:pt idx="18">
                  <c:v>693.71515698859878</c:v>
                </c:pt>
                <c:pt idx="19">
                  <c:v>706.17220446744841</c:v>
                </c:pt>
                <c:pt idx="20">
                  <c:v>716.10372577719806</c:v>
                </c:pt>
                <c:pt idx="21">
                  <c:v>719.81320545933329</c:v>
                </c:pt>
                <c:pt idx="22">
                  <c:v>724.86554860767762</c:v>
                </c:pt>
                <c:pt idx="23">
                  <c:v>737.8352160802732</c:v>
                </c:pt>
                <c:pt idx="24">
                  <c:v>752.76076959316219</c:v>
                </c:pt>
                <c:pt idx="25">
                  <c:v>772.27464806868397</c:v>
                </c:pt>
                <c:pt idx="26">
                  <c:v>791.80250096706982</c:v>
                </c:pt>
                <c:pt idx="27">
                  <c:v>796.05260561085993</c:v>
                </c:pt>
                <c:pt idx="28">
                  <c:v>800.43350299555448</c:v>
                </c:pt>
                <c:pt idx="29">
                  <c:v>794.80860136503429</c:v>
                </c:pt>
                <c:pt idx="30">
                  <c:v>789.82374513835384</c:v>
                </c:pt>
                <c:pt idx="31">
                  <c:v>783.90810255342149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25-4EAA-A7F5-957E7FFBD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5215"/>
        <c:axId val="1"/>
      </c:scatterChart>
      <c:valAx>
        <c:axId val="31275215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D" cap="none" baseline="0"/>
                  <a:t>Strain ( % )</a:t>
                </a:r>
              </a:p>
            </c:rich>
          </c:tx>
          <c:layout>
            <c:manualLayout>
              <c:xMode val="edge"/>
              <c:yMode val="edge"/>
              <c:x val="0.4525526193056888"/>
              <c:y val="0.917920305581120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crossBetween val="midCat"/>
        <c:minorUnit val="1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r>
                  <a:rPr lang="en-ID" sz="800" cap="none" baseline="0"/>
                  <a:t>Deviator stress (kN/m</a:t>
                </a:r>
                <a:r>
                  <a:rPr lang="en-ID" sz="800" cap="none" baseline="30000"/>
                  <a:t>2</a:t>
                </a:r>
                <a:r>
                  <a:rPr lang="en-ID" sz="800" cap="none" baseline="0"/>
                  <a:t>)</a:t>
                </a:r>
              </a:p>
            </c:rich>
          </c:tx>
          <c:layout>
            <c:manualLayout>
              <c:xMode val="edge"/>
              <c:yMode val="edge"/>
              <c:x val="8.8183421516754845E-3"/>
              <c:y val="0.21192052980132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en-US"/>
          </a:p>
        </c:txPr>
        <c:crossAx val="31275215"/>
        <c:crosses val="autoZero"/>
        <c:crossBetween val="midCat"/>
        <c:majorUnit val="100"/>
        <c:minorUnit val="5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900">
          <a:latin typeface="Aptos" panose="020B0004020202020204" pitchFamily="34" charset="0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1"/>
            </a:pPr>
            <a:r>
              <a:rPr lang="en-ID" b="1"/>
              <a:t>MOHR CIRCLES</a:t>
            </a:r>
          </a:p>
        </c:rich>
      </c:tx>
      <c:layout>
        <c:manualLayout>
          <c:xMode val="edge"/>
          <c:yMode val="edge"/>
          <c:x val="0.39528456542083457"/>
          <c:y val="5.413954459011073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04389628323686"/>
          <c:y val="8.1081081081081086E-2"/>
          <c:w val="0.85093312909961749"/>
          <c:h val="0.79325831552299042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'Cu_Multi Graph pmdtn'!$AH$11:$AH$33</c:f>
              <c:numCache>
                <c:formatCode>0</c:formatCode>
                <c:ptCount val="23"/>
                <c:pt idx="0">
                  <c:v>50</c:v>
                </c:pt>
                <c:pt idx="1">
                  <c:v>50.433175547013825</c:v>
                </c:pt>
                <c:pt idx="2">
                  <c:v>52.16587773506911</c:v>
                </c:pt>
                <c:pt idx="3">
                  <c:v>53.248816602603668</c:v>
                </c:pt>
                <c:pt idx="4">
                  <c:v>55.414694337672778</c:v>
                </c:pt>
                <c:pt idx="5">
                  <c:v>60.829388675345562</c:v>
                </c:pt>
                <c:pt idx="6">
                  <c:v>66.24408301301834</c:v>
                </c:pt>
                <c:pt idx="7">
                  <c:v>71.658777350691125</c:v>
                </c:pt>
                <c:pt idx="8">
                  <c:v>93.31755470138225</c:v>
                </c:pt>
                <c:pt idx="9">
                  <c:v>114.97633205207336</c:v>
                </c:pt>
                <c:pt idx="10">
                  <c:v>136.6351094027645</c:v>
                </c:pt>
                <c:pt idx="11">
                  <c:v>158.29388675345561</c:v>
                </c:pt>
                <c:pt idx="12">
                  <c:v>179.95266410414672</c:v>
                </c:pt>
                <c:pt idx="13">
                  <c:v>201.61144145483786</c:v>
                </c:pt>
                <c:pt idx="14">
                  <c:v>223.27021880552897</c:v>
                </c:pt>
                <c:pt idx="15">
                  <c:v>244.92899615622008</c:v>
                </c:pt>
                <c:pt idx="16">
                  <c:v>250.34369049389286</c:v>
                </c:pt>
                <c:pt idx="17">
                  <c:v>255.75838483156565</c:v>
                </c:pt>
                <c:pt idx="18">
                  <c:v>261.17307916923846</c:v>
                </c:pt>
                <c:pt idx="19">
                  <c:v>263.33895690430757</c:v>
                </c:pt>
                <c:pt idx="20">
                  <c:v>264.42189577184212</c:v>
                </c:pt>
                <c:pt idx="21">
                  <c:v>266.15459795989739</c:v>
                </c:pt>
                <c:pt idx="22">
                  <c:v>266.58777350691122</c:v>
                </c:pt>
              </c:numCache>
            </c:numRef>
          </c:xVal>
          <c:yVal>
            <c:numRef>
              <c:f>'Cu_Multi Graph pmdtn'!$AI$11:$AI$33</c:f>
              <c:numCache>
                <c:formatCode>0.00</c:formatCode>
                <c:ptCount val="23"/>
                <c:pt idx="0" formatCode="0">
                  <c:v>0</c:v>
                </c:pt>
                <c:pt idx="1">
                  <c:v>9.6764087455435241</c:v>
                </c:pt>
                <c:pt idx="2">
                  <c:v>21.550211367027117</c:v>
                </c:pt>
                <c:pt idx="3">
                  <c:v>26.326776201670878</c:v>
                </c:pt>
                <c:pt idx="4">
                  <c:v>33.81475530070567</c:v>
                </c:pt>
                <c:pt idx="5">
                  <c:v>47.204210856155093</c:v>
                </c:pt>
                <c:pt idx="6">
                  <c:v>57.047344719252706</c:v>
                </c:pt>
                <c:pt idx="7">
                  <c:v>64.976332052073374</c:v>
                </c:pt>
                <c:pt idx="8">
                  <c:v>86.635109402764499</c:v>
                </c:pt>
                <c:pt idx="9">
                  <c:v>99.252986669737169</c:v>
                </c:pt>
                <c:pt idx="10">
                  <c:v>106.10590592348504</c:v>
                </c:pt>
                <c:pt idx="11">
                  <c:v>108.29388675345561</c:v>
                </c:pt>
                <c:pt idx="12">
                  <c:v>106.10590592348504</c:v>
                </c:pt>
                <c:pt idx="13">
                  <c:v>99.252986669737169</c:v>
                </c:pt>
                <c:pt idx="14">
                  <c:v>86.635109402764499</c:v>
                </c:pt>
                <c:pt idx="15">
                  <c:v>64.976332052073388</c:v>
                </c:pt>
                <c:pt idx="16">
                  <c:v>57.04734471925272</c:v>
                </c:pt>
                <c:pt idx="17">
                  <c:v>47.204210856155129</c:v>
                </c:pt>
                <c:pt idx="18">
                  <c:v>33.81475530070567</c:v>
                </c:pt>
                <c:pt idx="19">
                  <c:v>26.326776201670913</c:v>
                </c:pt>
                <c:pt idx="20">
                  <c:v>21.550211367027035</c:v>
                </c:pt>
                <c:pt idx="21">
                  <c:v>9.6764087455436183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73B-49AF-A97E-B27D227B5ED5}"/>
            </c:ext>
          </c:extLst>
        </c:ser>
        <c:ser>
          <c:idx val="2"/>
          <c:order val="1"/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'Cu_Multi Graph pmdtn'!$AR$11:$AR$33</c:f>
              <c:numCache>
                <c:formatCode>0</c:formatCode>
                <c:ptCount val="23"/>
                <c:pt idx="0">
                  <c:v>200</c:v>
                </c:pt>
                <c:pt idx="1">
                  <c:v>201.60086700599112</c:v>
                </c:pt>
                <c:pt idx="2">
                  <c:v>208.00433502995554</c:v>
                </c:pt>
                <c:pt idx="3">
                  <c:v>212.00650254493331</c:v>
                </c:pt>
                <c:pt idx="4">
                  <c:v>220.01083757488885</c:v>
                </c:pt>
                <c:pt idx="5">
                  <c:v>240.02167514977771</c:v>
                </c:pt>
                <c:pt idx="6">
                  <c:v>260.03251272466656</c:v>
                </c:pt>
                <c:pt idx="7">
                  <c:v>280.04335029955541</c:v>
                </c:pt>
                <c:pt idx="8">
                  <c:v>360.08670059911088</c:v>
                </c:pt>
                <c:pt idx="9">
                  <c:v>440.13005089866635</c:v>
                </c:pt>
                <c:pt idx="10">
                  <c:v>520.17340119822177</c:v>
                </c:pt>
                <c:pt idx="11">
                  <c:v>600.21675149777718</c:v>
                </c:pt>
                <c:pt idx="12">
                  <c:v>680.26010179733271</c:v>
                </c:pt>
                <c:pt idx="13">
                  <c:v>760.30345209688812</c:v>
                </c:pt>
                <c:pt idx="14">
                  <c:v>840.34680239644354</c:v>
                </c:pt>
                <c:pt idx="15">
                  <c:v>920.39015269599895</c:v>
                </c:pt>
                <c:pt idx="16">
                  <c:v>940.40099027088786</c:v>
                </c:pt>
                <c:pt idx="17">
                  <c:v>960.41182784577666</c:v>
                </c:pt>
                <c:pt idx="18">
                  <c:v>980.42266542066557</c:v>
                </c:pt>
                <c:pt idx="19">
                  <c:v>988.42700045062111</c:v>
                </c:pt>
                <c:pt idx="20">
                  <c:v>992.42916796559894</c:v>
                </c:pt>
                <c:pt idx="21">
                  <c:v>998.8326359895633</c:v>
                </c:pt>
                <c:pt idx="22">
                  <c:v>1000.4335029955544</c:v>
                </c:pt>
              </c:numCache>
            </c:numRef>
          </c:xVal>
          <c:yVal>
            <c:numRef>
              <c:f>'Cu_Multi Graph pmdtn'!$AS$11:$AS$33</c:f>
              <c:numCache>
                <c:formatCode>0.00</c:formatCode>
                <c:ptCount val="23"/>
                <c:pt idx="0" formatCode="0">
                  <c:v>0</c:v>
                </c:pt>
                <c:pt idx="1">
                  <c:v>35.76066009268569</c:v>
                </c:pt>
                <c:pt idx="2">
                  <c:v>79.642127971982177</c:v>
                </c:pt>
                <c:pt idx="3">
                  <c:v>97.294659603724085</c:v>
                </c:pt>
                <c:pt idx="4">
                  <c:v>124.9676406014564</c:v>
                </c:pt>
                <c:pt idx="5">
                  <c:v>174.45043752909413</c:v>
                </c:pt>
                <c:pt idx="6">
                  <c:v>210.82725599360441</c:v>
                </c:pt>
                <c:pt idx="7">
                  <c:v>240.13005089866638</c:v>
                </c:pt>
                <c:pt idx="8">
                  <c:v>320.17340119822177</c:v>
                </c:pt>
                <c:pt idx="9">
                  <c:v>366.80471162557905</c:v>
                </c:pt>
                <c:pt idx="10">
                  <c:v>392.1307310735238</c:v>
                </c:pt>
                <c:pt idx="11">
                  <c:v>400.21675149777724</c:v>
                </c:pt>
                <c:pt idx="12">
                  <c:v>392.1307310735238</c:v>
                </c:pt>
                <c:pt idx="13">
                  <c:v>366.80471162557905</c:v>
                </c:pt>
                <c:pt idx="14">
                  <c:v>320.17340119822182</c:v>
                </c:pt>
                <c:pt idx="15">
                  <c:v>240.13005089866647</c:v>
                </c:pt>
                <c:pt idx="16">
                  <c:v>210.82725599360452</c:v>
                </c:pt>
                <c:pt idx="17">
                  <c:v>174.45043752909439</c:v>
                </c:pt>
                <c:pt idx="18">
                  <c:v>124.96764060145664</c:v>
                </c:pt>
                <c:pt idx="19">
                  <c:v>97.294659603724241</c:v>
                </c:pt>
                <c:pt idx="20">
                  <c:v>79.642127971982177</c:v>
                </c:pt>
                <c:pt idx="21">
                  <c:v>35.760660092686507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73B-49AF-A97E-B27D227B5ED5}"/>
            </c:ext>
          </c:extLst>
        </c:ser>
        <c:ser>
          <c:idx val="3"/>
          <c:order val="2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'Cu_Multi Graph pmdtn'!$AH$38:$AH$60</c:f>
              <c:numCache>
                <c:formatCode>0</c:formatCode>
                <c:ptCount val="23"/>
                <c:pt idx="0">
                  <c:v>38</c:v>
                </c:pt>
                <c:pt idx="1">
                  <c:v>38.433175547013825</c:v>
                </c:pt>
                <c:pt idx="2">
                  <c:v>40.16587773506911</c:v>
                </c:pt>
                <c:pt idx="3">
                  <c:v>41.248816602603668</c:v>
                </c:pt>
                <c:pt idx="4">
                  <c:v>43.414694337672778</c:v>
                </c:pt>
                <c:pt idx="5">
                  <c:v>48.829388675345562</c:v>
                </c:pt>
                <c:pt idx="6">
                  <c:v>54.24408301301834</c:v>
                </c:pt>
                <c:pt idx="7">
                  <c:v>59.658777350691125</c:v>
                </c:pt>
                <c:pt idx="8">
                  <c:v>81.31755470138225</c:v>
                </c:pt>
                <c:pt idx="9">
                  <c:v>102.97633205207336</c:v>
                </c:pt>
                <c:pt idx="10">
                  <c:v>124.63510940276448</c:v>
                </c:pt>
                <c:pt idx="11">
                  <c:v>146.29388675345561</c:v>
                </c:pt>
                <c:pt idx="12">
                  <c:v>167.95266410414672</c:v>
                </c:pt>
                <c:pt idx="13">
                  <c:v>189.61144145483786</c:v>
                </c:pt>
                <c:pt idx="14">
                  <c:v>211.27021880552897</c:v>
                </c:pt>
                <c:pt idx="15">
                  <c:v>232.92899615622008</c:v>
                </c:pt>
                <c:pt idx="16">
                  <c:v>238.34369049389286</c:v>
                </c:pt>
                <c:pt idx="17">
                  <c:v>243.75838483156565</c:v>
                </c:pt>
                <c:pt idx="18">
                  <c:v>249.17307916923843</c:v>
                </c:pt>
                <c:pt idx="19">
                  <c:v>251.33895690430754</c:v>
                </c:pt>
                <c:pt idx="20">
                  <c:v>252.42189577184212</c:v>
                </c:pt>
                <c:pt idx="21">
                  <c:v>254.15459795989739</c:v>
                </c:pt>
                <c:pt idx="22">
                  <c:v>254.58777350691122</c:v>
                </c:pt>
              </c:numCache>
            </c:numRef>
          </c:xVal>
          <c:yVal>
            <c:numRef>
              <c:f>'Cu_Multi Graph pmdtn'!$AI$38:$AI$60</c:f>
              <c:numCache>
                <c:formatCode>0.00</c:formatCode>
                <c:ptCount val="23"/>
                <c:pt idx="0" formatCode="0">
                  <c:v>0</c:v>
                </c:pt>
                <c:pt idx="1">
                  <c:v>9.6764087455435241</c:v>
                </c:pt>
                <c:pt idx="2">
                  <c:v>21.550211367027117</c:v>
                </c:pt>
                <c:pt idx="3">
                  <c:v>26.326776201670878</c:v>
                </c:pt>
                <c:pt idx="4">
                  <c:v>33.81475530070567</c:v>
                </c:pt>
                <c:pt idx="5">
                  <c:v>47.204210856155093</c:v>
                </c:pt>
                <c:pt idx="6">
                  <c:v>57.047344719252706</c:v>
                </c:pt>
                <c:pt idx="7">
                  <c:v>64.976332052073374</c:v>
                </c:pt>
                <c:pt idx="8">
                  <c:v>86.635109402764499</c:v>
                </c:pt>
                <c:pt idx="9">
                  <c:v>99.252986669737169</c:v>
                </c:pt>
                <c:pt idx="10">
                  <c:v>106.10590592348504</c:v>
                </c:pt>
                <c:pt idx="11">
                  <c:v>108.29388675345561</c:v>
                </c:pt>
                <c:pt idx="12">
                  <c:v>106.10590592348504</c:v>
                </c:pt>
                <c:pt idx="13">
                  <c:v>99.252986669737169</c:v>
                </c:pt>
                <c:pt idx="14">
                  <c:v>86.635109402764499</c:v>
                </c:pt>
                <c:pt idx="15">
                  <c:v>64.976332052073388</c:v>
                </c:pt>
                <c:pt idx="16">
                  <c:v>57.04734471925272</c:v>
                </c:pt>
                <c:pt idx="17">
                  <c:v>47.204210856155129</c:v>
                </c:pt>
                <c:pt idx="18">
                  <c:v>33.81475530070567</c:v>
                </c:pt>
                <c:pt idx="19">
                  <c:v>26.326776201670913</c:v>
                </c:pt>
                <c:pt idx="20">
                  <c:v>21.550211367027035</c:v>
                </c:pt>
                <c:pt idx="21">
                  <c:v>9.6764087455436183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73B-49AF-A97E-B27D227B5ED5}"/>
            </c:ext>
          </c:extLst>
        </c:ser>
        <c:ser>
          <c:idx val="5"/>
          <c:order val="3"/>
          <c:spPr>
            <a:ln w="12700">
              <a:solidFill>
                <a:srgbClr val="FF0000"/>
              </a:solidFill>
              <a:prstDash val="sysDash"/>
            </a:ln>
          </c:spPr>
          <c:marker>
            <c:symbol val="none"/>
          </c:marker>
          <c:xVal>
            <c:numRef>
              <c:f>'Cu_Multi Graph pmdtn'!$AR$38:$AR$60</c:f>
              <c:numCache>
                <c:formatCode>0</c:formatCode>
                <c:ptCount val="23"/>
                <c:pt idx="0">
                  <c:v>151</c:v>
                </c:pt>
                <c:pt idx="1">
                  <c:v>152.60086700599112</c:v>
                </c:pt>
                <c:pt idx="2">
                  <c:v>159.00433502995554</c:v>
                </c:pt>
                <c:pt idx="3">
                  <c:v>163.00650254493331</c:v>
                </c:pt>
                <c:pt idx="4">
                  <c:v>171.01083757488885</c:v>
                </c:pt>
                <c:pt idx="5">
                  <c:v>191.02167514977774</c:v>
                </c:pt>
                <c:pt idx="6">
                  <c:v>211.03251272466659</c:v>
                </c:pt>
                <c:pt idx="7">
                  <c:v>231.04335029955547</c:v>
                </c:pt>
                <c:pt idx="8">
                  <c:v>311.08670059911094</c:v>
                </c:pt>
                <c:pt idx="9">
                  <c:v>391.13005089866635</c:v>
                </c:pt>
                <c:pt idx="10">
                  <c:v>471.17340119822182</c:v>
                </c:pt>
                <c:pt idx="11">
                  <c:v>551.2167514977773</c:v>
                </c:pt>
                <c:pt idx="12">
                  <c:v>631.26010179733271</c:v>
                </c:pt>
                <c:pt idx="13">
                  <c:v>711.30345209688824</c:v>
                </c:pt>
                <c:pt idx="14">
                  <c:v>791.34680239644365</c:v>
                </c:pt>
                <c:pt idx="15">
                  <c:v>871.39015269599906</c:v>
                </c:pt>
                <c:pt idx="16">
                  <c:v>891.40099027088797</c:v>
                </c:pt>
                <c:pt idx="17">
                  <c:v>911.41182784577688</c:v>
                </c:pt>
                <c:pt idx="18">
                  <c:v>931.42266542066568</c:v>
                </c:pt>
                <c:pt idx="19">
                  <c:v>939.42700045062122</c:v>
                </c:pt>
                <c:pt idx="20">
                  <c:v>943.42916796559905</c:v>
                </c:pt>
                <c:pt idx="21">
                  <c:v>949.83263598956353</c:v>
                </c:pt>
                <c:pt idx="22">
                  <c:v>951.43350299555459</c:v>
                </c:pt>
              </c:numCache>
            </c:numRef>
          </c:xVal>
          <c:yVal>
            <c:numRef>
              <c:f>'Cu_Multi Graph pmdtn'!$AS$38:$AS$60</c:f>
              <c:numCache>
                <c:formatCode>0.00</c:formatCode>
                <c:ptCount val="23"/>
                <c:pt idx="0" formatCode="0">
                  <c:v>0</c:v>
                </c:pt>
                <c:pt idx="1">
                  <c:v>35.76066009268569</c:v>
                </c:pt>
                <c:pt idx="2">
                  <c:v>79.642127971981992</c:v>
                </c:pt>
                <c:pt idx="3">
                  <c:v>97.294659603723943</c:v>
                </c:pt>
                <c:pt idx="4">
                  <c:v>124.9676406014564</c:v>
                </c:pt>
                <c:pt idx="5">
                  <c:v>174.45043752909413</c:v>
                </c:pt>
                <c:pt idx="6">
                  <c:v>210.82725599360447</c:v>
                </c:pt>
                <c:pt idx="7">
                  <c:v>240.13005089866638</c:v>
                </c:pt>
                <c:pt idx="8">
                  <c:v>320.17340119822182</c:v>
                </c:pt>
                <c:pt idx="9">
                  <c:v>366.8047116255791</c:v>
                </c:pt>
                <c:pt idx="10">
                  <c:v>392.1307310735238</c:v>
                </c:pt>
                <c:pt idx="11">
                  <c:v>400.2167514977773</c:v>
                </c:pt>
                <c:pt idx="12">
                  <c:v>392.1307310735238</c:v>
                </c:pt>
                <c:pt idx="13">
                  <c:v>366.8047116255791</c:v>
                </c:pt>
                <c:pt idx="14">
                  <c:v>320.17340119822182</c:v>
                </c:pt>
                <c:pt idx="15">
                  <c:v>240.13005089866644</c:v>
                </c:pt>
                <c:pt idx="16">
                  <c:v>210.82725599360447</c:v>
                </c:pt>
                <c:pt idx="17">
                  <c:v>174.45043752909413</c:v>
                </c:pt>
                <c:pt idx="18">
                  <c:v>124.96764060145651</c:v>
                </c:pt>
                <c:pt idx="19">
                  <c:v>97.294659603724241</c:v>
                </c:pt>
                <c:pt idx="20">
                  <c:v>79.642127971981992</c:v>
                </c:pt>
                <c:pt idx="21">
                  <c:v>35.76066009268488</c:v>
                </c:pt>
                <c:pt idx="2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73B-49AF-A97E-B27D227B5ED5}"/>
            </c:ext>
          </c:extLst>
        </c:ser>
        <c:ser>
          <c:idx val="6"/>
          <c:order val="4"/>
          <c:tx>
            <c:v>Total</c:v>
          </c:tx>
          <c:spPr>
            <a:ln w="19050">
              <a:noFill/>
            </a:ln>
          </c:spPr>
          <c:marker>
            <c:symbol val="none"/>
          </c:marker>
          <c:trendline>
            <c:trendlineType val="linear"/>
            <c:forward val="250"/>
            <c:dispRSqr val="0"/>
            <c:dispEq val="0"/>
          </c:trendline>
          <c:xVal>
            <c:numRef>
              <c:f>'Cu_Multi Graph pmdtn'!$I$79:$I$80</c:f>
              <c:numCache>
                <c:formatCode>0</c:formatCode>
                <c:ptCount val="2"/>
                <c:pt idx="0" formatCode="General">
                  <c:v>0</c:v>
                </c:pt>
                <c:pt idx="1">
                  <c:v>600.2167514977773</c:v>
                </c:pt>
              </c:numCache>
            </c:numRef>
          </c:xVal>
          <c:yVal>
            <c:numRef>
              <c:f>'Cu_Multi Graph pmdtn'!$J$79:$J$80</c:f>
              <c:numCache>
                <c:formatCode>0</c:formatCode>
                <c:ptCount val="2"/>
                <c:pt idx="0">
                  <c:v>4.2216669731276255</c:v>
                </c:pt>
                <c:pt idx="1">
                  <c:v>407.21675149777724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73B-49AF-A97E-B27D227B5ED5}"/>
            </c:ext>
          </c:extLst>
        </c:ser>
        <c:ser>
          <c:idx val="7"/>
          <c:order val="5"/>
          <c:tx>
            <c:v>Efective</c:v>
          </c:tx>
          <c:spPr>
            <a:ln w="19050">
              <a:noFill/>
            </a:ln>
          </c:spPr>
          <c:marker>
            <c:symbol val="none"/>
          </c:marker>
          <c:trendline>
            <c:spPr>
              <a:ln w="9525">
                <a:solidFill>
                  <a:srgbClr val="FF0000"/>
                </a:solidFill>
                <a:prstDash val="sysDash"/>
              </a:ln>
            </c:spPr>
            <c:trendlineType val="linear"/>
            <c:forward val="400"/>
            <c:dispRSqr val="0"/>
            <c:dispEq val="0"/>
          </c:trendline>
          <c:xVal>
            <c:numRef>
              <c:f>'Cu_Multi Graph pmdtn'!$I$82:$I$83</c:f>
              <c:numCache>
                <c:formatCode>0</c:formatCode>
                <c:ptCount val="2"/>
                <c:pt idx="0" formatCode="General">
                  <c:v>0</c:v>
                </c:pt>
                <c:pt idx="1">
                  <c:v>551.2167514977773</c:v>
                </c:pt>
              </c:numCache>
            </c:numRef>
          </c:xVal>
          <c:yVal>
            <c:numRef>
              <c:f>'Cu_Multi Graph pmdtn'!$J$82:$J$83</c:f>
              <c:numCache>
                <c:formatCode>0</c:formatCode>
                <c:ptCount val="2"/>
                <c:pt idx="0">
                  <c:v>10.633679085198722</c:v>
                </c:pt>
                <c:pt idx="1">
                  <c:v>410.2167514977773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73B-49AF-A97E-B27D227B5ED5}"/>
            </c:ext>
          </c:extLst>
        </c:ser>
        <c:ser>
          <c:idx val="8"/>
          <c:order val="6"/>
          <c:spPr>
            <a:ln w="12700">
              <a:solidFill>
                <a:srgbClr val="00CCFF"/>
              </a:solidFill>
              <a:prstDash val="solid"/>
            </a:ln>
          </c:spPr>
          <c:marker>
            <c:symbol val="dot"/>
            <c:size val="5"/>
            <c:spPr>
              <a:noFill/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'Cu_Multi Graph pmdtn'!$M$90:$M$91</c:f>
              <c:numCache>
                <c:formatCode>0</c:formatCode>
                <c:ptCount val="2"/>
                <c:pt idx="0">
                  <c:v>189</c:v>
                </c:pt>
                <c:pt idx="1">
                  <c:v>189</c:v>
                </c:pt>
              </c:numCache>
            </c:numRef>
          </c:xVal>
          <c:yVal>
            <c:numRef>
              <c:f>'Cu_Multi Graph pmdtn'!$N$90:$N$91</c:f>
              <c:numCache>
                <c:formatCode>0</c:formatCode>
                <c:ptCount val="2"/>
                <c:pt idx="0">
                  <c:v>131.11927652016942</c:v>
                </c:pt>
                <c:pt idx="1">
                  <c:v>131.11927652016942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73B-49AF-A97E-B27D227B5E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72303"/>
        <c:axId val="1"/>
      </c:scatterChart>
      <c:valAx>
        <c:axId val="31272303"/>
        <c:scaling>
          <c:orientation val="minMax"/>
          <c:max val="550"/>
          <c:min val="0"/>
        </c:scaling>
        <c:delete val="0"/>
        <c:axPos val="b"/>
        <c:majorGridlines>
          <c:spPr>
            <a:ln>
              <a:solidFill>
                <a:schemeClr val="bg1">
                  <a:lumMod val="50000"/>
                  <a:alpha val="5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ID" sz="800"/>
                  <a:t>Principal Stress(kN/m</a:t>
                </a:r>
                <a:r>
                  <a:rPr lang="en-ID" sz="800" baseline="30000"/>
                  <a:t>2</a:t>
                </a:r>
                <a:r>
                  <a:rPr lang="en-ID" sz="800"/>
                  <a:t>)</a:t>
                </a:r>
              </a:p>
            </c:rich>
          </c:tx>
          <c:layout>
            <c:manualLayout>
              <c:xMode val="edge"/>
              <c:yMode val="edge"/>
              <c:x val="0.40025290396036878"/>
              <c:y val="0.9458219043484463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>
                <a:alpha val="5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800"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1"/>
        <c:crosses val="autoZero"/>
        <c:crossBetween val="midCat"/>
        <c:majorUnit val="50"/>
        <c:minorUnit val="20"/>
      </c:valAx>
      <c:valAx>
        <c:axId val="1"/>
        <c:scaling>
          <c:orientation val="minMax"/>
          <c:max val="350"/>
          <c:min val="0"/>
        </c:scaling>
        <c:delete val="0"/>
        <c:axPos val="l"/>
        <c:majorGridlines>
          <c:spPr>
            <a:ln w="6350">
              <a:solidFill>
                <a:schemeClr val="bg1">
                  <a:lumMod val="50000"/>
                  <a:alpha val="50000"/>
                </a:schemeClr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800"/>
                </a:pPr>
                <a:r>
                  <a:rPr lang="en-ID" sz="800"/>
                  <a:t>Shear Stress (kN/m</a:t>
                </a:r>
                <a:r>
                  <a:rPr lang="en-ID" sz="800" baseline="30000"/>
                  <a:t>2</a:t>
                </a:r>
                <a:r>
                  <a:rPr lang="en-ID" sz="800"/>
                  <a:t>)</a:t>
                </a:r>
              </a:p>
            </c:rich>
          </c:tx>
          <c:layout>
            <c:manualLayout>
              <c:xMode val="edge"/>
              <c:yMode val="edge"/>
              <c:x val="9.9442435252437519E-4"/>
              <c:y val="0.3338666575664664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>
                <a:alpha val="5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800"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31272303"/>
        <c:crosses val="autoZero"/>
        <c:crossBetween val="midCat"/>
        <c:majorUnit val="50"/>
      </c:valAx>
      <c:spPr>
        <a:noFill/>
      </c:spPr>
    </c:plotArea>
    <c:plotVisOnly val="1"/>
    <c:dispBlanksAs val="gap"/>
    <c:showDLblsOverMax val="0"/>
  </c:chart>
  <c:spPr>
    <a:solidFill>
      <a:srgbClr val="FFFFFF"/>
    </a:solidFill>
    <a:ln w="12700">
      <a:solidFill>
        <a:sysClr val="windowText" lastClr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700"/>
            </a:pPr>
            <a:r>
              <a:rPr lang="en-ID" sz="700"/>
              <a:t>Saturation Build - Up</a:t>
            </a:r>
          </a:p>
        </c:rich>
      </c:tx>
      <c:layout>
        <c:manualLayout>
          <c:xMode val="edge"/>
          <c:yMode val="edge"/>
          <c:x val="0.37704436728395069"/>
          <c:y val="1.69519519519519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008676697530864"/>
          <c:y val="9.6356018518518521E-2"/>
          <c:w val="0.73831481481481487"/>
          <c:h val="0.757321929016911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accent1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Saturasi pmdtn'!$T$33:$T$37</c:f>
              <c:numCache>
                <c:formatCode>General</c:formatCode>
                <c:ptCount val="5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240</c:v>
                </c:pt>
              </c:numCache>
            </c:numRef>
          </c:xVal>
          <c:yVal>
            <c:numRef>
              <c:f>'CU_Multi Saturasi pmdtn'!$U$33:$U$37</c:f>
              <c:numCache>
                <c:formatCode>0.00</c:formatCode>
                <c:ptCount val="5"/>
                <c:pt idx="0">
                  <c:v>0.1</c:v>
                </c:pt>
                <c:pt idx="1">
                  <c:v>0.46</c:v>
                </c:pt>
                <c:pt idx="2">
                  <c:v>0.72</c:v>
                </c:pt>
                <c:pt idx="3">
                  <c:v>0.9</c:v>
                </c:pt>
                <c:pt idx="4">
                  <c:v>0.97499999999999998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7F-40FE-921A-9B1F7B302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2271"/>
        <c:axId val="1"/>
      </c:scatterChart>
      <c:scatterChart>
        <c:scatterStyle val="smoothMarker"/>
        <c:varyColors val="0"/>
        <c:ser>
          <c:idx val="1"/>
          <c:order val="1"/>
          <c:spPr>
            <a:ln w="12700">
              <a:solidFill>
                <a:schemeClr val="accent3"/>
              </a:solidFill>
            </a:ln>
          </c:spPr>
          <c:marker>
            <c:symbol val="circle"/>
            <c:size val="3"/>
            <c:spPr>
              <a:solidFill>
                <a:schemeClr val="accent3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'CU_Multi Saturasi pmdtn'!$T$110:$T$115</c:f>
              <c:numCache>
                <c:formatCode>General</c:formatCode>
                <c:ptCount val="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290</c:v>
                </c:pt>
                <c:pt idx="5">
                  <c:v>390</c:v>
                </c:pt>
              </c:numCache>
            </c:numRef>
          </c:xVal>
          <c:yVal>
            <c:numRef>
              <c:f>'CU_Multi Saturasi pmdtn'!$U$110:$U$115</c:f>
              <c:numCache>
                <c:formatCode>0.00</c:formatCode>
                <c:ptCount val="6"/>
                <c:pt idx="0">
                  <c:v>0.24</c:v>
                </c:pt>
                <c:pt idx="1">
                  <c:v>0.4</c:v>
                </c:pt>
                <c:pt idx="2">
                  <c:v>0.64</c:v>
                </c:pt>
                <c:pt idx="3">
                  <c:v>0.78</c:v>
                </c:pt>
                <c:pt idx="4">
                  <c:v>0.94444444444444442</c:v>
                </c:pt>
                <c:pt idx="5">
                  <c:v>0.98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7F-40FE-921A-9B1F7B3021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292271"/>
        <c:axId val="1"/>
      </c:scatterChart>
      <c:valAx>
        <c:axId val="31292271"/>
        <c:scaling>
          <c:orientation val="minMax"/>
          <c:max val="500"/>
          <c:min val="0"/>
        </c:scaling>
        <c:delete val="0"/>
        <c:axPos val="b"/>
        <c:minorGridlines>
          <c:spPr>
            <a:ln w="6350">
              <a:solidFill>
                <a:srgbClr val="000000">
                  <a:alpha val="50000"/>
                </a:srgb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Cell Pressure (kN/m2)</a:t>
                </a:r>
              </a:p>
            </c:rich>
          </c:tx>
          <c:layout>
            <c:manualLayout>
              <c:xMode val="edge"/>
              <c:yMode val="edge"/>
              <c:x val="0.38923225308641973"/>
              <c:y val="0.943118618618618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>
                <a:alpha val="5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800"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1"/>
        <c:crosses val="autoZero"/>
        <c:crossBetween val="midCat"/>
        <c:majorUnit val="100"/>
        <c:minorUnit val="50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B Value</a:t>
                </a:r>
              </a:p>
            </c:rich>
          </c:tx>
          <c:layout>
            <c:manualLayout>
              <c:xMode val="edge"/>
              <c:yMode val="edge"/>
              <c:x val="3.795019157088123E-4"/>
              <c:y val="0.44092870370370368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>
                <a:alpha val="5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800"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31292271"/>
        <c:crosses val="autoZero"/>
        <c:crossBetween val="midCat"/>
      </c:valAx>
      <c:spPr>
        <a:noFill/>
        <a:ln w="12700">
          <a:solidFill>
            <a:srgbClr val="808080">
              <a:alpha val="50000"/>
            </a:srgbClr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ysClr val="windowText" lastClr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665698302469136"/>
          <c:y val="3.073833138308284E-2"/>
          <c:w val="0.76701504629629635"/>
          <c:h val="0.79738066002343966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accent1"/>
              </a:solidFill>
              <a:prstDash val="solid"/>
            </a:ln>
          </c:spPr>
          <c:marker>
            <c:symbol val="circle"/>
            <c:size val="3"/>
            <c:spPr>
              <a:solidFill>
                <a:schemeClr val="accent1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'Cu_Multi Consol pmdtn'!$G$25:$G$38</c:f>
              <c:numCache>
                <c:formatCode>0.0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 pmdtn'!$I$25:$I$38</c:f>
              <c:numCache>
                <c:formatCode>0.00</c:formatCode>
                <c:ptCount val="14"/>
                <c:pt idx="0">
                  <c:v>0</c:v>
                </c:pt>
                <c:pt idx="1">
                  <c:v>0.30000000000000071</c:v>
                </c:pt>
                <c:pt idx="2">
                  <c:v>0.40000000000000213</c:v>
                </c:pt>
                <c:pt idx="3">
                  <c:v>0.60000000000000142</c:v>
                </c:pt>
                <c:pt idx="4">
                  <c:v>0.80000000000000071</c:v>
                </c:pt>
                <c:pt idx="5">
                  <c:v>0.90000000000000213</c:v>
                </c:pt>
                <c:pt idx="6">
                  <c:v>1.1000000000000014</c:v>
                </c:pt>
                <c:pt idx="7">
                  <c:v>1.1999999999999993</c:v>
                </c:pt>
                <c:pt idx="8">
                  <c:v>1.3000000000000007</c:v>
                </c:pt>
                <c:pt idx="9">
                  <c:v>1.4000000000000021</c:v>
                </c:pt>
                <c:pt idx="10">
                  <c:v>1.5</c:v>
                </c:pt>
                <c:pt idx="11">
                  <c:v>1.5</c:v>
                </c:pt>
                <c:pt idx="12">
                  <c:v>1.5</c:v>
                </c:pt>
                <c:pt idx="13">
                  <c:v>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6A-4CBE-A8EC-C1D0BA27D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8671"/>
        <c:axId val="1"/>
      </c:scatterChart>
      <c:scatterChart>
        <c:scatterStyle val="smoothMarker"/>
        <c:varyColors val="0"/>
        <c:ser>
          <c:idx val="2"/>
          <c:order val="1"/>
          <c:spPr>
            <a:ln w="12700">
              <a:solidFill>
                <a:schemeClr val="accent3"/>
              </a:solidFill>
            </a:ln>
          </c:spPr>
          <c:marker>
            <c:symbol val="circle"/>
            <c:size val="3"/>
          </c:marker>
          <c:xVal>
            <c:numRef>
              <c:f>'Cu_Multi Consol pmdtn'!$G$89:$G$102</c:f>
              <c:numCache>
                <c:formatCode>0.0</c:formatCode>
                <c:ptCount val="14"/>
                <c:pt idx="0">
                  <c:v>0</c:v>
                </c:pt>
                <c:pt idx="1">
                  <c:v>0.5</c:v>
                </c:pt>
                <c:pt idx="2">
                  <c:v>0.70710678118654757</c:v>
                </c:pt>
                <c:pt idx="3">
                  <c:v>1</c:v>
                </c:pt>
                <c:pt idx="4">
                  <c:v>1.5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5</c:v>
                </c:pt>
                <c:pt idx="9">
                  <c:v>6</c:v>
                </c:pt>
                <c:pt idx="10">
                  <c:v>8</c:v>
                </c:pt>
                <c:pt idx="11">
                  <c:v>11</c:v>
                </c:pt>
                <c:pt idx="12">
                  <c:v>15</c:v>
                </c:pt>
                <c:pt idx="13">
                  <c:v>33.015148038438355</c:v>
                </c:pt>
              </c:numCache>
            </c:numRef>
          </c:xVal>
          <c:yVal>
            <c:numRef>
              <c:f>'Cu_Multi Consol pmdtn'!$I$153:$I$166</c:f>
              <c:numCache>
                <c:formatCode>0.0</c:formatCode>
                <c:ptCount val="14"/>
                <c:pt idx="0">
                  <c:v>0</c:v>
                </c:pt>
                <c:pt idx="1">
                  <c:v>0.40000000000000568</c:v>
                </c:pt>
                <c:pt idx="2">
                  <c:v>0.60000000000000142</c:v>
                </c:pt>
                <c:pt idx="3">
                  <c:v>0.90000000000000568</c:v>
                </c:pt>
                <c:pt idx="4">
                  <c:v>1.1000000000000014</c:v>
                </c:pt>
                <c:pt idx="5">
                  <c:v>1.3000000000000043</c:v>
                </c:pt>
                <c:pt idx="6">
                  <c:v>1.5</c:v>
                </c:pt>
                <c:pt idx="7">
                  <c:v>1.8000000000000043</c:v>
                </c:pt>
                <c:pt idx="8">
                  <c:v>2</c:v>
                </c:pt>
                <c:pt idx="9">
                  <c:v>2.2000000000000028</c:v>
                </c:pt>
                <c:pt idx="10">
                  <c:v>2.5</c:v>
                </c:pt>
                <c:pt idx="11">
                  <c:v>2.5</c:v>
                </c:pt>
                <c:pt idx="12">
                  <c:v>2.5</c:v>
                </c:pt>
                <c:pt idx="13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6A-4CBE-A8EC-C1D0BA27D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438671"/>
        <c:axId val="1"/>
      </c:scatterChart>
      <c:valAx>
        <c:axId val="26438671"/>
        <c:scaling>
          <c:orientation val="minMax"/>
        </c:scaling>
        <c:delete val="0"/>
        <c:axPos val="t"/>
        <c:majorGridlines>
          <c:spPr>
            <a:ln w="3175">
              <a:solidFill>
                <a:schemeClr val="bg1">
                  <a:lumMod val="75000"/>
                  <a:alpha val="7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Squart root time</a:t>
                </a:r>
              </a:p>
            </c:rich>
          </c:tx>
          <c:layout>
            <c:manualLayout>
              <c:xMode val="edge"/>
              <c:yMode val="edge"/>
              <c:x val="0.37757677469135809"/>
              <c:y val="0.94037349849849849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1"/>
        <c:majorTickMark val="none"/>
        <c:minorTickMark val="none"/>
        <c:tickLblPos val="high"/>
        <c:spPr>
          <a:ln w="3175">
            <a:solidFill>
              <a:schemeClr val="bg1">
                <a:lumMod val="65000"/>
              </a:schemeClr>
            </a:solidFill>
            <a:prstDash val="solid"/>
          </a:ln>
        </c:spPr>
        <c:txPr>
          <a:bodyPr rot="0" vert="horz"/>
          <a:lstStyle/>
          <a:p>
            <a:pPr>
              <a:defRPr sz="800"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1"/>
        <c:crosses val="autoZero"/>
        <c:crossBetween val="midCat"/>
        <c:majorUnit val="10"/>
        <c:minorUnit val="5"/>
      </c:valAx>
      <c:valAx>
        <c:axId val="1"/>
        <c:scaling>
          <c:orientation val="maxMin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  <a:alpha val="50000"/>
                </a:scheme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Volume change ( cm3)</a:t>
                </a:r>
              </a:p>
            </c:rich>
          </c:tx>
          <c:layout>
            <c:manualLayout>
              <c:xMode val="edge"/>
              <c:yMode val="edge"/>
              <c:x val="2.7141203703703698E-3"/>
              <c:y val="0.3010191441441441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>
                <a:alpha val="50000"/>
              </a:srgbClr>
            </a:solidFill>
            <a:prstDash val="solid"/>
          </a:ln>
        </c:spPr>
        <c:txPr>
          <a:bodyPr rot="0" vert="horz"/>
          <a:lstStyle/>
          <a:p>
            <a:pPr>
              <a:defRPr sz="800">
                <a:solidFill>
                  <a:schemeClr val="bg1">
                    <a:lumMod val="50000"/>
                  </a:schemeClr>
                </a:solidFill>
              </a:defRPr>
            </a:pPr>
            <a:endParaRPr lang="en-US"/>
          </a:p>
        </c:txPr>
        <c:crossAx val="26438671"/>
        <c:crosses val="autoZero"/>
        <c:crossBetween val="midCat"/>
      </c:valAx>
      <c:spPr>
        <a:noFill/>
        <a:ln w="12700">
          <a:solidFill>
            <a:srgbClr val="808080">
              <a:alpha val="50000"/>
            </a:srgbClr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ysClr val="windowText" lastClr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/>
            </a:pPr>
            <a:r>
              <a:rPr lang="id-ID" sz="1000" b="1"/>
              <a:t>Graph</a:t>
            </a:r>
          </a:p>
        </c:rich>
      </c:tx>
      <c:layout>
        <c:manualLayout>
          <c:xMode val="edge"/>
          <c:yMode val="edge"/>
          <c:x val="0.48405302321311383"/>
          <c:y val="8.333368897993442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076246334310871"/>
          <c:y val="5.8333412453087923E-2"/>
          <c:w val="0.78885630498532977"/>
          <c:h val="0.86666784216016723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'10x'!$C$42:$C$52</c:f>
              <c:numCache>
                <c:formatCode>0.0000</c:formatCode>
                <c:ptCount val="11"/>
                <c:pt idx="0" formatCode="0.00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</c:numCache>
            </c:numRef>
          </c:xVal>
          <c:yVal>
            <c:numRef>
              <c:f>'10x'!$F$42:$F$52</c:f>
              <c:numCache>
                <c:formatCode>0.0</c:formatCode>
                <c:ptCount val="11"/>
                <c:pt idx="0">
                  <c:v>0</c:v>
                </c:pt>
                <c:pt idx="1">
                  <c:v>46.740404868917466</c:v>
                </c:pt>
                <c:pt idx="2">
                  <c:v>84.13272876405145</c:v>
                </c:pt>
                <c:pt idx="3">
                  <c:v>140.22121460675243</c:v>
                </c:pt>
                <c:pt idx="4">
                  <c:v>186.96161947566986</c:v>
                </c:pt>
                <c:pt idx="5">
                  <c:v>233.70202434458736</c:v>
                </c:pt>
                <c:pt idx="6">
                  <c:v>345.87899602998925</c:v>
                </c:pt>
                <c:pt idx="7">
                  <c:v>411.31556284647371</c:v>
                </c:pt>
                <c:pt idx="8">
                  <c:v>467.40404868917472</c:v>
                </c:pt>
                <c:pt idx="9">
                  <c:v>495.44829161052519</c:v>
                </c:pt>
                <c:pt idx="10">
                  <c:v>500.12233209741692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093-4BCE-8C25-D32B37127B72}"/>
            </c:ext>
          </c:extLst>
        </c:ser>
        <c:ser>
          <c:idx val="0"/>
          <c:order val="1"/>
          <c:spPr>
            <a:ln w="28575">
              <a:noFill/>
            </a:ln>
          </c:spPr>
          <c:marker>
            <c:symbol val="none"/>
          </c:marker>
          <c:xVal>
            <c:numRef>
              <c:f>'10x'!$AO$20:$AO$22</c:f>
              <c:numCache>
                <c:formatCode>0.0000</c:formatCode>
                <c:ptCount val="3"/>
                <c:pt idx="0" formatCode="General">
                  <c:v>1.2500000000000001E-2</c:v>
                </c:pt>
                <c:pt idx="1">
                  <c:v>1.2500000000000001E-2</c:v>
                </c:pt>
                <c:pt idx="2" formatCode="General">
                  <c:v>0.05</c:v>
                </c:pt>
              </c:numCache>
            </c:numRef>
          </c:xVal>
          <c:yVal>
            <c:numRef>
              <c:f>'10x'!$AP$20:$AP$22</c:f>
              <c:numCache>
                <c:formatCode>0.0</c:formatCode>
                <c:ptCount val="3"/>
                <c:pt idx="0">
                  <c:v>30.01572003118169</c:v>
                </c:pt>
                <c:pt idx="1">
                  <c:v>30.01572003118169</c:v>
                </c:pt>
                <c:pt idx="2">
                  <c:v>120.06288012472676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93-4BCE-8C25-D32B37127B72}"/>
            </c:ext>
          </c:extLst>
        </c:ser>
        <c:ser>
          <c:idx val="2"/>
          <c:order val="2"/>
          <c:tx>
            <c:v>0.1"</c:v>
          </c:tx>
          <c:spPr>
            <a:ln w="19050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'10x'!$AS$47:$AS$49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0.1</c:v>
                </c:pt>
                <c:pt idx="2">
                  <c:v>0.1</c:v>
                </c:pt>
              </c:numCache>
            </c:numRef>
          </c:xVal>
          <c:yVal>
            <c:numRef>
              <c:f>'10x'!$AT$47:$AT$49</c:f>
              <c:numCache>
                <c:formatCode>0.00</c:formatCode>
                <c:ptCount val="3"/>
                <c:pt idx="0">
                  <c:v>233.70202434458736</c:v>
                </c:pt>
                <c:pt idx="1">
                  <c:v>233.70202434458736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93-4BCE-8C25-D32B37127B72}"/>
            </c:ext>
          </c:extLst>
        </c:ser>
        <c:ser>
          <c:idx val="3"/>
          <c:order val="3"/>
          <c:tx>
            <c:v>0.2"</c:v>
          </c:tx>
          <c:spPr>
            <a:ln w="19050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'10x'!$AS$51:$AS$53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0.2</c:v>
                </c:pt>
                <c:pt idx="2">
                  <c:v>0.2</c:v>
                </c:pt>
              </c:numCache>
            </c:numRef>
          </c:xVal>
          <c:yVal>
            <c:numRef>
              <c:f>'10x'!$AT$51:$AT$53</c:f>
              <c:numCache>
                <c:formatCode>0.00</c:formatCode>
                <c:ptCount val="3"/>
                <c:pt idx="0">
                  <c:v>411.31556284647371</c:v>
                </c:pt>
                <c:pt idx="1">
                  <c:v>411.31556284647371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93-4BCE-8C25-D32B37127B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321280"/>
        <c:axId val="850326176"/>
      </c:scatterChart>
      <c:valAx>
        <c:axId val="850321280"/>
        <c:scaling>
          <c:orientation val="minMax"/>
          <c:max val="0.60000000000000009"/>
          <c:min val="0"/>
        </c:scaling>
        <c:delete val="0"/>
        <c:axPos val="b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85000"/>
                  <a:alpha val="32579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b="1"/>
                </a:pPr>
                <a:r>
                  <a:rPr lang="id-ID" b="1"/>
                  <a:t>Penetration ( inch )</a:t>
                </a:r>
              </a:p>
            </c:rich>
          </c:tx>
          <c:layout>
            <c:manualLayout>
              <c:xMode val="edge"/>
              <c:yMode val="edge"/>
              <c:x val="0.40221238168279094"/>
              <c:y val="0.9751932227983698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3175">
            <a:solidFill>
              <a:srgbClr val="000000">
                <a:alpha val="50000"/>
              </a:srgbClr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0326176"/>
        <c:crosses val="autoZero"/>
        <c:crossBetween val="midCat"/>
      </c:valAx>
      <c:valAx>
        <c:axId val="850326176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900" b="1"/>
                </a:pPr>
                <a:r>
                  <a:rPr lang="id-ID" sz="900" b="1"/>
                  <a:t>Stress on piston ( psi )</a:t>
                </a:r>
              </a:p>
            </c:rich>
          </c:tx>
          <c:layout>
            <c:manualLayout>
              <c:xMode val="edge"/>
              <c:yMode val="edge"/>
              <c:x val="2.9325513196480938E-3"/>
              <c:y val="0.437500515687575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03212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 paperSize="9" orientation="landscape"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Graph</a:t>
            </a:r>
          </a:p>
        </c:rich>
      </c:tx>
      <c:layout>
        <c:manualLayout>
          <c:xMode val="edge"/>
          <c:yMode val="edge"/>
          <c:x val="0.42815249266862182"/>
          <c:y val="8.333333333333336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542521994135089"/>
          <c:y val="5.8333412453087923E-2"/>
          <c:w val="0.77419354838709675"/>
          <c:h val="0.86666784216016723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'25X'!$C$42:$C$52</c:f>
              <c:numCache>
                <c:formatCode>0.0000</c:formatCode>
                <c:ptCount val="11"/>
                <c:pt idx="0" formatCode="0.00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</c:numCache>
            </c:numRef>
          </c:xVal>
          <c:yVal>
            <c:numRef>
              <c:f>'25X'!$F$42:$F$52</c:f>
              <c:numCache>
                <c:formatCode>0.0</c:formatCode>
                <c:ptCount val="11"/>
                <c:pt idx="0">
                  <c:v>0</c:v>
                </c:pt>
                <c:pt idx="1">
                  <c:v>37.392323895133977</c:v>
                </c:pt>
                <c:pt idx="2">
                  <c:v>74.784647790267954</c:v>
                </c:pt>
                <c:pt idx="3">
                  <c:v>140.22121460675243</c:v>
                </c:pt>
                <c:pt idx="4">
                  <c:v>196.30970044945337</c:v>
                </c:pt>
                <c:pt idx="5">
                  <c:v>252.39818629215435</c:v>
                </c:pt>
                <c:pt idx="6">
                  <c:v>345.87899602998925</c:v>
                </c:pt>
                <c:pt idx="7">
                  <c:v>430.01172479404067</c:v>
                </c:pt>
                <c:pt idx="8">
                  <c:v>654.36566816484458</c:v>
                </c:pt>
                <c:pt idx="9">
                  <c:v>766.54263985024647</c:v>
                </c:pt>
                <c:pt idx="10">
                  <c:v>775.89072082403004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BD-4D78-8A42-D1DD50D8DA5B}"/>
            </c:ext>
          </c:extLst>
        </c:ser>
        <c:ser>
          <c:idx val="0"/>
          <c:order val="1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rgbClr val="FF0000"/>
                </a:solidFill>
                <a:prstDash val="sysDash"/>
              </a:ln>
            </c:spPr>
            <c:trendlineType val="linear"/>
            <c:backward val="0.5"/>
            <c:dispRSqr val="0"/>
            <c:dispEq val="1"/>
            <c:trendlineLbl>
              <c:layout>
                <c:manualLayout>
                  <c:x val="0.66273030070919015"/>
                  <c:y val="-6.210321205329759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'25X'!$AM$20:$AM$22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'25X'!$AN$20:$AN$22</c:f>
              <c:numCache>
                <c:formatCode>0.0</c:formatCode>
                <c:ptCount val="3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2BD-4D78-8A42-D1DD50D8DA5B}"/>
            </c:ext>
          </c:extLst>
        </c:ser>
        <c:ser>
          <c:idx val="2"/>
          <c:order val="2"/>
          <c:tx>
            <c:v>0.1"</c:v>
          </c:tx>
          <c:spPr>
            <a:ln w="19050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'25X'!$AQ$47:$AQ$49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0.1</c:v>
                </c:pt>
                <c:pt idx="2">
                  <c:v>0.1</c:v>
                </c:pt>
              </c:numCache>
            </c:numRef>
          </c:xVal>
          <c:yVal>
            <c:numRef>
              <c:f>'25X'!$AR$47:$AR$49</c:f>
              <c:numCache>
                <c:formatCode>0</c:formatCode>
                <c:ptCount val="3"/>
                <c:pt idx="0">
                  <c:v>252.39818629215435</c:v>
                </c:pt>
                <c:pt idx="1">
                  <c:v>252.39818629215435</c:v>
                </c:pt>
                <c:pt idx="2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2BD-4D78-8A42-D1DD50D8DA5B}"/>
            </c:ext>
          </c:extLst>
        </c:ser>
        <c:ser>
          <c:idx val="3"/>
          <c:order val="3"/>
          <c:tx>
            <c:v>0.2"</c:v>
          </c:tx>
          <c:spPr>
            <a:ln w="19050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'25X'!$AQ$51:$AQ$53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0.2</c:v>
                </c:pt>
                <c:pt idx="2">
                  <c:v>0.2</c:v>
                </c:pt>
              </c:numCache>
            </c:numRef>
          </c:xVal>
          <c:yVal>
            <c:numRef>
              <c:f>'25X'!$AR$51:$AR$53</c:f>
              <c:numCache>
                <c:formatCode>0</c:formatCode>
                <c:ptCount val="3"/>
                <c:pt idx="0">
                  <c:v>430.01172479404067</c:v>
                </c:pt>
                <c:pt idx="1">
                  <c:v>430.01172479404067</c:v>
                </c:pt>
                <c:pt idx="2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2BD-4D78-8A42-D1DD50D8D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0327264"/>
        <c:axId val="850327808"/>
      </c:scatterChart>
      <c:valAx>
        <c:axId val="850327264"/>
        <c:scaling>
          <c:orientation val="minMax"/>
          <c:max val="0.60000000000000009"/>
          <c:min val="0"/>
        </c:scaling>
        <c:delete val="0"/>
        <c:axPos val="b"/>
        <c:majorGridlines>
          <c:spPr>
            <a:ln w="3175">
              <a:solidFill>
                <a:srgbClr val="000000">
                  <a:alpha val="3321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Penetration ( inch )</a:t>
                </a:r>
              </a:p>
            </c:rich>
          </c:tx>
          <c:layout>
            <c:manualLayout>
              <c:xMode val="edge"/>
              <c:yMode val="edge"/>
              <c:x val="0.35777126099707207"/>
              <c:y val="0.9662050160396700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0327808"/>
        <c:crosses val="autoZero"/>
        <c:crossBetween val="midCat"/>
        <c:minorUnit val="2.0000000000000004E-2"/>
      </c:valAx>
      <c:valAx>
        <c:axId val="850327808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 on piston ( psi )</a:t>
                </a:r>
              </a:p>
            </c:rich>
          </c:tx>
          <c:layout>
            <c:manualLayout>
              <c:xMode val="edge"/>
              <c:yMode val="edge"/>
              <c:x val="2.9325513196480938E-3"/>
              <c:y val="0.437500515687575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0327264"/>
        <c:crosses val="autoZero"/>
        <c:crossBetween val="midCat"/>
      </c:valAx>
      <c:spPr>
        <a:noFill/>
        <a:ln w="3175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 paperSize="9" orientation="landscape"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Graph</a:t>
            </a:r>
          </a:p>
        </c:rich>
      </c:tx>
      <c:layout>
        <c:manualLayout>
          <c:xMode val="edge"/>
          <c:yMode val="edge"/>
          <c:x val="0.42815249266862182"/>
          <c:y val="8.3333333333333367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542521994135089"/>
          <c:y val="5.8333412453087923E-2"/>
          <c:w val="0.77419354838709675"/>
          <c:h val="0.86666784216016723"/>
        </c:manualLayout>
      </c:layout>
      <c:scatterChart>
        <c:scatterStyle val="lineMarker"/>
        <c:varyColors val="0"/>
        <c:ser>
          <c:idx val="1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xVal>
            <c:numRef>
              <c:f>'56X'!$C$42:$C$52</c:f>
              <c:numCache>
                <c:formatCode>0.0000</c:formatCode>
                <c:ptCount val="11"/>
                <c:pt idx="0" formatCode="0.000">
                  <c:v>0</c:v>
                </c:pt>
                <c:pt idx="1">
                  <c:v>1.2500000000000001E-2</c:v>
                </c:pt>
                <c:pt idx="2">
                  <c:v>2.5000000000000001E-2</c:v>
                </c:pt>
                <c:pt idx="3">
                  <c:v>0.05</c:v>
                </c:pt>
                <c:pt idx="4">
                  <c:v>7.4999999999999997E-2</c:v>
                </c:pt>
                <c:pt idx="5">
                  <c:v>0.1</c:v>
                </c:pt>
                <c:pt idx="6">
                  <c:v>0.15</c:v>
                </c:pt>
                <c:pt idx="7">
                  <c:v>0.2</c:v>
                </c:pt>
                <c:pt idx="8">
                  <c:v>0.3</c:v>
                </c:pt>
                <c:pt idx="9">
                  <c:v>0.4</c:v>
                </c:pt>
                <c:pt idx="10">
                  <c:v>0.5</c:v>
                </c:pt>
              </c:numCache>
            </c:numRef>
          </c:xVal>
          <c:yVal>
            <c:numRef>
              <c:f>'56X'!$F$42:$F$52</c:f>
              <c:numCache>
                <c:formatCode>0.0</c:formatCode>
                <c:ptCount val="11"/>
                <c:pt idx="0">
                  <c:v>0</c:v>
                </c:pt>
                <c:pt idx="1">
                  <c:v>37.392323895133977</c:v>
                </c:pt>
                <c:pt idx="2">
                  <c:v>74.784647790267954</c:v>
                </c:pt>
                <c:pt idx="3">
                  <c:v>149.56929558053591</c:v>
                </c:pt>
                <c:pt idx="4">
                  <c:v>215.00586239702034</c:v>
                </c:pt>
                <c:pt idx="5">
                  <c:v>271.09434823972134</c:v>
                </c:pt>
                <c:pt idx="6">
                  <c:v>373.92323895133973</c:v>
                </c:pt>
                <c:pt idx="7">
                  <c:v>448.70788674160775</c:v>
                </c:pt>
                <c:pt idx="8">
                  <c:v>654.36566816484458</c:v>
                </c:pt>
                <c:pt idx="9">
                  <c:v>747.84647790267945</c:v>
                </c:pt>
                <c:pt idx="10">
                  <c:v>757.19455887646302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39-4708-8F4F-5550406C0B4D}"/>
            </c:ext>
          </c:extLst>
        </c:ser>
        <c:ser>
          <c:idx val="0"/>
          <c:order val="1"/>
          <c:spPr>
            <a:ln w="28575">
              <a:noFill/>
            </a:ln>
          </c:spPr>
          <c:marker>
            <c:symbol val="none"/>
          </c:marker>
          <c:trendline>
            <c:spPr>
              <a:ln w="12700">
                <a:solidFill>
                  <a:srgbClr val="FF0000"/>
                </a:solidFill>
                <a:prstDash val="sysDash"/>
              </a:ln>
            </c:spPr>
            <c:trendlineType val="linear"/>
            <c:backward val="0.5"/>
            <c:dispRSqr val="0"/>
            <c:dispEq val="1"/>
            <c:trendlineLbl>
              <c:layout>
                <c:manualLayout>
                  <c:x val="0.66273030070919015"/>
                  <c:y val="-6.2103212053297593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</c:trendlineLbl>
          </c:trendline>
          <c:xVal>
            <c:numRef>
              <c:f>'56X'!$AM$19:$AM$21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xVal>
          <c:yVal>
            <c:numRef>
              <c:f>'56X'!$AN$19:$AN$21</c:f>
              <c:numCache>
                <c:formatCode>0.0</c:formatCode>
                <c:ptCount val="3"/>
                <c:pt idx="0">
                  <c:v>0</c:v>
                </c:pt>
                <c:pt idx="1">
                  <c:v>#N/A</c:v>
                </c:pt>
                <c:pt idx="2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39-4708-8F4F-5550406C0B4D}"/>
            </c:ext>
          </c:extLst>
        </c:ser>
        <c:ser>
          <c:idx val="2"/>
          <c:order val="2"/>
          <c:tx>
            <c:v>0.1"</c:v>
          </c:tx>
          <c:spPr>
            <a:ln w="19050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'56X'!$AQ$46:$AQ$48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0.1</c:v>
                </c:pt>
                <c:pt idx="2">
                  <c:v>0.1</c:v>
                </c:pt>
              </c:numCache>
            </c:numRef>
          </c:xVal>
          <c:yVal>
            <c:numRef>
              <c:f>'56X'!$AR$46:$AR$48</c:f>
              <c:numCache>
                <c:formatCode>0</c:formatCode>
                <c:ptCount val="3"/>
                <c:pt idx="0">
                  <c:v>271.09434823972134</c:v>
                </c:pt>
                <c:pt idx="1">
                  <c:v>271.09434823972134</c:v>
                </c:pt>
                <c:pt idx="2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39-4708-8F4F-5550406C0B4D}"/>
            </c:ext>
          </c:extLst>
        </c:ser>
        <c:ser>
          <c:idx val="3"/>
          <c:order val="3"/>
          <c:tx>
            <c:v>0.2"</c:v>
          </c:tx>
          <c:spPr>
            <a:ln w="19050">
              <a:solidFill>
                <a:schemeClr val="tx2">
                  <a:lumMod val="60000"/>
                  <a:lumOff val="40000"/>
                </a:schemeClr>
              </a:solidFill>
              <a:prstDash val="dash"/>
            </a:ln>
          </c:spPr>
          <c:marker>
            <c:symbol val="none"/>
          </c:marker>
          <c:xVal>
            <c:numRef>
              <c:f>'56X'!$AQ$50:$AQ$52</c:f>
              <c:numCache>
                <c:formatCode>0.0</c:formatCode>
                <c:ptCount val="3"/>
                <c:pt idx="0" formatCode="General">
                  <c:v>0</c:v>
                </c:pt>
                <c:pt idx="1">
                  <c:v>0.2</c:v>
                </c:pt>
                <c:pt idx="2">
                  <c:v>0.2</c:v>
                </c:pt>
              </c:numCache>
            </c:numRef>
          </c:xVal>
          <c:yVal>
            <c:numRef>
              <c:f>'56X'!$AR$50:$AR$52</c:f>
              <c:numCache>
                <c:formatCode>0</c:formatCode>
                <c:ptCount val="3"/>
                <c:pt idx="0">
                  <c:v>448.70788674160775</c:v>
                </c:pt>
                <c:pt idx="1">
                  <c:v>448.70788674160775</c:v>
                </c:pt>
                <c:pt idx="2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39-4708-8F4F-5550406C0B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172416"/>
        <c:axId val="853173504"/>
      </c:scatterChart>
      <c:valAx>
        <c:axId val="853172416"/>
        <c:scaling>
          <c:orientation val="minMax"/>
          <c:max val="0.60000000000000009"/>
          <c:min val="0"/>
        </c:scaling>
        <c:delete val="0"/>
        <c:axPos val="b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Penetration ( inch )</a:t>
                </a:r>
              </a:p>
            </c:rich>
          </c:tx>
          <c:layout>
            <c:manualLayout>
              <c:xMode val="edge"/>
              <c:yMode val="edge"/>
              <c:x val="0.35777126099707207"/>
              <c:y val="0.96250131233595804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3173504"/>
        <c:crosses val="autoZero"/>
        <c:crossBetween val="midCat"/>
      </c:valAx>
      <c:valAx>
        <c:axId val="853173504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chemeClr val="tx1">
                  <a:alpha val="50000"/>
                </a:scheme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85000"/>
                </a:schemeClr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Stress on piston ( psi )</a:t>
                </a:r>
              </a:p>
            </c:rich>
          </c:tx>
          <c:layout>
            <c:manualLayout>
              <c:xMode val="edge"/>
              <c:yMode val="edge"/>
              <c:x val="2.9325513196480938E-3"/>
              <c:y val="0.4375005156875757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3172416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 paperSize="9" orientation="landscape"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13716397963535"/>
          <c:y val="4.3972452722225698E-2"/>
          <c:w val="0.81473078818767342"/>
          <c:h val="0.86323883458692363"/>
        </c:manualLayout>
      </c:layout>
      <c:scatterChart>
        <c:scatterStyle val="lineMarker"/>
        <c:varyColors val="0"/>
        <c:ser>
          <c:idx val="0"/>
          <c:order val="0"/>
          <c:tx>
            <c:v>model cbr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tx1"/>
              </a:solidFill>
              <a:ln>
                <a:solidFill>
                  <a:srgbClr val="002060"/>
                </a:solidFill>
              </a:ln>
            </c:spPr>
          </c:marker>
          <c:trendline>
            <c:spPr>
              <a:ln w="28575">
                <a:solidFill>
                  <a:srgbClr val="002060"/>
                </a:solidFill>
                <a:prstDash val="solid"/>
              </a:ln>
            </c:spPr>
            <c:trendlineType val="linear"/>
            <c:dispRSqr val="0"/>
            <c:dispEq val="0"/>
          </c:trendline>
          <c:xVal>
            <c:numRef>
              <c:f>unsoaked!$BF$51:$BF$53</c:f>
              <c:numCache>
                <c:formatCode>0.0</c:formatCode>
                <c:ptCount val="3"/>
                <c:pt idx="0">
                  <c:v>29.913859116107183</c:v>
                </c:pt>
                <c:pt idx="1">
                  <c:v>28.667448319602713</c:v>
                </c:pt>
                <c:pt idx="2">
                  <c:v>27.421037523098246</c:v>
                </c:pt>
              </c:numCache>
            </c:numRef>
          </c:xVal>
          <c:yVal>
            <c:numRef>
              <c:f>unsoaked!$BG$51:$BG$53</c:f>
              <c:numCache>
                <c:formatCode>0.00</c:formatCode>
                <c:ptCount val="3"/>
                <c:pt idx="0">
                  <c:v>1.1762101714473572</c:v>
                </c:pt>
                <c:pt idx="1">
                  <c:v>1.1559244110320792</c:v>
                </c:pt>
                <c:pt idx="2">
                  <c:v>1.1242537102945034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30-42BC-B79E-E420A9683BD0}"/>
            </c:ext>
          </c:extLst>
        </c:ser>
        <c:ser>
          <c:idx val="1"/>
          <c:order val="1"/>
          <c:tx>
            <c:v>100 % CBR</c:v>
          </c:tx>
          <c:spPr>
            <a:ln w="19050">
              <a:solidFill>
                <a:srgbClr val="002060"/>
              </a:solidFill>
              <a:prstDash val="sysDash"/>
            </a:ln>
          </c:spPr>
          <c:marker>
            <c:symbol val="none"/>
          </c:marker>
          <c:xVal>
            <c:numRef>
              <c:f>unsoaked!$BH$43:$BH$45</c:f>
              <c:numCache>
                <c:formatCode>0</c:formatCode>
                <c:ptCount val="3"/>
                <c:pt idx="0">
                  <c:v>29.4</c:v>
                </c:pt>
                <c:pt idx="1">
                  <c:v>29.4</c:v>
                </c:pt>
                <c:pt idx="2">
                  <c:v>0</c:v>
                </c:pt>
              </c:numCache>
            </c:numRef>
          </c:xVal>
          <c:yVal>
            <c:numRef>
              <c:f>unsoaked!$BI$43:$BI$45</c:f>
              <c:numCache>
                <c:formatCode>0.00</c:formatCode>
                <c:ptCount val="3"/>
                <c:pt idx="0" formatCode="General">
                  <c:v>0</c:v>
                </c:pt>
                <c:pt idx="1">
                  <c:v>1.1691327046126441</c:v>
                </c:pt>
                <c:pt idx="2">
                  <c:v>1.1691327046126441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830-42BC-B79E-E420A9683BD0}"/>
            </c:ext>
          </c:extLst>
        </c:ser>
        <c:ser>
          <c:idx val="2"/>
          <c:order val="2"/>
          <c:tx>
            <c:v>95 % CBR</c:v>
          </c:tx>
          <c:spPr>
            <a:ln w="19050">
              <a:solidFill>
                <a:srgbClr val="002060"/>
              </a:solidFill>
              <a:prstDash val="sysDash"/>
            </a:ln>
          </c:spPr>
          <c:marker>
            <c:symbol val="none"/>
          </c:marker>
          <c:dPt>
            <c:idx val="1"/>
            <c:bubble3D val="0"/>
            <c:spPr>
              <a:ln w="19050">
                <a:solidFill>
                  <a:srgbClr val="FF0000"/>
                </a:solidFill>
                <a:prstDash val="sysDash"/>
              </a:ln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4-E830-42BC-B79E-E420A9683BD0}"/>
              </c:ext>
            </c:extLst>
          </c:dPt>
          <c:dPt>
            <c:idx val="2"/>
            <c:bubble3D val="0"/>
            <c:spPr>
              <a:ln w="19050">
                <a:solidFill>
                  <a:srgbClr val="FF0000"/>
                </a:solidFill>
                <a:prstDash val="sysDash"/>
              </a:ln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6-E830-42BC-B79E-E420A9683BD0}"/>
              </c:ext>
            </c:extLst>
          </c:dPt>
          <c:xVal>
            <c:numRef>
              <c:f>unsoaked!$BF$43:$BF$45</c:f>
              <c:numCache>
                <c:formatCode>0</c:formatCode>
                <c:ptCount val="3"/>
                <c:pt idx="0">
                  <c:v>28.3</c:v>
                </c:pt>
                <c:pt idx="1">
                  <c:v>28.3</c:v>
                </c:pt>
                <c:pt idx="2">
                  <c:v>0</c:v>
                </c:pt>
              </c:numCache>
              <c:extLst xmlns:c15="http://schemas.microsoft.com/office/drawing/2012/chart"/>
            </c:numRef>
          </c:xVal>
          <c:yVal>
            <c:numRef>
              <c:f>unsoaked!$BG$43:$BG$45</c:f>
              <c:numCache>
                <c:formatCode>0.000</c:formatCode>
                <c:ptCount val="3"/>
                <c:pt idx="0" formatCode="General">
                  <c:v>0</c:v>
                </c:pt>
                <c:pt idx="1">
                  <c:v>1.1457500505203912</c:v>
                </c:pt>
                <c:pt idx="2">
                  <c:v>1.1457500505203912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E830-42BC-B79E-E420A9683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174592"/>
        <c:axId val="853172960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3"/>
                <c:spPr>
                  <a:ln w="22225" cmpd="sng">
                    <a:solidFill>
                      <a:srgbClr val="00B050">
                        <a:alpha val="52000"/>
                      </a:srgbClr>
                    </a:solidFill>
                    <a:prstDash val="sysDash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unsoaked!$BF$43:$BF$45</c15:sqref>
                        </c15:formulaRef>
                      </c:ext>
                    </c:extLst>
                    <c:numCache>
                      <c:formatCode>0</c:formatCode>
                      <c:ptCount val="3"/>
                      <c:pt idx="0">
                        <c:v>28.3</c:v>
                      </c:pt>
                      <c:pt idx="1">
                        <c:v>28.3</c:v>
                      </c:pt>
                      <c:pt idx="2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unsoaked!$BG$43:$BG$45</c15:sqref>
                        </c15:formulaRef>
                      </c:ext>
                    </c:extLst>
                    <c:numCache>
                      <c:formatCode>0.000</c:formatCode>
                      <c:ptCount val="3"/>
                      <c:pt idx="0" formatCode="General">
                        <c:v>0</c:v>
                      </c:pt>
                      <c:pt idx="1">
                        <c:v>1.1457500505203912</c:v>
                      </c:pt>
                      <c:pt idx="2">
                        <c:v>1.1457500505203912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D2BC-4169-8855-977A2B7DDB83}"/>
                  </c:ext>
                </c:extLst>
              </c15:ser>
            </c15:filteredScatterSeries>
          </c:ext>
        </c:extLst>
      </c:scatterChart>
      <c:valAx>
        <c:axId val="853174592"/>
        <c:scaling>
          <c:orientation val="minMax"/>
          <c:max val="34"/>
          <c:min val="25"/>
        </c:scaling>
        <c:delete val="0"/>
        <c:axPos val="b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minorGridlines>
          <c:spPr>
            <a:ln>
              <a:solidFill>
                <a:srgbClr val="000000">
                  <a:alpha val="1600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 sz="1000" b="1"/>
                  <a:t>CBR  (%)</a:t>
                </a:r>
              </a:p>
            </c:rich>
          </c:tx>
          <c:layout>
            <c:manualLayout>
              <c:xMode val="edge"/>
              <c:yMode val="edge"/>
              <c:x val="0.37656977855924906"/>
              <c:y val="0.958187666678446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3172960"/>
        <c:crosses val="autoZero"/>
        <c:crossBetween val="midCat"/>
        <c:majorUnit val="2"/>
        <c:minorUnit val="1"/>
      </c:valAx>
      <c:valAx>
        <c:axId val="853172960"/>
        <c:scaling>
          <c:orientation val="minMax"/>
          <c:max val="1.35"/>
          <c:min val="1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minorGridlines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>
                <a:noFill/>
              </a:defRPr>
            </a:pPr>
            <a:endParaRPr lang="en-US"/>
          </a:p>
        </c:txPr>
        <c:crossAx val="853174592"/>
        <c:crosses val="autoZero"/>
        <c:crossBetween val="midCat"/>
        <c:minorUnit val="1.0000000000000002E-2"/>
      </c:valAx>
      <c:spPr>
        <a:noFill/>
        <a:ln w="12700"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6979125800208612"/>
          <c:y val="7.4660035704290584E-2"/>
          <c:w val="0.54886280623622286"/>
          <c:h val="0.15307301996763323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/>
        <a:lstStyle/>
        <a:p>
          <a:pPr>
            <a:defRPr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 paperSize="9" orientation="landscape" horizontalDpi="360" verticalDpi="360"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460725743479"/>
          <c:y val="3.2861060367454092E-2"/>
          <c:w val="0.85549294777459173"/>
          <c:h val="0.84082376902887901"/>
        </c:manualLayout>
      </c:layout>
      <c:scatterChart>
        <c:scatterStyle val="lineMarker"/>
        <c:varyColors val="0"/>
        <c:ser>
          <c:idx val="0"/>
          <c:order val="0"/>
          <c:spPr>
            <a:ln w="31750">
              <a:solidFill>
                <a:schemeClr val="accent6"/>
              </a:solidFill>
              <a:prstDash val="solid"/>
            </a:ln>
          </c:spPr>
          <c:marker>
            <c:symbol val="circle"/>
            <c:size val="5"/>
            <c:spPr>
              <a:noFill/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unsoaked!$BF$20:$BF$24</c:f>
              <c:numCache>
                <c:formatCode>0.000</c:formatCode>
                <c:ptCount val="5"/>
                <c:pt idx="0">
                  <c:v>39.961656783628321</c:v>
                </c:pt>
                <c:pt idx="1">
                  <c:v>42.043074491207285</c:v>
                </c:pt>
                <c:pt idx="2">
                  <c:v>45.372815079709902</c:v>
                </c:pt>
                <c:pt idx="3">
                  <c:v>48.335004668211219</c:v>
                </c:pt>
                <c:pt idx="4">
                  <c:v>51.333497053045186</c:v>
                </c:pt>
              </c:numCache>
            </c:numRef>
          </c:xVal>
          <c:yVal>
            <c:numRef>
              <c:f>unsoaked!$BH$20:$BH$24</c:f>
              <c:numCache>
                <c:formatCode>0.000</c:formatCode>
                <c:ptCount val="5"/>
                <c:pt idx="0">
                  <c:v>1.0354276061549237</c:v>
                </c:pt>
                <c:pt idx="1">
                  <c:v>1.096125136280383</c:v>
                </c:pt>
                <c:pt idx="2">
                  <c:v>1.1691327046126441</c:v>
                </c:pt>
                <c:pt idx="3">
                  <c:v>1.1217826106559929</c:v>
                </c:pt>
                <c:pt idx="4">
                  <c:v>1.0421377699237933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CA1-406F-BFCD-0A751DA8220F}"/>
            </c:ext>
          </c:extLst>
        </c:ser>
        <c:ser>
          <c:idx val="4"/>
          <c:order val="1"/>
          <c:tx>
            <c:v>100</c:v>
          </c:tx>
          <c:spPr>
            <a:ln w="15875">
              <a:solidFill>
                <a:schemeClr val="tx2"/>
              </a:solidFill>
              <a:prstDash val="sysDash"/>
            </a:ln>
          </c:spPr>
          <c:marker>
            <c:symbol val="none"/>
          </c:marker>
          <c:xVal>
            <c:numRef>
              <c:f>unsoaked!$BI$48:$BI$50</c:f>
              <c:numCache>
                <c:formatCode>General</c:formatCode>
                <c:ptCount val="3"/>
                <c:pt idx="0">
                  <c:v>45.737000000000002</c:v>
                </c:pt>
                <c:pt idx="1">
                  <c:v>45.737000000000002</c:v>
                </c:pt>
                <c:pt idx="2">
                  <c:v>60</c:v>
                </c:pt>
              </c:numCache>
            </c:numRef>
          </c:xVal>
          <c:yVal>
            <c:numRef>
              <c:f>unsoaked!$BJ$48:$BJ$50</c:f>
              <c:numCache>
                <c:formatCode>0.000</c:formatCode>
                <c:ptCount val="3"/>
                <c:pt idx="0" formatCode="General">
                  <c:v>0</c:v>
                </c:pt>
                <c:pt idx="1">
                  <c:v>1.1691327046126441</c:v>
                </c:pt>
                <c:pt idx="2">
                  <c:v>1.1691327046126441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A1-406F-BFCD-0A751DA8220F}"/>
            </c:ext>
          </c:extLst>
        </c:ser>
        <c:ser>
          <c:idx val="1"/>
          <c:order val="2"/>
          <c:spPr>
            <a:ln w="15875" cmpd="sng">
              <a:solidFill>
                <a:schemeClr val="tx2">
                  <a:lumMod val="60000"/>
                  <a:lumOff val="40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unsoaked!$BF$20:$BF$24</c:f>
              <c:numCache>
                <c:formatCode>0.000</c:formatCode>
                <c:ptCount val="5"/>
                <c:pt idx="0">
                  <c:v>39.961656783628321</c:v>
                </c:pt>
                <c:pt idx="1">
                  <c:v>42.043074491207285</c:v>
                </c:pt>
                <c:pt idx="2">
                  <c:v>45.372815079709902</c:v>
                </c:pt>
                <c:pt idx="3">
                  <c:v>48.335004668211219</c:v>
                </c:pt>
                <c:pt idx="4">
                  <c:v>51.333497053045186</c:v>
                </c:pt>
              </c:numCache>
            </c:numRef>
          </c:xVal>
          <c:yVal>
            <c:numRef>
              <c:f>unsoaked!$BJ$20:$BJ$24</c:f>
              <c:numCache>
                <c:formatCode>0.000</c:formatCode>
                <c:ptCount val="5"/>
                <c:pt idx="0">
                  <c:v>1.2869803112499651</c:v>
                </c:pt>
                <c:pt idx="1">
                  <c:v>1.2534048100052806</c:v>
                </c:pt>
                <c:pt idx="2">
                  <c:v>1.2031895397182666</c:v>
                </c:pt>
                <c:pt idx="3">
                  <c:v>1.1617827259011535</c:v>
                </c:pt>
                <c:pt idx="4">
                  <c:v>1.1226733158088231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0-4099-A5CC-DA2666980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3175136"/>
        <c:axId val="853177312"/>
      </c:scatterChart>
      <c:valAx>
        <c:axId val="853175136"/>
        <c:scaling>
          <c:orientation val="minMax"/>
          <c:max val="54"/>
          <c:min val="38"/>
        </c:scaling>
        <c:delete val="0"/>
        <c:axPos val="b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en-US" sz="1000" b="1"/>
                  <a:t>Moisture Content (%)</a:t>
                </a:r>
              </a:p>
            </c:rich>
          </c:tx>
          <c:layout>
            <c:manualLayout>
              <c:xMode val="edge"/>
              <c:yMode val="edge"/>
              <c:x val="0.38921088886878158"/>
              <c:y val="0.93584374986834518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3177312"/>
        <c:crosses val="autoZero"/>
        <c:crossBetween val="midCat"/>
      </c:valAx>
      <c:valAx>
        <c:axId val="853177312"/>
        <c:scaling>
          <c:orientation val="minMax"/>
          <c:min val="1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chemeClr val="bg1">
                  <a:lumMod val="75000"/>
                </a:schemeClr>
              </a:solidFill>
              <a:prstDash val="sysDash"/>
            </a:ln>
          </c:spPr>
        </c:minorGridlines>
        <c:title>
          <c:tx>
            <c:rich>
              <a:bodyPr/>
              <a:lstStyle/>
              <a:p>
                <a:pPr>
                  <a:defRPr sz="1000" b="1"/>
                </a:pPr>
                <a:r>
                  <a:rPr lang="id-ID" sz="1000" b="1"/>
                  <a:t>Dry density (g/cm3)</a:t>
                </a:r>
              </a:p>
            </c:rich>
          </c:tx>
          <c:layout>
            <c:manualLayout>
              <c:xMode val="edge"/>
              <c:yMode val="edge"/>
              <c:x val="1.9267735417964841E-3"/>
              <c:y val="0.4353326293803167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853175136"/>
        <c:crosses val="autoZero"/>
        <c:crossBetween val="midCat"/>
        <c:minorUnit val="1.0000000000000002E-2"/>
      </c:valAx>
      <c:spPr>
        <a:noFill/>
        <a:ln w="12700">
          <a:solidFill>
            <a:schemeClr val="tx1">
              <a:alpha val="40240"/>
            </a:schemeClr>
          </a:solidFill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000000000000733" r="0.75000000000000733" t="1" header="0.5" footer="0.5"/>
    <c:pageSetup paperSize="9" orientation="landscape"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199744581690321"/>
          <c:y val="0.12783613162692395"/>
          <c:w val="0.86593126627444972"/>
          <c:h val="0.81065088757396453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chemeClr val="accent1"/>
              </a:solidFill>
              <a:prstDash val="sysDash"/>
            </a:ln>
          </c:spPr>
          <c:marker>
            <c:symbol val="circle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'Standard Proctor'!$X$30:$X$34</c:f>
              <c:numCache>
                <c:formatCode>0.000</c:formatCode>
                <c:ptCount val="5"/>
                <c:pt idx="0">
                  <c:v>39.961656783628321</c:v>
                </c:pt>
                <c:pt idx="1">
                  <c:v>42.043074491207285</c:v>
                </c:pt>
                <c:pt idx="2">
                  <c:v>45.372815079709902</c:v>
                </c:pt>
                <c:pt idx="3">
                  <c:v>48.335004668211219</c:v>
                </c:pt>
                <c:pt idx="4">
                  <c:v>51.333497053045186</c:v>
                </c:pt>
              </c:numCache>
            </c:numRef>
          </c:xVal>
          <c:yVal>
            <c:numRef>
              <c:f>'Standard Proctor'!$Z$30:$Z$34</c:f>
              <c:numCache>
                <c:formatCode>0.000</c:formatCode>
                <c:ptCount val="5"/>
                <c:pt idx="0">
                  <c:v>1.2869803112499651</c:v>
                </c:pt>
                <c:pt idx="1">
                  <c:v>1.2534048100052806</c:v>
                </c:pt>
                <c:pt idx="2">
                  <c:v>1.2031895397182666</c:v>
                </c:pt>
                <c:pt idx="3">
                  <c:v>1.1617827259011535</c:v>
                </c:pt>
                <c:pt idx="4">
                  <c:v>1.1226733158088231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AB3-49D3-A4AB-EC6C1377D423}"/>
            </c:ext>
          </c:extLst>
        </c:ser>
        <c:ser>
          <c:idx val="1"/>
          <c:order val="1"/>
          <c:spPr>
            <a:ln w="19050">
              <a:solidFill>
                <a:schemeClr val="accent6"/>
              </a:solidFill>
            </a:ln>
          </c:spPr>
          <c:marker>
            <c:symbol val="circle"/>
            <c:size val="2"/>
          </c:marker>
          <c:xVal>
            <c:numRef>
              <c:f>'Standard Proctor'!$X$30:$X$34</c:f>
              <c:numCache>
                <c:formatCode>0.000</c:formatCode>
                <c:ptCount val="5"/>
                <c:pt idx="0">
                  <c:v>39.961656783628321</c:v>
                </c:pt>
                <c:pt idx="1">
                  <c:v>42.043074491207285</c:v>
                </c:pt>
                <c:pt idx="2">
                  <c:v>45.372815079709902</c:v>
                </c:pt>
                <c:pt idx="3">
                  <c:v>48.335004668211219</c:v>
                </c:pt>
                <c:pt idx="4">
                  <c:v>51.333497053045186</c:v>
                </c:pt>
              </c:numCache>
            </c:numRef>
          </c:xVal>
          <c:yVal>
            <c:numRef>
              <c:f>'Standard Proctor'!$Y$30:$Y$34</c:f>
              <c:numCache>
                <c:formatCode>0.000</c:formatCode>
                <c:ptCount val="5"/>
                <c:pt idx="0">
                  <c:v>1.0354276061549237</c:v>
                </c:pt>
                <c:pt idx="1">
                  <c:v>1.096125136280383</c:v>
                </c:pt>
                <c:pt idx="2">
                  <c:v>1.1691327046126441</c:v>
                </c:pt>
                <c:pt idx="3">
                  <c:v>1.1217826106559929</c:v>
                </c:pt>
                <c:pt idx="4">
                  <c:v>1.0421377699237933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AB3-49D3-A4AB-EC6C1377D423}"/>
            </c:ext>
          </c:extLst>
        </c:ser>
        <c:ser>
          <c:idx val="2"/>
          <c:order val="2"/>
          <c:spPr>
            <a:ln w="9525">
              <a:solidFill>
                <a:schemeClr val="tx1"/>
              </a:solidFill>
              <a:prstDash val="dash"/>
            </a:ln>
          </c:spPr>
          <c:marker>
            <c:symbol val="circle"/>
            <c:size val="2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xVal>
            <c:numRef>
              <c:f>'Standard Proctor'!$X$40:$X$41</c:f>
              <c:numCache>
                <c:formatCode>0.000</c:formatCode>
                <c:ptCount val="2"/>
                <c:pt idx="0">
                  <c:v>45.737000000000002</c:v>
                </c:pt>
                <c:pt idx="1">
                  <c:v>0</c:v>
                </c:pt>
              </c:numCache>
            </c:numRef>
          </c:xVal>
          <c:yVal>
            <c:numRef>
              <c:f>'Standard Proctor'!$Y$40:$Y$41</c:f>
              <c:numCache>
                <c:formatCode>0.000</c:formatCode>
                <c:ptCount val="2"/>
                <c:pt idx="0">
                  <c:v>1.1691327046126441</c:v>
                </c:pt>
                <c:pt idx="1">
                  <c:v>1.1691327046126441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B3-49D3-A4AB-EC6C1377D423}"/>
            </c:ext>
          </c:extLst>
        </c:ser>
        <c:ser>
          <c:idx val="4"/>
          <c:order val="3"/>
          <c:spPr>
            <a:ln w="12700">
              <a:solidFill>
                <a:schemeClr val="tx1"/>
              </a:solidFill>
              <a:prstDash val="dash"/>
            </a:ln>
          </c:spPr>
          <c:marker>
            <c:symbol val="circle"/>
            <c:size val="2"/>
            <c:spPr>
              <a:solidFill>
                <a:srgbClr val="000000"/>
              </a:solidFill>
              <a:ln>
                <a:solidFill>
                  <a:srgbClr val="800080"/>
                </a:solidFill>
                <a:prstDash val="solid"/>
              </a:ln>
            </c:spPr>
          </c:marker>
          <c:xVal>
            <c:numRef>
              <c:f>'Standard Proctor'!$X$43:$X$44</c:f>
              <c:numCache>
                <c:formatCode>0.000</c:formatCode>
                <c:ptCount val="2"/>
                <c:pt idx="0">
                  <c:v>45.737000000000002</c:v>
                </c:pt>
                <c:pt idx="1">
                  <c:v>45.737000000000002</c:v>
                </c:pt>
              </c:numCache>
            </c:numRef>
          </c:xVal>
          <c:yVal>
            <c:numRef>
              <c:f>'Standard Proctor'!$Y$43:$Y$44</c:f>
              <c:numCache>
                <c:formatCode>0.000</c:formatCode>
                <c:ptCount val="2"/>
                <c:pt idx="0">
                  <c:v>1.1691327046126441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B3-49D3-A4AB-EC6C1377D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1975856"/>
        <c:axId val="1"/>
      </c:scatterChart>
      <c:valAx>
        <c:axId val="691975856"/>
        <c:scaling>
          <c:orientation val="minMax"/>
          <c:max val="57"/>
          <c:min val="35"/>
        </c:scaling>
        <c:delete val="0"/>
        <c:axPos val="b"/>
        <c:majorGridlines>
          <c:spPr>
            <a:ln>
              <a:solidFill>
                <a:srgbClr val="000000">
                  <a:alpha val="50000"/>
                </a:srgbClr>
              </a:solidFill>
            </a:ln>
          </c:spPr>
        </c:majorGridlines>
        <c:minorGridlines>
          <c:spPr>
            <a:ln>
              <a:solidFill>
                <a:srgbClr val="000000">
                  <a:alpha val="12000"/>
                </a:srgbClr>
              </a:solidFill>
            </a:ln>
          </c:spPr>
        </c:minorGridlines>
        <c:numFmt formatCode="General" sourceLinked="0"/>
        <c:majorTickMark val="out"/>
        <c:minorTickMark val="out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.35"/>
          <c:min val="1"/>
        </c:scaling>
        <c:delete val="0"/>
        <c:axPos val="l"/>
        <c:majorGridlines>
          <c:spPr>
            <a:ln w="3175">
              <a:solidFill>
                <a:srgbClr val="000000">
                  <a:alpha val="50000"/>
                </a:srgbClr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Berat isi kering ( g / cc )</a:t>
                </a:r>
              </a:p>
            </c:rich>
          </c:tx>
          <c:layout>
            <c:manualLayout>
              <c:xMode val="edge"/>
              <c:yMode val="edge"/>
              <c:x val="3.4418306221197743E-2"/>
              <c:y val="0.39136749217590105"/>
            </c:manualLayout>
          </c:layout>
          <c:overlay val="0"/>
          <c:spPr>
            <a:noFill/>
            <a:ln w="25400">
              <a:noFill/>
            </a:ln>
          </c:spPr>
        </c:title>
        <c:numFmt formatCode="0.000" sourceLinked="0"/>
        <c:majorTickMark val="in"/>
        <c:minorTickMark val="in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691975856"/>
        <c:crosses val="autoZero"/>
        <c:crossBetween val="midCat"/>
        <c:minorUnit val="5.000000000000001E-2"/>
      </c:valAx>
      <c:spPr>
        <a:noFill/>
        <a:ln w="12700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noFill/>
    <a:ln w="3175">
      <a:noFill/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ptos" panose="020B0004020202020204" pitchFamily="34" charset="0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3" verticalDpi="-3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image" Target="../media/image5.png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3.png"/><Relationship Id="rId1" Type="http://schemas.openxmlformats.org/officeDocument/2006/relationships/chart" Target="../charts/chart7.xml"/><Relationship Id="rId4" Type="http://schemas.openxmlformats.org/officeDocument/2006/relationships/image" Target="../media/image7.tmp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13" Type="http://schemas.openxmlformats.org/officeDocument/2006/relationships/chart" Target="../charts/chart22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12" Type="http://schemas.openxmlformats.org/officeDocument/2006/relationships/chart" Target="../charts/chart21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11" Type="http://schemas.openxmlformats.org/officeDocument/2006/relationships/chart" Target="../charts/chart20.xml"/><Relationship Id="rId5" Type="http://schemas.openxmlformats.org/officeDocument/2006/relationships/chart" Target="../charts/chart14.xml"/><Relationship Id="rId15" Type="http://schemas.openxmlformats.org/officeDocument/2006/relationships/image" Target="../media/image8.png"/><Relationship Id="rId10" Type="http://schemas.openxmlformats.org/officeDocument/2006/relationships/chart" Target="../charts/chart19.xml"/><Relationship Id="rId4" Type="http://schemas.openxmlformats.org/officeDocument/2006/relationships/chart" Target="../charts/chart13.xml"/><Relationship Id="rId9" Type="http://schemas.openxmlformats.org/officeDocument/2006/relationships/chart" Target="../charts/chart18.xml"/><Relationship Id="rId14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image" Target="../media/image4.jpe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30.xml"/><Relationship Id="rId1" Type="http://schemas.openxmlformats.org/officeDocument/2006/relationships/chart" Target="../charts/chart29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32.xml"/><Relationship Id="rId1" Type="http://schemas.openxmlformats.org/officeDocument/2006/relationships/chart" Target="../charts/chart3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3.xml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6" Type="http://schemas.openxmlformats.org/officeDocument/2006/relationships/image" Target="../media/image4.jpeg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7" Type="http://schemas.openxmlformats.org/officeDocument/2006/relationships/image" Target="../media/image8.png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6" Type="http://schemas.openxmlformats.org/officeDocument/2006/relationships/chart" Target="../charts/chart42.xml"/><Relationship Id="rId5" Type="http://schemas.openxmlformats.org/officeDocument/2006/relationships/chart" Target="../charts/chart41.xml"/><Relationship Id="rId4" Type="http://schemas.openxmlformats.org/officeDocument/2006/relationships/chart" Target="../charts/chart40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5.xml"/><Relationship Id="rId2" Type="http://schemas.openxmlformats.org/officeDocument/2006/relationships/chart" Target="../charts/chart44.xml"/><Relationship Id="rId1" Type="http://schemas.openxmlformats.org/officeDocument/2006/relationships/chart" Target="../charts/chart43.xml"/><Relationship Id="rId4" Type="http://schemas.openxmlformats.org/officeDocument/2006/relationships/image" Target="../media/image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6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2.xml"/><Relationship Id="rId2" Type="http://schemas.openxmlformats.org/officeDocument/2006/relationships/chart" Target="../charts/chart51.xml"/><Relationship Id="rId1" Type="http://schemas.openxmlformats.org/officeDocument/2006/relationships/chart" Target="../charts/chart50.xml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5.xml"/><Relationship Id="rId2" Type="http://schemas.openxmlformats.org/officeDocument/2006/relationships/chart" Target="../charts/chart54.xml"/><Relationship Id="rId1" Type="http://schemas.openxmlformats.org/officeDocument/2006/relationships/chart" Target="../charts/chart53.xml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chart" Target="../charts/chart58.xml"/><Relationship Id="rId7" Type="http://schemas.openxmlformats.org/officeDocument/2006/relationships/chart" Target="../charts/chart62.xml"/><Relationship Id="rId2" Type="http://schemas.openxmlformats.org/officeDocument/2006/relationships/chart" Target="../charts/chart57.xml"/><Relationship Id="rId1" Type="http://schemas.openxmlformats.org/officeDocument/2006/relationships/chart" Target="../charts/chart56.xml"/><Relationship Id="rId6" Type="http://schemas.openxmlformats.org/officeDocument/2006/relationships/chart" Target="../charts/chart61.xml"/><Relationship Id="rId5" Type="http://schemas.openxmlformats.org/officeDocument/2006/relationships/chart" Target="../charts/chart60.xml"/><Relationship Id="rId4" Type="http://schemas.openxmlformats.org/officeDocument/2006/relationships/chart" Target="../charts/chart59.xml"/><Relationship Id="rId9" Type="http://schemas.openxmlformats.org/officeDocument/2006/relationships/chart" Target="../charts/chart63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7" Type="http://schemas.openxmlformats.org/officeDocument/2006/relationships/chart" Target="../charts/chart67.xml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6" Type="http://schemas.openxmlformats.org/officeDocument/2006/relationships/image" Target="../media/image4.jpeg"/><Relationship Id="rId5" Type="http://schemas.openxmlformats.org/officeDocument/2006/relationships/chart" Target="../charts/chart66.xml"/><Relationship Id="rId4" Type="http://schemas.openxmlformats.org/officeDocument/2006/relationships/chart" Target="../charts/chart65.xml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8.xml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6" Type="http://schemas.openxmlformats.org/officeDocument/2006/relationships/chart" Target="../charts/chart71.xml"/><Relationship Id="rId5" Type="http://schemas.openxmlformats.org/officeDocument/2006/relationships/chart" Target="../charts/chart70.xml"/><Relationship Id="rId4" Type="http://schemas.openxmlformats.org/officeDocument/2006/relationships/chart" Target="../charts/chart69.xml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drawing3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6.xml"/><Relationship Id="rId3" Type="http://schemas.openxmlformats.org/officeDocument/2006/relationships/image" Target="../media/image10.emf"/><Relationship Id="rId7" Type="http://schemas.openxmlformats.org/officeDocument/2006/relationships/image" Target="../media/image8.png"/><Relationship Id="rId2" Type="http://schemas.openxmlformats.org/officeDocument/2006/relationships/image" Target="../media/image9.emf"/><Relationship Id="rId1" Type="http://schemas.openxmlformats.org/officeDocument/2006/relationships/chart" Target="../charts/chart72.xml"/><Relationship Id="rId6" Type="http://schemas.openxmlformats.org/officeDocument/2006/relationships/chart" Target="../charts/chart75.xml"/><Relationship Id="rId5" Type="http://schemas.openxmlformats.org/officeDocument/2006/relationships/chart" Target="../charts/chart74.xml"/><Relationship Id="rId10" Type="http://schemas.openxmlformats.org/officeDocument/2006/relationships/image" Target="../media/image15.png"/><Relationship Id="rId4" Type="http://schemas.openxmlformats.org/officeDocument/2006/relationships/chart" Target="../charts/chart73.xml"/><Relationship Id="rId9" Type="http://schemas.openxmlformats.org/officeDocument/2006/relationships/chart" Target="../charts/chart77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4.jpeg"/><Relationship Id="rId1" Type="http://schemas.openxmlformats.org/officeDocument/2006/relationships/chart" Target="../charts/chart78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4.jpeg"/><Relationship Id="rId1" Type="http://schemas.openxmlformats.org/officeDocument/2006/relationships/chart" Target="../charts/chart79.xml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4.jpeg"/><Relationship Id="rId1" Type="http://schemas.openxmlformats.org/officeDocument/2006/relationships/chart" Target="../charts/chart80.xml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chart" Target="../charts/chart82.xml"/><Relationship Id="rId1" Type="http://schemas.openxmlformats.org/officeDocument/2006/relationships/chart" Target="../charts/chart81.xml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chart" Target="../charts/chart83.xml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619125</xdr:colOff>
      <xdr:row>19</xdr:row>
      <xdr:rowOff>141306</xdr:rowOff>
    </xdr:from>
    <xdr:to>
      <xdr:col>14</xdr:col>
      <xdr:colOff>2485</xdr:colOff>
      <xdr:row>41</xdr:row>
      <xdr:rowOff>151609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48E34A-9542-FB01-6D69-7264311C5D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234415</xdr:colOff>
      <xdr:row>153</xdr:row>
      <xdr:rowOff>105334</xdr:rowOff>
    </xdr:from>
    <xdr:to>
      <xdr:col>19</xdr:col>
      <xdr:colOff>269518</xdr:colOff>
      <xdr:row>156</xdr:row>
      <xdr:rowOff>71715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alphaModFix amt="2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002" b="37289"/>
        <a:stretch/>
      </xdr:blipFill>
      <xdr:spPr>
        <a:xfrm>
          <a:off x="12959815" y="14573809"/>
          <a:ext cx="2121078" cy="480731"/>
        </a:xfrm>
        <a:prstGeom prst="rect">
          <a:avLst/>
        </a:prstGeom>
      </xdr:spPr>
    </xdr:pic>
    <xdr:clientData/>
  </xdr:twoCellAnchor>
  <xdr:twoCellAnchor editAs="oneCell">
    <xdr:from>
      <xdr:col>12</xdr:col>
      <xdr:colOff>219075</xdr:colOff>
      <xdr:row>152</xdr:row>
      <xdr:rowOff>48040</xdr:rowOff>
    </xdr:from>
    <xdr:to>
      <xdr:col>13</xdr:col>
      <xdr:colOff>1680064</xdr:colOff>
      <xdr:row>160</xdr:row>
      <xdr:rowOff>79100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943" t="29126" r="19856" b="20388"/>
        <a:stretch/>
      </xdr:blipFill>
      <xdr:spPr>
        <a:xfrm>
          <a:off x="9277350" y="19012315"/>
          <a:ext cx="1984864" cy="123121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2</xdr:row>
      <xdr:rowOff>19050</xdr:rowOff>
    </xdr:from>
    <xdr:to>
      <xdr:col>3</xdr:col>
      <xdr:colOff>624672</xdr:colOff>
      <xdr:row>6</xdr:row>
      <xdr:rowOff>114860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6AFF77-9C8E-493D-9BA6-8995BA851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304800"/>
          <a:ext cx="834222" cy="848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97368</xdr:colOff>
      <xdr:row>1</xdr:row>
      <xdr:rowOff>71966</xdr:rowOff>
    </xdr:from>
    <xdr:to>
      <xdr:col>7</xdr:col>
      <xdr:colOff>304800</xdr:colOff>
      <xdr:row>4</xdr:row>
      <xdr:rowOff>70364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249768" y="271991"/>
          <a:ext cx="2788707" cy="5984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220980</xdr:colOff>
      <xdr:row>11</xdr:row>
      <xdr:rowOff>114300</xdr:rowOff>
    </xdr:from>
    <xdr:to>
      <xdr:col>58</xdr:col>
      <xdr:colOff>205740</xdr:colOff>
      <xdr:row>23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243840</xdr:colOff>
      <xdr:row>24</xdr:row>
      <xdr:rowOff>114300</xdr:rowOff>
    </xdr:from>
    <xdr:to>
      <xdr:col>58</xdr:col>
      <xdr:colOff>220980</xdr:colOff>
      <xdr:row>35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205740</xdr:colOff>
      <xdr:row>20</xdr:row>
      <xdr:rowOff>182880</xdr:rowOff>
    </xdr:from>
    <xdr:to>
      <xdr:col>21</xdr:col>
      <xdr:colOff>76200</xdr:colOff>
      <xdr:row>41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46196</xdr:colOff>
      <xdr:row>17</xdr:row>
      <xdr:rowOff>75723</xdr:rowOff>
    </xdr:from>
    <xdr:to>
      <xdr:col>11</xdr:col>
      <xdr:colOff>664873</xdr:colOff>
      <xdr:row>18</xdr:row>
      <xdr:rowOff>26417</xdr:rowOff>
    </xdr:to>
    <xdr:sp macro="" textlink="">
      <xdr:nvSpPr>
        <xdr:cNvPr id="5" name="Text 8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>
          <a:spLocks noChangeArrowheads="1"/>
        </xdr:cNvSpPr>
      </xdr:nvSpPr>
      <xdr:spPr bwMode="auto">
        <a:xfrm>
          <a:off x="9368790" y="3201114"/>
          <a:ext cx="618677" cy="14119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d-ID" sz="800" b="1" i="0" strike="noStrike">
              <a:solidFill>
                <a:srgbClr val="FF0000"/>
              </a:solidFill>
              <a:latin typeface="Arial"/>
              <a:cs typeface="Arial"/>
            </a:rPr>
            <a:t>CLAY</a:t>
          </a:r>
        </a:p>
      </xdr:txBody>
    </xdr:sp>
    <xdr:clientData/>
  </xdr:twoCellAnchor>
  <xdr:twoCellAnchor>
    <xdr:from>
      <xdr:col>12</xdr:col>
      <xdr:colOff>304800</xdr:colOff>
      <xdr:row>17</xdr:row>
      <xdr:rowOff>87630</xdr:rowOff>
    </xdr:from>
    <xdr:to>
      <xdr:col>13</xdr:col>
      <xdr:colOff>98641</xdr:colOff>
      <xdr:row>18</xdr:row>
      <xdr:rowOff>30480</xdr:rowOff>
    </xdr:to>
    <xdr:sp macro="" textlink="">
      <xdr:nvSpPr>
        <xdr:cNvPr id="6" name="Text 9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>
          <a:spLocks noChangeArrowheads="1"/>
        </xdr:cNvSpPr>
      </xdr:nvSpPr>
      <xdr:spPr bwMode="auto">
        <a:xfrm>
          <a:off x="10323909" y="3213021"/>
          <a:ext cx="520123" cy="1333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ctr" rtl="0">
            <a:defRPr sz="1000"/>
          </a:pPr>
          <a:r>
            <a:rPr lang="id-ID" sz="800" b="1" i="0" strike="noStrike">
              <a:solidFill>
                <a:srgbClr val="0000FF"/>
              </a:solidFill>
              <a:latin typeface="Arial"/>
              <a:cs typeface="Arial"/>
            </a:rPr>
            <a:t>SILT</a:t>
          </a:r>
        </a:p>
      </xdr:txBody>
    </xdr:sp>
    <xdr:clientData/>
  </xdr:twoCellAnchor>
  <xdr:twoCellAnchor>
    <xdr:from>
      <xdr:col>14</xdr:col>
      <xdr:colOff>185500</xdr:colOff>
      <xdr:row>17</xdr:row>
      <xdr:rowOff>84534</xdr:rowOff>
    </xdr:from>
    <xdr:to>
      <xdr:col>15</xdr:col>
      <xdr:colOff>115728</xdr:colOff>
      <xdr:row>18</xdr:row>
      <xdr:rowOff>17859</xdr:rowOff>
    </xdr:to>
    <xdr:sp macro="" textlink="">
      <xdr:nvSpPr>
        <xdr:cNvPr id="7" name="Text 10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>
          <a:spLocks noChangeArrowheads="1"/>
        </xdr:cNvSpPr>
      </xdr:nvSpPr>
      <xdr:spPr bwMode="auto">
        <a:xfrm>
          <a:off x="11627406" y="3209925"/>
          <a:ext cx="608885" cy="1238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ctr" upright="1"/>
        <a:lstStyle/>
        <a:p>
          <a:pPr algn="ctr" rtl="0">
            <a:defRPr sz="1000"/>
          </a:pPr>
          <a:r>
            <a:rPr lang="id-ID" sz="800" b="1" i="0" strike="noStrike">
              <a:solidFill>
                <a:srgbClr val="008080"/>
              </a:solidFill>
              <a:latin typeface="Arial"/>
              <a:cs typeface="Arial"/>
            </a:rPr>
            <a:t>SAND</a:t>
          </a:r>
        </a:p>
      </xdr:txBody>
    </xdr:sp>
    <xdr:clientData/>
  </xdr:twoCellAnchor>
  <xdr:twoCellAnchor>
    <xdr:from>
      <xdr:col>52</xdr:col>
      <xdr:colOff>232421</xdr:colOff>
      <xdr:row>0</xdr:row>
      <xdr:rowOff>114300</xdr:rowOff>
    </xdr:from>
    <xdr:to>
      <xdr:col>58</xdr:col>
      <xdr:colOff>217181</xdr:colOff>
      <xdr:row>11</xdr:row>
      <xdr:rowOff>102927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301046</xdr:colOff>
      <xdr:row>37</xdr:row>
      <xdr:rowOff>171506</xdr:rowOff>
    </xdr:from>
    <xdr:to>
      <xdr:col>58</xdr:col>
      <xdr:colOff>278186</xdr:colOff>
      <xdr:row>48</xdr:row>
      <xdr:rowOff>171507</xdr:rowOff>
    </xdr:to>
    <xdr:graphicFrame macro="">
      <xdr:nvGraphicFramePr>
        <xdr:cNvPr id="9" name="Chart 2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103674</xdr:colOff>
      <xdr:row>112</xdr:row>
      <xdr:rowOff>149031</xdr:rowOff>
    </xdr:from>
    <xdr:to>
      <xdr:col>12</xdr:col>
      <xdr:colOff>38877</xdr:colOff>
      <xdr:row>114</xdr:row>
      <xdr:rowOff>51837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8054133" y="19846990"/>
          <a:ext cx="2034591" cy="2527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900"/>
            <a:t>KERIKIL</a:t>
          </a:r>
        </a:p>
        <a:p>
          <a:pPr algn="ctr"/>
          <a:endParaRPr lang="en-US" sz="600"/>
        </a:p>
      </xdr:txBody>
    </xdr:sp>
    <xdr:clientData/>
  </xdr:twoCellAnchor>
  <xdr:twoCellAnchor>
    <xdr:from>
      <xdr:col>10</xdr:col>
      <xdr:colOff>459260</xdr:colOff>
      <xdr:row>79</xdr:row>
      <xdr:rowOff>142290</xdr:rowOff>
    </xdr:from>
    <xdr:to>
      <xdr:col>10</xdr:col>
      <xdr:colOff>459260</xdr:colOff>
      <xdr:row>83</xdr:row>
      <xdr:rowOff>57340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CxnSpPr/>
      </xdr:nvCxnSpPr>
      <xdr:spPr>
        <a:xfrm flipV="1">
          <a:off x="8762575" y="14460850"/>
          <a:ext cx="0" cy="577658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19050</xdr:colOff>
      <xdr:row>44</xdr:row>
      <xdr:rowOff>9525</xdr:rowOff>
    </xdr:from>
    <xdr:to>
      <xdr:col>25</xdr:col>
      <xdr:colOff>638933</xdr:colOff>
      <xdr:row>81</xdr:row>
      <xdr:rowOff>39019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C6179C4-E1D3-4A44-1993-B69313830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4173200" y="8267700"/>
          <a:ext cx="5430008" cy="658269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9111</xdr:colOff>
      <xdr:row>48</xdr:row>
      <xdr:rowOff>47625</xdr:rowOff>
    </xdr:from>
    <xdr:to>
      <xdr:col>11</xdr:col>
      <xdr:colOff>1011721</xdr:colOff>
      <xdr:row>77</xdr:row>
      <xdr:rowOff>57993</xdr:rowOff>
    </xdr:to>
    <xdr:grpSp>
      <xdr:nvGrpSpPr>
        <xdr:cNvPr id="50" name="Group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GrpSpPr/>
      </xdr:nvGrpSpPr>
      <xdr:grpSpPr>
        <a:xfrm>
          <a:off x="475836" y="10029825"/>
          <a:ext cx="6974785" cy="4544268"/>
          <a:chOff x="788772" y="8841441"/>
          <a:chExt cx="8980356" cy="4622709"/>
        </a:xfrm>
      </xdr:grpSpPr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GraphicFramePr>
            <a:graphicFrameLocks/>
          </xdr:cNvGraphicFramePr>
        </xdr:nvGraphicFramePr>
        <xdr:xfrm>
          <a:off x="788772" y="9343695"/>
          <a:ext cx="8980356" cy="384749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pSp>
        <xdr:nvGrpSpPr>
          <xdr:cNvPr id="12" name="Group 11">
            <a:extLst>
              <a:ext uri="{FF2B5EF4-FFF2-40B4-BE49-F238E27FC236}">
                <a16:creationId xmlns:a16="http://schemas.microsoft.com/office/drawing/2014/main" id="{00000000-0008-0000-0500-00000C000000}"/>
              </a:ext>
            </a:extLst>
          </xdr:cNvPr>
          <xdr:cNvGrpSpPr/>
        </xdr:nvGrpSpPr>
        <xdr:grpSpPr>
          <a:xfrm>
            <a:off x="1520438" y="8841441"/>
            <a:ext cx="7545125" cy="419706"/>
            <a:chOff x="2643434" y="9851451"/>
            <a:chExt cx="5340747" cy="551418"/>
          </a:xfrm>
        </xdr:grpSpPr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SpPr txBox="1"/>
          </xdr:nvSpPr>
          <xdr:spPr>
            <a:xfrm>
              <a:off x="2643434" y="9853064"/>
              <a:ext cx="1995572" cy="548595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latin typeface="Aptos" panose="020B0004020202020204" pitchFamily="34" charset="0"/>
                </a:rPr>
                <a:t>HIDROMETER</a:t>
              </a: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SpPr txBox="1"/>
          </xdr:nvSpPr>
          <xdr:spPr>
            <a:xfrm>
              <a:off x="4639137" y="9851451"/>
              <a:ext cx="3345044" cy="261254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000" b="1">
                  <a:latin typeface="Aptos" panose="020B0004020202020204" pitchFamily="34" charset="0"/>
                </a:rPr>
                <a:t>STANDAR SARINGAN US  (</a:t>
              </a:r>
              <a:r>
                <a:rPr lang="en-US" sz="1000" b="1" i="1">
                  <a:latin typeface="Aptos" panose="020B0004020202020204" pitchFamily="34" charset="0"/>
                </a:rPr>
                <a:t>US SIEVE STANDARD)</a:t>
              </a:r>
              <a:endParaRPr lang="en-US" sz="1000" b="1">
                <a:latin typeface="Aptos" panose="020B0004020202020204" pitchFamily="34" charset="0"/>
              </a:endParaRP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SpPr txBox="1"/>
          </xdr:nvSpPr>
          <xdr:spPr>
            <a:xfrm>
              <a:off x="6512956" y="10112705"/>
              <a:ext cx="1471224" cy="290164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800" b="1">
                  <a:latin typeface="Aptos" panose="020B0004020202020204" pitchFamily="34" charset="0"/>
                </a:rPr>
                <a:t>NO. SARINGAN / </a:t>
              </a:r>
              <a:r>
                <a:rPr lang="en-US" sz="800" b="1" i="1">
                  <a:latin typeface="Aptos" panose="020B0004020202020204" pitchFamily="34" charset="0"/>
                </a:rPr>
                <a:t>SIEVE</a:t>
              </a:r>
              <a:r>
                <a:rPr lang="en-US" sz="800" b="1" i="1" baseline="0">
                  <a:latin typeface="Aptos" panose="020B0004020202020204" pitchFamily="34" charset="0"/>
                </a:rPr>
                <a:t> NO.</a:t>
              </a:r>
              <a:endParaRPr lang="en-US" sz="800" b="1">
                <a:latin typeface="Aptos" panose="020B0004020202020204" pitchFamily="34" charset="0"/>
              </a:endParaRP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 txBox="1"/>
          </xdr:nvSpPr>
          <xdr:spPr>
            <a:xfrm>
              <a:off x="4638706" y="10112643"/>
              <a:ext cx="1872592" cy="287754"/>
            </a:xfrm>
            <a:prstGeom prst="rect">
              <a:avLst/>
            </a:prstGeom>
            <a:solidFill>
              <a:schemeClr val="lt1"/>
            </a:solidFill>
            <a:ln w="12700" cmpd="sng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800" b="1">
                  <a:latin typeface="Aptos" panose="020B0004020202020204" pitchFamily="34" charset="0"/>
                </a:rPr>
                <a:t>UKURAN SARINGAN /</a:t>
              </a:r>
              <a:r>
                <a:rPr lang="en-US" sz="800" b="1" i="1">
                  <a:latin typeface="Aptos" panose="020B0004020202020204" pitchFamily="34" charset="0"/>
                </a:rPr>
                <a:t>SIEVE SIZE (Inch)</a:t>
              </a:r>
              <a:endParaRPr lang="en-US" sz="800" b="1">
                <a:latin typeface="Aptos" panose="020B0004020202020204" pitchFamily="34" charset="0"/>
              </a:endParaRPr>
            </a:p>
          </xdr:txBody>
        </xdr:sp>
      </xdr:grpSp>
      <xdr:grpSp>
        <xdr:nvGrpSpPr>
          <xdr:cNvPr id="13" name="Group 12">
            <a:extLst>
              <a:ext uri="{FF2B5EF4-FFF2-40B4-BE49-F238E27FC236}">
                <a16:creationId xmlns:a16="http://schemas.microsoft.com/office/drawing/2014/main" id="{00000000-0008-0000-0500-00000D000000}"/>
              </a:ext>
            </a:extLst>
          </xdr:cNvPr>
          <xdr:cNvGrpSpPr/>
        </xdr:nvGrpSpPr>
        <xdr:grpSpPr>
          <a:xfrm>
            <a:off x="4151255" y="9316698"/>
            <a:ext cx="4961825" cy="492363"/>
            <a:chOff x="4488497" y="10419885"/>
            <a:chExt cx="3509801" cy="402927"/>
          </a:xfrm>
        </xdr:grpSpPr>
        <xdr:sp macro="" textlink="">
          <xdr:nvSpPr>
            <xdr:cNvPr id="45" name="TextBox 44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SpPr txBox="1"/>
          </xdr:nvSpPr>
          <xdr:spPr>
            <a:xfrm rot="16200000">
              <a:off x="4516027" y="10584400"/>
              <a:ext cx="255385" cy="160419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600" b="0">
                  <a:latin typeface="Aptos" panose="020B0004020202020204" pitchFamily="34" charset="0"/>
                </a:rPr>
                <a:t>0.074</a:t>
              </a:r>
            </a:p>
          </xdr:txBody>
        </xdr:sp>
        <xdr:sp macro="" textlink="">
          <xdr:nvSpPr>
            <xdr:cNvPr id="46" name="TextBox 45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:cNvPr>
            <xdr:cNvSpPr txBox="1"/>
          </xdr:nvSpPr>
          <xdr:spPr>
            <a:xfrm rot="16200000">
              <a:off x="4822324" y="10584141"/>
              <a:ext cx="282575" cy="16272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600" b="0">
                  <a:latin typeface="Aptos" panose="020B0004020202020204" pitchFamily="34" charset="0"/>
                </a:rPr>
                <a:t>0.149</a:t>
              </a:r>
            </a:p>
          </xdr:txBody>
        </xdr:sp>
        <xdr:sp macro="" textlink="">
          <xdr:nvSpPr>
            <xdr:cNvPr id="77" name="TextBox 76">
              <a:extLst>
                <a:ext uri="{FF2B5EF4-FFF2-40B4-BE49-F238E27FC236}">
                  <a16:creationId xmlns:a16="http://schemas.microsoft.com/office/drawing/2014/main" id="{00000000-0008-0000-0500-00004D000000}"/>
                </a:ext>
              </a:extLst>
            </xdr:cNvPr>
            <xdr:cNvSpPr txBox="1"/>
          </xdr:nvSpPr>
          <xdr:spPr>
            <a:xfrm rot="16200000">
              <a:off x="4917571" y="10574616"/>
              <a:ext cx="263524" cy="16272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0.177</a:t>
              </a:r>
            </a:p>
          </xdr:txBody>
        </xdr:sp>
        <xdr:sp macro="" textlink="">
          <xdr:nvSpPr>
            <xdr:cNvPr id="80" name="TextBox 79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SpPr txBox="1"/>
          </xdr:nvSpPr>
          <xdr:spPr>
            <a:xfrm rot="16200000">
              <a:off x="5297947" y="10582408"/>
              <a:ext cx="296676" cy="16093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0.420</a:t>
              </a:r>
            </a:p>
          </xdr:txBody>
        </xdr:sp>
        <xdr:sp macro="" textlink="">
          <xdr:nvSpPr>
            <xdr:cNvPr id="92" name="TextBox 91">
              <a:extLst>
                <a:ext uri="{FF2B5EF4-FFF2-40B4-BE49-F238E27FC236}">
                  <a16:creationId xmlns:a16="http://schemas.microsoft.com/office/drawing/2014/main" id="{00000000-0008-0000-0500-00005C000000}"/>
                </a:ext>
              </a:extLst>
            </xdr:cNvPr>
            <xdr:cNvSpPr txBox="1"/>
          </xdr:nvSpPr>
          <xdr:spPr>
            <a:xfrm rot="16200000">
              <a:off x="5617431" y="10582983"/>
              <a:ext cx="295274" cy="16272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0.840</a:t>
              </a:r>
            </a:p>
          </xdr:txBody>
        </xdr:sp>
        <xdr:sp macro="" textlink="">
          <xdr:nvSpPr>
            <xdr:cNvPr id="93" name="TextBox 92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SpPr txBox="1"/>
          </xdr:nvSpPr>
          <xdr:spPr>
            <a:xfrm rot="16200000">
              <a:off x="6105477" y="10593458"/>
              <a:ext cx="295274" cy="16272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2.380</a:t>
              </a:r>
            </a:p>
          </xdr:txBody>
        </xdr:sp>
        <xdr:sp macro="" textlink="">
          <xdr:nvSpPr>
            <xdr:cNvPr id="94" name="TextBox 93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SpPr txBox="1"/>
          </xdr:nvSpPr>
          <xdr:spPr>
            <a:xfrm rot="16200000">
              <a:off x="6421621" y="10594424"/>
              <a:ext cx="295274" cy="1615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4.760</a:t>
              </a:r>
            </a:p>
          </xdr:txBody>
        </xdr:sp>
        <xdr:sp macro="" textlink="">
          <xdr:nvSpPr>
            <xdr:cNvPr id="100" name="TextBox 99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SpPr txBox="1"/>
          </xdr:nvSpPr>
          <xdr:spPr>
            <a:xfrm rot="16200000">
              <a:off x="6742322" y="10591100"/>
              <a:ext cx="295274" cy="1626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9.525</a:t>
              </a:r>
            </a:p>
          </xdr:txBody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SpPr txBox="1"/>
          </xdr:nvSpPr>
          <xdr:spPr>
            <a:xfrm rot="16200000">
              <a:off x="6878624" y="10592517"/>
              <a:ext cx="295274" cy="15955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12.70</a:t>
              </a:r>
            </a:p>
          </xdr:txBody>
        </xdr:sp>
        <xdr:sp macro="" textlink="">
          <xdr:nvSpPr>
            <xdr:cNvPr id="102" name="TextBox 101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SpPr txBox="1"/>
          </xdr:nvSpPr>
          <xdr:spPr>
            <a:xfrm rot="16200000">
              <a:off x="7068455" y="10588626"/>
              <a:ext cx="295274" cy="1619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19.05</a:t>
              </a:r>
            </a:p>
          </xdr:txBody>
        </xdr:sp>
        <xdr:sp macro="" textlink="">
          <xdr:nvSpPr>
            <xdr:cNvPr id="103" name="TextBox 102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SpPr txBox="1"/>
          </xdr:nvSpPr>
          <xdr:spPr>
            <a:xfrm rot="16200000">
              <a:off x="7201551" y="10588624"/>
              <a:ext cx="295274" cy="1619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25.40</a:t>
              </a:r>
            </a:p>
          </xdr:txBody>
        </xdr:sp>
        <xdr:sp macro="" textlink="">
          <xdr:nvSpPr>
            <xdr:cNvPr id="104" name="TextBox 103">
              <a:extLst>
                <a:ext uri="{FF2B5EF4-FFF2-40B4-BE49-F238E27FC236}">
                  <a16:creationId xmlns:a16="http://schemas.microsoft.com/office/drawing/2014/main" id="{00000000-0008-0000-0500-000068000000}"/>
                </a:ext>
              </a:extLst>
            </xdr:cNvPr>
            <xdr:cNvSpPr txBox="1"/>
          </xdr:nvSpPr>
          <xdr:spPr>
            <a:xfrm rot="16200000">
              <a:off x="7380555" y="10581890"/>
              <a:ext cx="295274" cy="1619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38.10</a:t>
              </a:r>
            </a:p>
          </xdr:txBody>
        </xdr:sp>
        <xdr:sp macro="" textlink="">
          <xdr:nvSpPr>
            <xdr:cNvPr id="105" name="TextBox 104">
              <a:extLst>
                <a:ext uri="{FF2B5EF4-FFF2-40B4-BE49-F238E27FC236}">
                  <a16:creationId xmlns:a16="http://schemas.microsoft.com/office/drawing/2014/main" id="{00000000-0008-0000-0500-000069000000}"/>
                </a:ext>
              </a:extLst>
            </xdr:cNvPr>
            <xdr:cNvSpPr txBox="1"/>
          </xdr:nvSpPr>
          <xdr:spPr>
            <a:xfrm rot="16200000">
              <a:off x="7701703" y="10590317"/>
              <a:ext cx="295274" cy="16197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l"/>
              <a:r>
                <a:rPr lang="en-US" sz="600" b="0">
                  <a:latin typeface="Aptos" panose="020B0004020202020204" pitchFamily="34" charset="0"/>
                </a:rPr>
                <a:t>75.00</a:t>
              </a:r>
            </a:p>
          </xdr:txBody>
        </xdr:sp>
        <xdr:grpSp>
          <xdr:nvGrpSpPr>
            <xdr:cNvPr id="11" name="Group 10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488497" y="10419885"/>
              <a:ext cx="3509801" cy="235152"/>
              <a:chOff x="4486297" y="10409539"/>
              <a:chExt cx="3511055" cy="236803"/>
            </a:xfrm>
          </xdr:grpSpPr>
          <xdr:sp macro="" textlink="">
            <xdr:nvSpPr>
              <xdr:cNvPr id="43" name="TextBox 42">
                <a:extLst>
                  <a:ext uri="{FF2B5EF4-FFF2-40B4-BE49-F238E27FC236}">
                    <a16:creationId xmlns:a16="http://schemas.microsoft.com/office/drawing/2014/main" id="{00000000-0008-0000-0500-00002B000000}"/>
                  </a:ext>
                </a:extLst>
              </xdr:cNvPr>
              <xdr:cNvSpPr txBox="1"/>
            </xdr:nvSpPr>
            <xdr:spPr>
              <a:xfrm>
                <a:off x="4486297" y="10418135"/>
                <a:ext cx="308671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ctr"/>
                <a:r>
                  <a:rPr lang="en-US" sz="600" b="0">
                    <a:latin typeface="Aptos" panose="020B0004020202020204" pitchFamily="34" charset="0"/>
                  </a:rPr>
                  <a:t>200</a:t>
                </a:r>
              </a:p>
            </xdr:txBody>
          </xdr:sp>
          <xdr:sp macro="" textlink="">
            <xdr:nvSpPr>
              <xdr:cNvPr id="47" name="TextBox 46">
                <a:extLst>
                  <a:ext uri="{FF2B5EF4-FFF2-40B4-BE49-F238E27FC236}">
                    <a16:creationId xmlns:a16="http://schemas.microsoft.com/office/drawing/2014/main" id="{00000000-0008-0000-0500-00002F000000}"/>
                  </a:ext>
                </a:extLst>
              </xdr:cNvPr>
              <xdr:cNvSpPr txBox="1"/>
            </xdr:nvSpPr>
            <xdr:spPr>
              <a:xfrm>
                <a:off x="4860622" y="10413845"/>
                <a:ext cx="263021" cy="1516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100</a:t>
                </a:r>
              </a:p>
            </xdr:txBody>
          </xdr:sp>
          <xdr:sp macro="" textlink="">
            <xdr:nvSpPr>
              <xdr:cNvPr id="76" name="TextBox 75">
                <a:extLst>
                  <a:ext uri="{FF2B5EF4-FFF2-40B4-BE49-F238E27FC236}">
                    <a16:creationId xmlns:a16="http://schemas.microsoft.com/office/drawing/2014/main" id="{00000000-0008-0000-0500-00004C000000}"/>
                  </a:ext>
                </a:extLst>
              </xdr:cNvPr>
              <xdr:cNvSpPr txBox="1"/>
            </xdr:nvSpPr>
            <xdr:spPr>
              <a:xfrm>
                <a:off x="4965441" y="10415744"/>
                <a:ext cx="264267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80</a:t>
                </a:r>
              </a:p>
            </xdr:txBody>
          </xdr:sp>
          <xdr:sp macro="" textlink="">
            <xdr:nvSpPr>
              <xdr:cNvPr id="78" name="TextBox 77">
                <a:extLst>
                  <a:ext uri="{FF2B5EF4-FFF2-40B4-BE49-F238E27FC236}">
                    <a16:creationId xmlns:a16="http://schemas.microsoft.com/office/drawing/2014/main" id="{00000000-0008-0000-0500-00004E000000}"/>
                  </a:ext>
                </a:extLst>
              </xdr:cNvPr>
              <xdr:cNvSpPr txBox="1"/>
            </xdr:nvSpPr>
            <xdr:spPr>
              <a:xfrm>
                <a:off x="5356253" y="10409539"/>
                <a:ext cx="264267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40</a:t>
                </a:r>
              </a:p>
            </xdr:txBody>
          </xdr:sp>
          <xdr:sp macro="" textlink="">
            <xdr:nvSpPr>
              <xdr:cNvPr id="81" name="TextBox 80">
                <a:extLst>
                  <a:ext uri="{FF2B5EF4-FFF2-40B4-BE49-F238E27FC236}">
                    <a16:creationId xmlns:a16="http://schemas.microsoft.com/office/drawing/2014/main" id="{00000000-0008-0000-0500-000051000000}"/>
                  </a:ext>
                </a:extLst>
              </xdr:cNvPr>
              <xdr:cNvSpPr txBox="1"/>
            </xdr:nvSpPr>
            <xdr:spPr>
              <a:xfrm>
                <a:off x="6176247" y="10415452"/>
                <a:ext cx="264267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8</a:t>
                </a:r>
              </a:p>
            </xdr:txBody>
          </xdr:sp>
          <xdr:sp macro="" textlink="">
            <xdr:nvSpPr>
              <xdr:cNvPr id="82" name="TextBox 81">
                <a:extLst>
                  <a:ext uri="{FF2B5EF4-FFF2-40B4-BE49-F238E27FC236}">
                    <a16:creationId xmlns:a16="http://schemas.microsoft.com/office/drawing/2014/main" id="{00000000-0008-0000-0500-000052000000}"/>
                  </a:ext>
                </a:extLst>
              </xdr:cNvPr>
              <xdr:cNvSpPr txBox="1"/>
            </xdr:nvSpPr>
            <xdr:spPr>
              <a:xfrm>
                <a:off x="5681645" y="10409683"/>
                <a:ext cx="264267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20</a:t>
                </a:r>
              </a:p>
            </xdr:txBody>
          </xdr:sp>
          <xdr:sp macro="" textlink="">
            <xdr:nvSpPr>
              <xdr:cNvPr id="85" name="TextBox 84">
                <a:extLst>
                  <a:ext uri="{FF2B5EF4-FFF2-40B4-BE49-F238E27FC236}">
                    <a16:creationId xmlns:a16="http://schemas.microsoft.com/office/drawing/2014/main" id="{00000000-0008-0000-0500-000055000000}"/>
                  </a:ext>
                </a:extLst>
              </xdr:cNvPr>
              <xdr:cNvSpPr txBox="1"/>
            </xdr:nvSpPr>
            <xdr:spPr>
              <a:xfrm>
                <a:off x="6490962" y="10418047"/>
                <a:ext cx="264267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4</a:t>
                </a:r>
              </a:p>
            </xdr:txBody>
          </xdr:sp>
          <xdr:sp macro="" textlink="">
            <xdr:nvSpPr>
              <xdr:cNvPr id="86" name="TextBox 85">
                <a:extLst>
                  <a:ext uri="{FF2B5EF4-FFF2-40B4-BE49-F238E27FC236}">
                    <a16:creationId xmlns:a16="http://schemas.microsoft.com/office/drawing/2014/main" id="{00000000-0008-0000-0500-000056000000}"/>
                  </a:ext>
                </a:extLst>
              </xdr:cNvPr>
              <xdr:cNvSpPr txBox="1"/>
            </xdr:nvSpPr>
            <xdr:spPr>
              <a:xfrm>
                <a:off x="6788914" y="10417043"/>
                <a:ext cx="216468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3/8</a:t>
                </a:r>
                <a:r>
                  <a:rPr lang="en-US" sz="600" b="0" baseline="30000">
                    <a:latin typeface="Aptos" panose="020B0004020202020204" pitchFamily="34" charset="0"/>
                  </a:rPr>
                  <a:t>"</a:t>
                </a:r>
              </a:p>
            </xdr:txBody>
          </xdr:sp>
          <xdr:sp macro="" textlink="">
            <xdr:nvSpPr>
              <xdr:cNvPr id="87" name="TextBox 86">
                <a:extLst>
                  <a:ext uri="{FF2B5EF4-FFF2-40B4-BE49-F238E27FC236}">
                    <a16:creationId xmlns:a16="http://schemas.microsoft.com/office/drawing/2014/main" id="{00000000-0008-0000-0500-000057000000}"/>
                  </a:ext>
                </a:extLst>
              </xdr:cNvPr>
              <xdr:cNvSpPr txBox="1"/>
            </xdr:nvSpPr>
            <xdr:spPr>
              <a:xfrm>
                <a:off x="7132744" y="10417044"/>
                <a:ext cx="181649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1</a:t>
                </a:r>
                <a:r>
                  <a:rPr lang="en-US" sz="600" b="0" baseline="30000">
                    <a:latin typeface="Aptos" panose="020B0004020202020204" pitchFamily="34" charset="0"/>
                  </a:rPr>
                  <a:t>"</a:t>
                </a:r>
              </a:p>
            </xdr:txBody>
          </xdr:sp>
          <xdr:sp macro="" textlink="">
            <xdr:nvSpPr>
              <xdr:cNvPr id="88" name="TextBox 87">
                <a:extLst>
                  <a:ext uri="{FF2B5EF4-FFF2-40B4-BE49-F238E27FC236}">
                    <a16:creationId xmlns:a16="http://schemas.microsoft.com/office/drawing/2014/main" id="{00000000-0008-0000-0500-000058000000}"/>
                  </a:ext>
                </a:extLst>
              </xdr:cNvPr>
              <xdr:cNvSpPr txBox="1"/>
            </xdr:nvSpPr>
            <xdr:spPr>
              <a:xfrm>
                <a:off x="6927797" y="10413869"/>
                <a:ext cx="228552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1/2</a:t>
                </a:r>
                <a:r>
                  <a:rPr lang="en-US" sz="600" b="0" baseline="30000">
                    <a:latin typeface="Aptos" panose="020B0004020202020204" pitchFamily="34" charset="0"/>
                  </a:rPr>
                  <a:t>"</a:t>
                </a:r>
              </a:p>
            </xdr:txBody>
          </xdr:sp>
          <xdr:sp macro="" textlink="">
            <xdr:nvSpPr>
              <xdr:cNvPr id="89" name="TextBox 88">
                <a:extLst>
                  <a:ext uri="{FF2B5EF4-FFF2-40B4-BE49-F238E27FC236}">
                    <a16:creationId xmlns:a16="http://schemas.microsoft.com/office/drawing/2014/main" id="{00000000-0008-0000-0500-000059000000}"/>
                  </a:ext>
                </a:extLst>
              </xdr:cNvPr>
              <xdr:cNvSpPr txBox="1"/>
            </xdr:nvSpPr>
            <xdr:spPr>
              <a:xfrm>
                <a:off x="7245604" y="10415486"/>
                <a:ext cx="219755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1 </a:t>
                </a:r>
                <a:r>
                  <a:rPr lang="en-US" sz="600" b="0" baseline="30000">
                    <a:latin typeface="Aptos" panose="020B0004020202020204" pitchFamily="34" charset="0"/>
                  </a:rPr>
                  <a:t>1/2"</a:t>
                </a:r>
              </a:p>
            </xdr:txBody>
          </xdr:sp>
          <xdr:sp macro="" textlink="">
            <xdr:nvSpPr>
              <xdr:cNvPr id="90" name="TextBox 89">
                <a:extLst>
                  <a:ext uri="{FF2B5EF4-FFF2-40B4-BE49-F238E27FC236}">
                    <a16:creationId xmlns:a16="http://schemas.microsoft.com/office/drawing/2014/main" id="{00000000-0008-0000-0500-00005A000000}"/>
                  </a:ext>
                </a:extLst>
              </xdr:cNvPr>
              <xdr:cNvSpPr txBox="1"/>
            </xdr:nvSpPr>
            <xdr:spPr>
              <a:xfrm>
                <a:off x="7455701" y="10415486"/>
                <a:ext cx="158266" cy="151649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2</a:t>
                </a:r>
                <a:r>
                  <a:rPr lang="en-US" sz="600" b="0" baseline="30000">
                    <a:latin typeface="Aptos" panose="020B0004020202020204" pitchFamily="34" charset="0"/>
                  </a:rPr>
                  <a:t>"</a:t>
                </a:r>
              </a:p>
            </xdr:txBody>
          </xdr:sp>
          <xdr:sp macro="" textlink="">
            <xdr:nvSpPr>
              <xdr:cNvPr id="91" name="TextBox 90">
                <a:extLst>
                  <a:ext uri="{FF2B5EF4-FFF2-40B4-BE49-F238E27FC236}">
                    <a16:creationId xmlns:a16="http://schemas.microsoft.com/office/drawing/2014/main" id="{00000000-0008-0000-0500-00005B000000}"/>
                  </a:ext>
                </a:extLst>
              </xdr:cNvPr>
              <xdr:cNvSpPr txBox="1"/>
            </xdr:nvSpPr>
            <xdr:spPr>
              <a:xfrm>
                <a:off x="7767903" y="10419720"/>
                <a:ext cx="204611" cy="151648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600" b="0">
                    <a:latin typeface="Aptos" panose="020B0004020202020204" pitchFamily="34" charset="0"/>
                  </a:rPr>
                  <a:t>3</a:t>
                </a:r>
                <a:r>
                  <a:rPr lang="en-US" sz="600" b="0" baseline="30000">
                    <a:latin typeface="Aptos" panose="020B0004020202020204" pitchFamily="34" charset="0"/>
                  </a:rPr>
                  <a:t>"</a:t>
                </a:r>
              </a:p>
            </xdr:txBody>
          </xdr:sp>
          <xdr:grpSp>
            <xdr:nvGrpSpPr>
              <xdr:cNvPr id="6" name="Group 5">
                <a:extLst>
                  <a:ext uri="{FF2B5EF4-FFF2-40B4-BE49-F238E27FC236}">
                    <a16:creationId xmlns:a16="http://schemas.microsoft.com/office/drawing/2014/main" id="{00000000-0008-0000-0500-000006000000}"/>
                  </a:ext>
                </a:extLst>
              </xdr:cNvPr>
              <xdr:cNvGrpSpPr/>
            </xdr:nvGrpSpPr>
            <xdr:grpSpPr>
              <a:xfrm>
                <a:off x="4638743" y="10529786"/>
                <a:ext cx="3358609" cy="116556"/>
                <a:chOff x="4646930" y="10546080"/>
                <a:chExt cx="3361690" cy="114935"/>
              </a:xfrm>
            </xdr:grpSpPr>
            <xdr:cxnSp macro="">
              <xdr:nvCxnSpPr>
                <xdr:cNvPr id="114" name="Straight Connector 113">
                  <a:extLst>
                    <a:ext uri="{FF2B5EF4-FFF2-40B4-BE49-F238E27FC236}">
                      <a16:creationId xmlns:a16="http://schemas.microsoft.com/office/drawing/2014/main" id="{00000000-0008-0000-0500-000072000000}"/>
                    </a:ext>
                  </a:extLst>
                </xdr:cNvPr>
                <xdr:cNvCxnSpPr>
                  <a:cxnSpLocks/>
                </xdr:cNvCxnSpPr>
              </xdr:nvCxnSpPr>
              <xdr:spPr>
                <a:xfrm>
                  <a:off x="4646930" y="10661015"/>
                  <a:ext cx="0" cy="0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grpSp>
              <xdr:nvGrpSpPr>
                <xdr:cNvPr id="143" name="Group 142">
                  <a:extLst>
                    <a:ext uri="{FF2B5EF4-FFF2-40B4-BE49-F238E27FC236}">
                      <a16:creationId xmlns:a16="http://schemas.microsoft.com/office/drawing/2014/main" id="{00000000-0008-0000-0500-00008F000000}"/>
                    </a:ext>
                  </a:extLst>
                </xdr:cNvPr>
                <xdr:cNvGrpSpPr/>
              </xdr:nvGrpSpPr>
              <xdr:grpSpPr>
                <a:xfrm>
                  <a:off x="4646930" y="10546080"/>
                  <a:ext cx="3361690" cy="61694"/>
                  <a:chOff x="4648200" y="7588250"/>
                  <a:chExt cx="3359150" cy="87094"/>
                </a:xfrm>
              </xdr:grpSpPr>
              <xdr:cxnSp macro="">
                <xdr:nvCxnSpPr>
                  <xdr:cNvPr id="138" name="Straight Connector 137">
                    <a:extLst>
                      <a:ext uri="{FF2B5EF4-FFF2-40B4-BE49-F238E27FC236}">
                        <a16:creationId xmlns:a16="http://schemas.microsoft.com/office/drawing/2014/main" id="{00000000-0008-0000-0500-00008A000000}"/>
                      </a:ext>
                    </a:extLst>
                  </xdr:cNvPr>
                  <xdr:cNvCxnSpPr/>
                </xdr:nvCxnSpPr>
                <xdr:spPr>
                  <a:xfrm>
                    <a:off x="7537450" y="7588250"/>
                    <a:ext cx="0" cy="82550"/>
                  </a:xfrm>
                  <a:prstGeom prst="line">
                    <a:avLst/>
                  </a:prstGeom>
                  <a:ln>
                    <a:solidFill>
                      <a:schemeClr val="bg2">
                        <a:lumMod val="50000"/>
                      </a:schemeClr>
                    </a:solidFill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grpSp>
                <xdr:nvGrpSpPr>
                  <xdr:cNvPr id="142" name="Group 141">
                    <a:extLst>
                      <a:ext uri="{FF2B5EF4-FFF2-40B4-BE49-F238E27FC236}">
                        <a16:creationId xmlns:a16="http://schemas.microsoft.com/office/drawing/2014/main" id="{00000000-0008-0000-0500-00008E000000}"/>
                      </a:ext>
                    </a:extLst>
                  </xdr:cNvPr>
                  <xdr:cNvGrpSpPr/>
                </xdr:nvGrpSpPr>
                <xdr:grpSpPr>
                  <a:xfrm>
                    <a:off x="4648200" y="7588250"/>
                    <a:ext cx="3359150" cy="87094"/>
                    <a:chOff x="4648200" y="7702550"/>
                    <a:chExt cx="3359150" cy="87094"/>
                  </a:xfrm>
                </xdr:grpSpPr>
                <xdr:cxnSp macro="">
                  <xdr:nvCxnSpPr>
                    <xdr:cNvPr id="117" name="Straight Connector 116">
                      <a:extLst>
                        <a:ext uri="{FF2B5EF4-FFF2-40B4-BE49-F238E27FC236}">
                          <a16:creationId xmlns:a16="http://schemas.microsoft.com/office/drawing/2014/main" id="{00000000-0008-0000-0500-000075000000}"/>
                        </a:ext>
                      </a:extLst>
                    </xdr:cNvPr>
                    <xdr:cNvCxnSpPr/>
                  </xdr:nvCxnSpPr>
                  <xdr:spPr>
                    <a:xfrm>
                      <a:off x="4648200" y="7702550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6" name="Straight Connector 125">
                      <a:extLst>
                        <a:ext uri="{FF2B5EF4-FFF2-40B4-BE49-F238E27FC236}">
                          <a16:creationId xmlns:a16="http://schemas.microsoft.com/office/drawing/2014/main" id="{00000000-0008-0000-0500-00007E000000}"/>
                        </a:ext>
                      </a:extLst>
                    </xdr:cNvPr>
                    <xdr:cNvCxnSpPr/>
                  </xdr:nvCxnSpPr>
                  <xdr:spPr>
                    <a:xfrm>
                      <a:off x="4651375" y="7750175"/>
                      <a:ext cx="3355975" cy="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7" name="Straight Connector 126">
                      <a:extLst>
                        <a:ext uri="{FF2B5EF4-FFF2-40B4-BE49-F238E27FC236}">
                          <a16:creationId xmlns:a16="http://schemas.microsoft.com/office/drawing/2014/main" id="{00000000-0008-0000-0500-00007F000000}"/>
                        </a:ext>
                      </a:extLst>
                    </xdr:cNvPr>
                    <xdr:cNvCxnSpPr/>
                  </xdr:nvCxnSpPr>
                  <xdr:spPr>
                    <a:xfrm>
                      <a:off x="4972050" y="7702550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8" name="Straight Connector 127">
                      <a:extLst>
                        <a:ext uri="{FF2B5EF4-FFF2-40B4-BE49-F238E27FC236}">
                          <a16:creationId xmlns:a16="http://schemas.microsoft.com/office/drawing/2014/main" id="{00000000-0008-0000-0500-000080000000}"/>
                        </a:ext>
                      </a:extLst>
                    </xdr:cNvPr>
                    <xdr:cNvCxnSpPr/>
                  </xdr:nvCxnSpPr>
                  <xdr:spPr>
                    <a:xfrm>
                      <a:off x="5054600" y="7702550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29" name="Straight Connector 128">
                      <a:extLst>
                        <a:ext uri="{FF2B5EF4-FFF2-40B4-BE49-F238E27FC236}">
                          <a16:creationId xmlns:a16="http://schemas.microsoft.com/office/drawing/2014/main" id="{00000000-0008-0000-0500-000081000000}"/>
                        </a:ext>
                      </a:extLst>
                    </xdr:cNvPr>
                    <xdr:cNvCxnSpPr/>
                  </xdr:nvCxnSpPr>
                  <xdr:spPr>
                    <a:xfrm>
                      <a:off x="5454650" y="7702550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0" name="Straight Connector 129">
                      <a:extLst>
                        <a:ext uri="{FF2B5EF4-FFF2-40B4-BE49-F238E27FC236}">
                          <a16:creationId xmlns:a16="http://schemas.microsoft.com/office/drawing/2014/main" id="{00000000-0008-0000-0500-000082000000}"/>
                        </a:ext>
                      </a:extLst>
                    </xdr:cNvPr>
                    <xdr:cNvCxnSpPr/>
                  </xdr:nvCxnSpPr>
                  <xdr:spPr>
                    <a:xfrm>
                      <a:off x="5775325" y="7705725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2" name="Straight Connector 131">
                      <a:extLst>
                        <a:ext uri="{FF2B5EF4-FFF2-40B4-BE49-F238E27FC236}">
                          <a16:creationId xmlns:a16="http://schemas.microsoft.com/office/drawing/2014/main" id="{00000000-0008-0000-0500-000084000000}"/>
                        </a:ext>
                      </a:extLst>
                    </xdr:cNvPr>
                    <xdr:cNvCxnSpPr/>
                  </xdr:nvCxnSpPr>
                  <xdr:spPr>
                    <a:xfrm>
                      <a:off x="6258179" y="7703919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3" name="Straight Connector 132">
                      <a:extLst>
                        <a:ext uri="{FF2B5EF4-FFF2-40B4-BE49-F238E27FC236}">
                          <a16:creationId xmlns:a16="http://schemas.microsoft.com/office/drawing/2014/main" id="{00000000-0008-0000-0500-000085000000}"/>
                        </a:ext>
                      </a:extLst>
                    </xdr:cNvPr>
                    <xdr:cNvCxnSpPr/>
                  </xdr:nvCxnSpPr>
                  <xdr:spPr>
                    <a:xfrm>
                      <a:off x="6575425" y="7702550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4" name="Straight Connector 133">
                      <a:extLst>
                        <a:ext uri="{FF2B5EF4-FFF2-40B4-BE49-F238E27FC236}">
                          <a16:creationId xmlns:a16="http://schemas.microsoft.com/office/drawing/2014/main" id="{00000000-0008-0000-0500-000086000000}"/>
                        </a:ext>
                      </a:extLst>
                    </xdr:cNvPr>
                    <xdr:cNvCxnSpPr/>
                  </xdr:nvCxnSpPr>
                  <xdr:spPr>
                    <a:xfrm>
                      <a:off x="6899529" y="7707094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5" name="Straight Connector 134">
                      <a:extLst>
                        <a:ext uri="{FF2B5EF4-FFF2-40B4-BE49-F238E27FC236}">
                          <a16:creationId xmlns:a16="http://schemas.microsoft.com/office/drawing/2014/main" id="{00000000-0008-0000-0500-000087000000}"/>
                        </a:ext>
                      </a:extLst>
                    </xdr:cNvPr>
                    <xdr:cNvCxnSpPr/>
                  </xdr:nvCxnSpPr>
                  <xdr:spPr>
                    <a:xfrm>
                      <a:off x="7032879" y="7703919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6" name="Straight Connector 135">
                      <a:extLst>
                        <a:ext uri="{FF2B5EF4-FFF2-40B4-BE49-F238E27FC236}">
                          <a16:creationId xmlns:a16="http://schemas.microsoft.com/office/drawing/2014/main" id="{00000000-0008-0000-0500-000088000000}"/>
                        </a:ext>
                      </a:extLst>
                    </xdr:cNvPr>
                    <xdr:cNvCxnSpPr/>
                  </xdr:nvCxnSpPr>
                  <xdr:spPr>
                    <a:xfrm>
                      <a:off x="7223379" y="7703919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7" name="Straight Connector 136">
                      <a:extLst>
                        <a:ext uri="{FF2B5EF4-FFF2-40B4-BE49-F238E27FC236}">
                          <a16:creationId xmlns:a16="http://schemas.microsoft.com/office/drawing/2014/main" id="{00000000-0008-0000-0500-000089000000}"/>
                        </a:ext>
                      </a:extLst>
                    </xdr:cNvPr>
                    <xdr:cNvCxnSpPr/>
                  </xdr:nvCxnSpPr>
                  <xdr:spPr>
                    <a:xfrm>
                      <a:off x="7356729" y="7703919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139" name="Straight Connector 138">
                      <a:extLst>
                        <a:ext uri="{FF2B5EF4-FFF2-40B4-BE49-F238E27FC236}">
                          <a16:creationId xmlns:a16="http://schemas.microsoft.com/office/drawing/2014/main" id="{00000000-0008-0000-0500-00008B000000}"/>
                        </a:ext>
                      </a:extLst>
                    </xdr:cNvPr>
                    <xdr:cNvCxnSpPr/>
                  </xdr:nvCxnSpPr>
                  <xdr:spPr>
                    <a:xfrm>
                      <a:off x="7858379" y="7703919"/>
                      <a:ext cx="0" cy="82550"/>
                    </a:xfrm>
                    <a:prstGeom prst="line">
                      <a:avLst/>
                    </a:prstGeom>
                    <a:ln>
                      <a:solidFill>
                        <a:schemeClr val="bg2">
                          <a:lumMod val="50000"/>
                        </a:schemeClr>
                      </a:solidFill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</xdr:grpSp>
          </xdr:grpSp>
        </xdr:grpSp>
      </xdr:grpSp>
      <xdr:sp macro="" textlink="">
        <xdr:nvSpPr>
          <xdr:cNvPr id="144" name="TextBox 143">
            <a:extLst>
              <a:ext uri="{FF2B5EF4-FFF2-40B4-BE49-F238E27FC236}">
                <a16:creationId xmlns:a16="http://schemas.microsoft.com/office/drawing/2014/main" id="{00000000-0008-0000-0500-000090000000}"/>
              </a:ext>
            </a:extLst>
          </xdr:cNvPr>
          <xdr:cNvSpPr txBox="1"/>
        </xdr:nvSpPr>
        <xdr:spPr>
          <a:xfrm>
            <a:off x="1349953" y="12633231"/>
            <a:ext cx="655789" cy="19100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800" b="0">
                <a:solidFill>
                  <a:sysClr val="windowText" lastClr="000000"/>
                </a:solidFill>
                <a:latin typeface="Aptos" panose="020B0004020202020204" pitchFamily="34" charset="0"/>
              </a:rPr>
              <a:t>0.001</a:t>
            </a:r>
          </a:p>
        </xdr:txBody>
      </xdr:sp>
      <xdr:sp macro="" textlink="">
        <xdr:nvSpPr>
          <xdr:cNvPr id="145" name="TextBox 144">
            <a:extLst>
              <a:ext uri="{FF2B5EF4-FFF2-40B4-BE49-F238E27FC236}">
                <a16:creationId xmlns:a16="http://schemas.microsoft.com/office/drawing/2014/main" id="{00000000-0008-0000-0500-000091000000}"/>
              </a:ext>
            </a:extLst>
          </xdr:cNvPr>
          <xdr:cNvSpPr txBox="1"/>
        </xdr:nvSpPr>
        <xdr:spPr>
          <a:xfrm>
            <a:off x="2734492" y="12631378"/>
            <a:ext cx="646380" cy="18588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800" b="0">
                <a:solidFill>
                  <a:sysClr val="windowText" lastClr="000000"/>
                </a:solidFill>
                <a:latin typeface="Aptos" panose="020B0004020202020204" pitchFamily="34" charset="0"/>
              </a:rPr>
              <a:t>0.01</a:t>
            </a:r>
          </a:p>
        </xdr:txBody>
      </xdr:sp>
      <xdr:sp macro="" textlink="">
        <xdr:nvSpPr>
          <xdr:cNvPr id="146" name="TextBox 145">
            <a:extLst>
              <a:ext uri="{FF2B5EF4-FFF2-40B4-BE49-F238E27FC236}">
                <a16:creationId xmlns:a16="http://schemas.microsoft.com/office/drawing/2014/main" id="{00000000-0008-0000-0500-000092000000}"/>
              </a:ext>
            </a:extLst>
          </xdr:cNvPr>
          <xdr:cNvSpPr txBox="1"/>
        </xdr:nvSpPr>
        <xdr:spPr>
          <a:xfrm>
            <a:off x="4221432" y="12626694"/>
            <a:ext cx="662235" cy="1843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800" b="0">
                <a:solidFill>
                  <a:sysClr val="windowText" lastClr="000000"/>
                </a:solidFill>
                <a:latin typeface="Aptos" panose="020B0004020202020204" pitchFamily="34" charset="0"/>
              </a:rPr>
              <a:t>0.10</a:t>
            </a:r>
          </a:p>
        </xdr:txBody>
      </xdr:sp>
      <xdr:sp macro="" textlink="">
        <xdr:nvSpPr>
          <xdr:cNvPr id="147" name="TextBox 146">
            <a:extLst>
              <a:ext uri="{FF2B5EF4-FFF2-40B4-BE49-F238E27FC236}">
                <a16:creationId xmlns:a16="http://schemas.microsoft.com/office/drawing/2014/main" id="{00000000-0008-0000-0500-000093000000}"/>
              </a:ext>
            </a:extLst>
          </xdr:cNvPr>
          <xdr:cNvSpPr txBox="1"/>
        </xdr:nvSpPr>
        <xdr:spPr>
          <a:xfrm>
            <a:off x="5757864" y="12630727"/>
            <a:ext cx="655790" cy="1843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800" b="0">
                <a:solidFill>
                  <a:sysClr val="windowText" lastClr="000000"/>
                </a:solidFill>
                <a:latin typeface="Aptos" panose="020B0004020202020204" pitchFamily="34" charset="0"/>
              </a:rPr>
              <a:t>1.00</a:t>
            </a:r>
          </a:p>
        </xdr:txBody>
      </xdr:sp>
      <xdr:sp macro="" textlink="">
        <xdr:nvSpPr>
          <xdr:cNvPr id="148" name="TextBox 147">
            <a:extLst>
              <a:ext uri="{FF2B5EF4-FFF2-40B4-BE49-F238E27FC236}">
                <a16:creationId xmlns:a16="http://schemas.microsoft.com/office/drawing/2014/main" id="{00000000-0008-0000-0500-000094000000}"/>
              </a:ext>
            </a:extLst>
          </xdr:cNvPr>
          <xdr:cNvSpPr txBox="1"/>
        </xdr:nvSpPr>
        <xdr:spPr>
          <a:xfrm>
            <a:off x="7230267" y="12612247"/>
            <a:ext cx="661198" cy="1830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800" b="0">
                <a:solidFill>
                  <a:sysClr val="windowText" lastClr="000000"/>
                </a:solidFill>
                <a:latin typeface="Aptos" panose="020B0004020202020204" pitchFamily="34" charset="0"/>
              </a:rPr>
              <a:t>10.00</a:t>
            </a:r>
          </a:p>
        </xdr:txBody>
      </xdr:sp>
      <xdr:sp macro="" textlink="">
        <xdr:nvSpPr>
          <xdr:cNvPr id="149" name="TextBox 148">
            <a:extLst>
              <a:ext uri="{FF2B5EF4-FFF2-40B4-BE49-F238E27FC236}">
                <a16:creationId xmlns:a16="http://schemas.microsoft.com/office/drawing/2014/main" id="{00000000-0008-0000-0500-000095000000}"/>
              </a:ext>
            </a:extLst>
          </xdr:cNvPr>
          <xdr:cNvSpPr txBox="1"/>
        </xdr:nvSpPr>
        <xdr:spPr>
          <a:xfrm>
            <a:off x="8750063" y="12622658"/>
            <a:ext cx="701139" cy="1830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800" b="0">
                <a:solidFill>
                  <a:sysClr val="windowText" lastClr="000000"/>
                </a:solidFill>
                <a:latin typeface="Aptos" panose="020B0004020202020204" pitchFamily="34" charset="0"/>
              </a:rPr>
              <a:t>100.00</a:t>
            </a:r>
          </a:p>
        </xdr:txBody>
      </xdr:sp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SpPr txBox="1"/>
        </xdr:nvSpPr>
        <xdr:spPr>
          <a:xfrm>
            <a:off x="3630254" y="12807072"/>
            <a:ext cx="3130183" cy="19978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latin typeface="Aptos" panose="020B0004020202020204" pitchFamily="34" charset="0"/>
              </a:rPr>
              <a:t>UKURAN PARTIKEL</a:t>
            </a:r>
            <a:r>
              <a:rPr lang="en-US" sz="900">
                <a:latin typeface="Aptos" panose="020B0004020202020204" pitchFamily="34" charset="0"/>
              </a:rPr>
              <a:t>/</a:t>
            </a:r>
            <a:r>
              <a:rPr lang="en-US" sz="900" b="0" i="1">
                <a:latin typeface="Aptos" panose="020B0004020202020204" pitchFamily="34" charset="0"/>
              </a:rPr>
              <a:t>Particle</a:t>
            </a:r>
            <a:r>
              <a:rPr lang="en-US" sz="900" b="0" i="1" baseline="0">
                <a:latin typeface="Aptos" panose="020B0004020202020204" pitchFamily="34" charset="0"/>
              </a:rPr>
              <a:t> Size</a:t>
            </a:r>
            <a:endParaRPr lang="en-US" sz="900" b="0">
              <a:latin typeface="Aptos" panose="020B0004020202020204" pitchFamily="34" charset="0"/>
            </a:endParaRPr>
          </a:p>
        </xdr:txBody>
      </xdr:sp>
      <xdr:grpSp>
        <xdr:nvGrpSpPr>
          <xdr:cNvPr id="39" name="Group 38">
            <a:extLst>
              <a:ext uri="{FF2B5EF4-FFF2-40B4-BE49-F238E27FC236}">
                <a16:creationId xmlns:a16="http://schemas.microsoft.com/office/drawing/2014/main" id="{00000000-0008-0000-0500-000027000000}"/>
              </a:ext>
            </a:extLst>
          </xdr:cNvPr>
          <xdr:cNvGrpSpPr/>
        </xdr:nvGrpSpPr>
        <xdr:grpSpPr>
          <a:xfrm>
            <a:off x="1540004" y="12997221"/>
            <a:ext cx="7539679" cy="466929"/>
            <a:chOff x="1709852" y="15003037"/>
            <a:chExt cx="6273172" cy="466183"/>
          </a:xfrm>
        </xdr:grpSpPr>
        <xdr:grpSp>
          <xdr:nvGrpSpPr>
            <xdr:cNvPr id="16" name="Group 15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GrpSpPr/>
          </xdr:nvGrpSpPr>
          <xdr:grpSpPr>
            <a:xfrm>
              <a:off x="1709852" y="15003037"/>
              <a:ext cx="6273172" cy="466183"/>
              <a:chOff x="5665304" y="16548866"/>
              <a:chExt cx="5972085" cy="445025"/>
            </a:xfrm>
          </xdr:grpSpPr>
          <xdr:grpSp>
            <xdr:nvGrpSpPr>
              <xdr:cNvPr id="17" name="Group 16">
                <a:extLst>
                  <a:ext uri="{FF2B5EF4-FFF2-40B4-BE49-F238E27FC236}">
                    <a16:creationId xmlns:a16="http://schemas.microsoft.com/office/drawing/2014/main" id="{00000000-0008-0000-0500-000011000000}"/>
                  </a:ext>
                </a:extLst>
              </xdr:cNvPr>
              <xdr:cNvGrpSpPr/>
            </xdr:nvGrpSpPr>
            <xdr:grpSpPr>
              <a:xfrm>
                <a:off x="5665304" y="16550738"/>
                <a:ext cx="2233785" cy="441677"/>
                <a:chOff x="7496273" y="15382289"/>
                <a:chExt cx="2372308" cy="447603"/>
              </a:xfrm>
            </xdr:grpSpPr>
            <xdr:sp macro="" textlink="">
              <xdr:nvSpPr>
                <xdr:cNvPr id="27" name="TextBox 26">
                  <a:extLst>
                    <a:ext uri="{FF2B5EF4-FFF2-40B4-BE49-F238E27FC236}">
                      <a16:creationId xmlns:a16="http://schemas.microsoft.com/office/drawing/2014/main" id="{00000000-0008-0000-0500-00001B000000}"/>
                    </a:ext>
                  </a:extLst>
                </xdr:cNvPr>
                <xdr:cNvSpPr txBox="1"/>
              </xdr:nvSpPr>
              <xdr:spPr>
                <a:xfrm>
                  <a:off x="7496273" y="15382290"/>
                  <a:ext cx="389904" cy="447602"/>
                </a:xfrm>
                <a:prstGeom prst="rect">
                  <a:avLst/>
                </a:prstGeom>
                <a:noFill/>
                <a:ln w="9525" cmpd="sng">
                  <a:solidFill>
                    <a:schemeClr val="accent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pPr algn="ctr"/>
                  <a:r>
                    <a:rPr lang="en-US" sz="500" b="1">
                      <a:latin typeface="Aptos" panose="020B0004020202020204" pitchFamily="34" charset="0"/>
                    </a:rPr>
                    <a:t>LEM-PUNG</a:t>
                  </a:r>
                  <a:endParaRPr lang="en-US" sz="700" b="1">
                    <a:latin typeface="Aptos" panose="020B0004020202020204" pitchFamily="34" charset="0"/>
                  </a:endParaRPr>
                </a:p>
              </xdr:txBody>
            </xdr:sp>
            <xdr:sp macro="" textlink="">
              <xdr:nvSpPr>
                <xdr:cNvPr id="37" name="TextBox 1">
                  <a:extLst>
                    <a:ext uri="{FF2B5EF4-FFF2-40B4-BE49-F238E27FC236}">
                      <a16:creationId xmlns:a16="http://schemas.microsoft.com/office/drawing/2014/main" id="{00000000-0008-0000-0500-000025000000}"/>
                    </a:ext>
                  </a:extLst>
                </xdr:cNvPr>
                <xdr:cNvSpPr txBox="1"/>
              </xdr:nvSpPr>
              <xdr:spPr>
                <a:xfrm>
                  <a:off x="7886178" y="15382289"/>
                  <a:ext cx="1982403" cy="447596"/>
                </a:xfrm>
                <a:prstGeom prst="rect">
                  <a:avLst/>
                </a:prstGeom>
                <a:noFill/>
                <a:ln w="9525" cmpd="sng">
                  <a:solidFill>
                    <a:schemeClr val="accent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sz="700" b="1">
                      <a:latin typeface="Aptos" panose="020B0004020202020204" pitchFamily="34" charset="0"/>
                    </a:rPr>
                    <a:t>LANAU/</a:t>
                  </a:r>
                  <a:r>
                    <a:rPr lang="en-US" sz="700" b="1" i="1">
                      <a:latin typeface="Aptos" panose="020B0004020202020204" pitchFamily="34" charset="0"/>
                    </a:rPr>
                    <a:t>Silt</a:t>
                  </a:r>
                </a:p>
              </xdr:txBody>
            </xdr:sp>
          </xdr:grpSp>
          <xdr:grpSp>
            <xdr:nvGrpSpPr>
              <xdr:cNvPr id="18" name="Group 17">
                <a:extLst>
                  <a:ext uri="{FF2B5EF4-FFF2-40B4-BE49-F238E27FC236}">
                    <a16:creationId xmlns:a16="http://schemas.microsoft.com/office/drawing/2014/main" id="{00000000-0008-0000-0500-000012000000}"/>
                  </a:ext>
                </a:extLst>
              </xdr:cNvPr>
              <xdr:cNvGrpSpPr/>
            </xdr:nvGrpSpPr>
            <xdr:grpSpPr>
              <a:xfrm>
                <a:off x="7899088" y="16550153"/>
                <a:ext cx="1716255" cy="443489"/>
                <a:chOff x="11114780" y="15719778"/>
                <a:chExt cx="2406841" cy="449664"/>
              </a:xfrm>
            </xdr:grpSpPr>
            <xdr:sp macro="" textlink="">
              <xdr:nvSpPr>
                <xdr:cNvPr id="23" name="TextBox 1">
                  <a:extLst>
                    <a:ext uri="{FF2B5EF4-FFF2-40B4-BE49-F238E27FC236}">
                      <a16:creationId xmlns:a16="http://schemas.microsoft.com/office/drawing/2014/main" id="{00000000-0008-0000-0500-000017000000}"/>
                    </a:ext>
                  </a:extLst>
                </xdr:cNvPr>
                <xdr:cNvSpPr txBox="1"/>
              </xdr:nvSpPr>
              <xdr:spPr>
                <a:xfrm>
                  <a:off x="12380233" y="15719778"/>
                  <a:ext cx="496256" cy="223894"/>
                </a:xfrm>
                <a:prstGeom prst="rect">
                  <a:avLst/>
                </a:prstGeom>
                <a:noFill/>
                <a:ln w="9525" cmpd="sng">
                  <a:solidFill>
                    <a:schemeClr val="accent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sz="600" b="1">
                      <a:latin typeface="Aptos" panose="020B0004020202020204" pitchFamily="34" charset="0"/>
                    </a:rPr>
                    <a:t>Medi-um</a:t>
                  </a:r>
                </a:p>
              </xdr:txBody>
            </xdr:sp>
            <xdr:grpSp>
              <xdr:nvGrpSpPr>
                <xdr:cNvPr id="24" name="Group 23">
                  <a:extLst>
                    <a:ext uri="{FF2B5EF4-FFF2-40B4-BE49-F238E27FC236}">
                      <a16:creationId xmlns:a16="http://schemas.microsoft.com/office/drawing/2014/main" id="{00000000-0008-0000-0500-000018000000}"/>
                    </a:ext>
                  </a:extLst>
                </xdr:cNvPr>
                <xdr:cNvGrpSpPr/>
              </xdr:nvGrpSpPr>
              <xdr:grpSpPr>
                <a:xfrm>
                  <a:off x="11114780" y="15719778"/>
                  <a:ext cx="2406841" cy="449664"/>
                  <a:chOff x="11105372" y="15390519"/>
                  <a:chExt cx="2406841" cy="449664"/>
                </a:xfrm>
              </xdr:grpSpPr>
              <xdr:sp macro="" textlink="">
                <xdr:nvSpPr>
                  <xdr:cNvPr id="25" name="TextBox 1">
                    <a:extLst>
                      <a:ext uri="{FF2B5EF4-FFF2-40B4-BE49-F238E27FC236}">
                        <a16:creationId xmlns:a16="http://schemas.microsoft.com/office/drawing/2014/main" id="{00000000-0008-0000-0500-000019000000}"/>
                      </a:ext>
                    </a:extLst>
                  </xdr:cNvPr>
                  <xdr:cNvSpPr txBox="1"/>
                </xdr:nvSpPr>
                <xdr:spPr>
                  <a:xfrm>
                    <a:off x="11105372" y="15390519"/>
                    <a:ext cx="1265452" cy="223894"/>
                  </a:xfrm>
                  <a:prstGeom prst="rect">
                    <a:avLst/>
                  </a:prstGeom>
                  <a:noFill/>
                  <a:ln w="9525" cmpd="sng">
                    <a:solidFill>
                      <a:schemeClr val="accent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>
                    <a:lvl1pPr marL="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700" b="1">
                        <a:latin typeface="Aptos" panose="020B0004020202020204" pitchFamily="34" charset="0"/>
                      </a:rPr>
                      <a:t>Halus/</a:t>
                    </a:r>
                    <a:r>
                      <a:rPr lang="en-US" sz="700" b="1" i="1">
                        <a:latin typeface="Aptos" panose="020B0004020202020204" pitchFamily="34" charset="0"/>
                      </a:rPr>
                      <a:t>Fine</a:t>
                    </a:r>
                  </a:p>
                </xdr:txBody>
              </xdr:sp>
              <xdr:sp macro="" textlink="">
                <xdr:nvSpPr>
                  <xdr:cNvPr id="26" name="TextBox 1">
                    <a:extLst>
                      <a:ext uri="{FF2B5EF4-FFF2-40B4-BE49-F238E27FC236}">
                        <a16:creationId xmlns:a16="http://schemas.microsoft.com/office/drawing/2014/main" id="{00000000-0008-0000-0500-00001A000000}"/>
                      </a:ext>
                    </a:extLst>
                  </xdr:cNvPr>
                  <xdr:cNvSpPr txBox="1"/>
                </xdr:nvSpPr>
                <xdr:spPr>
                  <a:xfrm>
                    <a:off x="11105373" y="15613140"/>
                    <a:ext cx="2406840" cy="227043"/>
                  </a:xfrm>
                  <a:prstGeom prst="rect">
                    <a:avLst/>
                  </a:prstGeom>
                  <a:noFill/>
                  <a:ln w="9525" cmpd="sng">
                    <a:solidFill>
                      <a:schemeClr val="accent1"/>
                    </a:solidFill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ctr"/>
                  <a:lstStyle>
                    <a:lvl1pPr marL="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1pPr>
                    <a:lvl2pPr marL="457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2pPr>
                    <a:lvl3pPr marL="914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3pPr>
                    <a:lvl4pPr marL="1371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4pPr>
                    <a:lvl5pPr marL="18288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5pPr>
                    <a:lvl6pPr marL="22860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6pPr>
                    <a:lvl7pPr marL="27432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7pPr>
                    <a:lvl8pPr marL="32004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8pPr>
                    <a:lvl9pPr marL="3657600" indent="0">
                      <a:defRPr sz="1100">
                        <a:solidFill>
                          <a:schemeClr val="dk1"/>
                        </a:solidFill>
                        <a:latin typeface="+mn-lt"/>
                        <a:ea typeface="+mn-ea"/>
                        <a:cs typeface="+mn-cs"/>
                      </a:defRPr>
                    </a:lvl9pPr>
                  </a:lstStyle>
                  <a:p>
                    <a:pPr algn="ctr"/>
                    <a:r>
                      <a:rPr lang="en-US" sz="700" b="1">
                        <a:latin typeface="Aptos" panose="020B0004020202020204" pitchFamily="34" charset="0"/>
                      </a:rPr>
                      <a:t>PASIR/</a:t>
                    </a:r>
                    <a:r>
                      <a:rPr lang="en-US" sz="700" b="1" i="1">
                        <a:latin typeface="Aptos" panose="020B0004020202020204" pitchFamily="34" charset="0"/>
                      </a:rPr>
                      <a:t>Sand</a:t>
                    </a:r>
                  </a:p>
                </xdr:txBody>
              </xdr:sp>
            </xdr:grpSp>
          </xdr:grpSp>
          <xdr:grpSp>
            <xdr:nvGrpSpPr>
              <xdr:cNvPr id="19" name="Group 18">
                <a:extLst>
                  <a:ext uri="{FF2B5EF4-FFF2-40B4-BE49-F238E27FC236}">
                    <a16:creationId xmlns:a16="http://schemas.microsoft.com/office/drawing/2014/main" id="{00000000-0008-0000-0500-000013000000}"/>
                  </a:ext>
                </a:extLst>
              </xdr:cNvPr>
              <xdr:cNvGrpSpPr/>
            </xdr:nvGrpSpPr>
            <xdr:grpSpPr>
              <a:xfrm>
                <a:off x="9615342" y="16548866"/>
                <a:ext cx="2022047" cy="445025"/>
                <a:chOff x="9449893" y="16024009"/>
                <a:chExt cx="3923912" cy="440922"/>
              </a:xfrm>
            </xdr:grpSpPr>
            <xdr:sp macro="" textlink="">
              <xdr:nvSpPr>
                <xdr:cNvPr id="21" name="TextBox 1">
                  <a:extLst>
                    <a:ext uri="{FF2B5EF4-FFF2-40B4-BE49-F238E27FC236}">
                      <a16:creationId xmlns:a16="http://schemas.microsoft.com/office/drawing/2014/main" id="{00000000-0008-0000-0500-000015000000}"/>
                    </a:ext>
                  </a:extLst>
                </xdr:cNvPr>
                <xdr:cNvSpPr txBox="1"/>
              </xdr:nvSpPr>
              <xdr:spPr>
                <a:xfrm>
                  <a:off x="9449893" y="16242823"/>
                  <a:ext cx="3923912" cy="222108"/>
                </a:xfrm>
                <a:prstGeom prst="rect">
                  <a:avLst/>
                </a:prstGeom>
                <a:noFill/>
                <a:ln w="9525" cmpd="sng">
                  <a:solidFill>
                    <a:schemeClr val="accent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sz="700" b="1">
                      <a:solidFill>
                        <a:sysClr val="windowText" lastClr="000000"/>
                      </a:solidFill>
                      <a:latin typeface="Aptos" panose="020B0004020202020204" pitchFamily="34" charset="0"/>
                    </a:rPr>
                    <a:t>Kerikil/</a:t>
                  </a:r>
                  <a:r>
                    <a:rPr lang="en-US" sz="700" b="1" i="1">
                      <a:solidFill>
                        <a:sysClr val="windowText" lastClr="000000"/>
                      </a:solidFill>
                      <a:latin typeface="Aptos" panose="020B0004020202020204" pitchFamily="34" charset="0"/>
                    </a:rPr>
                    <a:t>Gravel</a:t>
                  </a:r>
                </a:p>
              </xdr:txBody>
            </xdr:sp>
            <xdr:sp macro="" textlink="">
              <xdr:nvSpPr>
                <xdr:cNvPr id="22" name="TextBox 1">
                  <a:extLst>
                    <a:ext uri="{FF2B5EF4-FFF2-40B4-BE49-F238E27FC236}">
                      <a16:creationId xmlns:a16="http://schemas.microsoft.com/office/drawing/2014/main" id="{00000000-0008-0000-0500-000016000000}"/>
                    </a:ext>
                  </a:extLst>
                </xdr:cNvPr>
                <xdr:cNvSpPr txBox="1"/>
              </xdr:nvSpPr>
              <xdr:spPr>
                <a:xfrm>
                  <a:off x="9449893" y="16024009"/>
                  <a:ext cx="2248945" cy="218768"/>
                </a:xfrm>
                <a:prstGeom prst="rect">
                  <a:avLst/>
                </a:prstGeom>
                <a:noFill/>
                <a:ln w="9525" cmpd="sng">
                  <a:solidFill>
                    <a:schemeClr val="accent1"/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wrap="square" rtlCol="0" anchor="ctr"/>
                <a:lstStyle>
                  <a:lvl1pPr marL="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indent="0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/>
                  <a:r>
                    <a:rPr lang="en-US" sz="700" b="1">
                      <a:solidFill>
                        <a:sysClr val="windowText" lastClr="000000"/>
                      </a:solidFill>
                      <a:latin typeface="Aptos" panose="020B0004020202020204" pitchFamily="34" charset="0"/>
                    </a:rPr>
                    <a:t>Fine</a:t>
                  </a:r>
                </a:p>
              </xdr:txBody>
            </xdr:sp>
          </xdr:grpSp>
          <xdr:sp macro="" textlink="">
            <xdr:nvSpPr>
              <xdr:cNvPr id="20" name="TextBox 1">
                <a:extLst>
                  <a:ext uri="{FF2B5EF4-FFF2-40B4-BE49-F238E27FC236}">
                    <a16:creationId xmlns:a16="http://schemas.microsoft.com/office/drawing/2014/main" id="{00000000-0008-0000-0500-000014000000}"/>
                  </a:ext>
                </a:extLst>
              </xdr:cNvPr>
              <xdr:cNvSpPr txBox="1"/>
            </xdr:nvSpPr>
            <xdr:spPr>
              <a:xfrm>
                <a:off x="9155318" y="16550207"/>
                <a:ext cx="460026" cy="220431"/>
              </a:xfrm>
              <a:prstGeom prst="rect">
                <a:avLst/>
              </a:prstGeom>
              <a:noFill/>
              <a:ln w="9525" cmpd="sng">
                <a:solidFill>
                  <a:schemeClr val="accent1"/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ctr"/>
              <a:lstStyle>
                <a:lvl1pPr marL="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indent="0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/>
                <a:r>
                  <a:rPr lang="en-US" sz="600" b="1">
                    <a:latin typeface="Aptos" panose="020B0004020202020204" pitchFamily="34" charset="0"/>
                  </a:rPr>
                  <a:t>Kasar/</a:t>
                </a:r>
                <a:r>
                  <a:rPr lang="en-US" sz="600" b="1" i="1">
                    <a:latin typeface="Aptos" panose="020B0004020202020204" pitchFamily="34" charset="0"/>
                  </a:rPr>
                  <a:t>Coarse</a:t>
                </a:r>
                <a:endParaRPr lang="en-US" sz="600" b="1">
                  <a:latin typeface="Aptos" panose="020B0004020202020204" pitchFamily="34" charset="0"/>
                </a:endParaRPr>
              </a:p>
            </xdr:txBody>
          </xdr:sp>
        </xdr:grpSp>
        <xdr:sp macro="" textlink="">
          <xdr:nvSpPr>
            <xdr:cNvPr id="38" name="TextBox 1">
              <a:extLst>
                <a:ext uri="{FF2B5EF4-FFF2-40B4-BE49-F238E27FC236}">
                  <a16:creationId xmlns:a16="http://schemas.microsoft.com/office/drawing/2014/main" id="{00000000-0008-0000-0500-000026000000}"/>
                </a:ext>
              </a:extLst>
            </xdr:cNvPr>
            <xdr:cNvSpPr txBox="1"/>
          </xdr:nvSpPr>
          <xdr:spPr>
            <a:xfrm>
              <a:off x="7076379" y="15003037"/>
              <a:ext cx="906036" cy="231302"/>
            </a:xfrm>
            <a:prstGeom prst="rect">
              <a:avLst/>
            </a:prstGeom>
            <a:noFill/>
            <a:ln w="9525" cmpd="sng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wrap="square" rtlCol="0" anchor="ctr"/>
            <a:lstStyle>
              <a:lvl1pPr marL="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sz="700" b="1">
                  <a:solidFill>
                    <a:sysClr val="windowText" lastClr="000000"/>
                  </a:solidFill>
                  <a:latin typeface="Aptos" panose="020B0004020202020204" pitchFamily="34" charset="0"/>
                </a:rPr>
                <a:t>Coarse</a:t>
              </a:r>
            </a:p>
          </xdr:txBody>
        </xdr:sp>
      </xdr:grpSp>
    </xdr:grpSp>
    <xdr:clientData/>
  </xdr:twoCellAnchor>
  <xdr:twoCellAnchor>
    <xdr:from>
      <xdr:col>20</xdr:col>
      <xdr:colOff>257175</xdr:colOff>
      <xdr:row>73</xdr:row>
      <xdr:rowOff>13607</xdr:rowOff>
    </xdr:from>
    <xdr:to>
      <xdr:col>21</xdr:col>
      <xdr:colOff>366482</xdr:colOff>
      <xdr:row>78</xdr:row>
      <xdr:rowOff>176486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0563225" y="13843907"/>
          <a:ext cx="947507" cy="10487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000">
              <a:latin typeface="Aptos" panose="020B0004020202020204" pitchFamily="34" charset="0"/>
            </a:rPr>
            <a:t>SCAN</a:t>
          </a:r>
          <a:r>
            <a:rPr lang="en-US" sz="1000" baseline="0">
              <a:latin typeface="Aptos" panose="020B0004020202020204" pitchFamily="34" charset="0"/>
            </a:rPr>
            <a:t> ME</a:t>
          </a:r>
          <a:endParaRPr lang="en-US" sz="1000"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4</xdr:col>
      <xdr:colOff>259292</xdr:colOff>
      <xdr:row>3</xdr:row>
      <xdr:rowOff>51858</xdr:rowOff>
    </xdr:from>
    <xdr:to>
      <xdr:col>5</xdr:col>
      <xdr:colOff>712514</xdr:colOff>
      <xdr:row>7</xdr:row>
      <xdr:rowOff>128618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BC544AB-00E5-4C93-B850-5395C2410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517" y="404283"/>
          <a:ext cx="834222" cy="848285"/>
        </a:xfrm>
        <a:prstGeom prst="rect">
          <a:avLst/>
        </a:prstGeom>
      </xdr:spPr>
    </xdr:pic>
    <xdr:clientData/>
  </xdr:twoCellAnchor>
  <xdr:twoCellAnchor editAs="oneCell">
    <xdr:from>
      <xdr:col>20</xdr:col>
      <xdr:colOff>161925</xdr:colOff>
      <xdr:row>12</xdr:row>
      <xdr:rowOff>123825</xdr:rowOff>
    </xdr:from>
    <xdr:to>
      <xdr:col>24</xdr:col>
      <xdr:colOff>448213</xdr:colOff>
      <xdr:row>21</xdr:row>
      <xdr:rowOff>209889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6CDCA4BC-6201-6CF0-27E4-19A776E67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67975" y="2019300"/>
          <a:ext cx="3858163" cy="2429214"/>
        </a:xfrm>
        <a:prstGeom prst="rect">
          <a:avLst/>
        </a:prstGeom>
      </xdr:spPr>
    </xdr:pic>
    <xdr:clientData/>
  </xdr:twoCellAnchor>
  <xdr:twoCellAnchor editAs="oneCell">
    <xdr:from>
      <xdr:col>20</xdr:col>
      <xdr:colOff>323850</xdr:colOff>
      <xdr:row>73</xdr:row>
      <xdr:rowOff>47625</xdr:rowOff>
    </xdr:from>
    <xdr:to>
      <xdr:col>21</xdr:col>
      <xdr:colOff>295275</xdr:colOff>
      <xdr:row>77</xdr:row>
      <xdr:rowOff>171450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1E5F203C-976B-3D0E-E79D-9BD1359B1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9900" y="13877925"/>
          <a:ext cx="809625" cy="8096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85724</xdr:colOff>
      <xdr:row>34</xdr:row>
      <xdr:rowOff>149226</xdr:rowOff>
    </xdr:from>
    <xdr:to>
      <xdr:col>29</xdr:col>
      <xdr:colOff>168088</xdr:colOff>
      <xdr:row>49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218016</xdr:colOff>
      <xdr:row>46</xdr:row>
      <xdr:rowOff>37692</xdr:rowOff>
    </xdr:from>
    <xdr:to>
      <xdr:col>24</xdr:col>
      <xdr:colOff>51859</xdr:colOff>
      <xdr:row>47</xdr:row>
      <xdr:rowOff>162983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6938433" y="8663109"/>
          <a:ext cx="617009" cy="315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b="0">
              <a:solidFill>
                <a:schemeClr val="accent3">
                  <a:lumMod val="75000"/>
                </a:schemeClr>
              </a:solidFill>
              <a:latin typeface="Aptos" panose="020B0004020202020204" pitchFamily="34" charset="0"/>
            </a:rPr>
            <a:t>25</a:t>
          </a:r>
        </a:p>
      </xdr:txBody>
    </xdr:sp>
    <xdr:clientData/>
  </xdr:twoCellAnchor>
  <xdr:twoCellAnchor>
    <xdr:from>
      <xdr:col>2</xdr:col>
      <xdr:colOff>84605</xdr:colOff>
      <xdr:row>59</xdr:row>
      <xdr:rowOff>76200</xdr:rowOff>
    </xdr:from>
    <xdr:to>
      <xdr:col>23</xdr:col>
      <xdr:colOff>280147</xdr:colOff>
      <xdr:row>79</xdr:row>
      <xdr:rowOff>19423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pSpPr/>
      </xdr:nvGrpSpPr>
      <xdr:grpSpPr>
        <a:xfrm>
          <a:off x="678517" y="11719112"/>
          <a:ext cx="6762189" cy="3674782"/>
          <a:chOff x="1275230" y="11220450"/>
          <a:chExt cx="7119470" cy="3686548"/>
        </a:xfrm>
      </xdr:grpSpPr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GrpSpPr/>
        </xdr:nvGrpSpPr>
        <xdr:grpSpPr>
          <a:xfrm>
            <a:off x="1275230" y="11220450"/>
            <a:ext cx="7119470" cy="3686548"/>
            <a:chOff x="9872728" y="5074475"/>
            <a:chExt cx="6737350" cy="3511550"/>
          </a:xfrm>
        </xdr:grpSpPr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00000000-0008-0000-0600-000006000000}"/>
                </a:ext>
              </a:extLst>
            </xdr:cNvPr>
            <xdr:cNvGraphicFramePr>
              <a:graphicFrameLocks/>
            </xdr:cNvGraphicFramePr>
          </xdr:nvGraphicFramePr>
          <xdr:xfrm>
            <a:off x="9872728" y="5074475"/>
            <a:ext cx="6737350" cy="35115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 txBox="1"/>
          </xdr:nvSpPr>
          <xdr:spPr>
            <a:xfrm rot="19607843">
              <a:off x="12236808" y="6460499"/>
              <a:ext cx="1356949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600" b="1">
                  <a:solidFill>
                    <a:sysClr val="windowText" lastClr="000000"/>
                  </a:solidFill>
                  <a:latin typeface="Aptos" panose="020B0004020202020204" pitchFamily="34" charset="0"/>
                </a:rPr>
                <a:t>U-Line : PI =0.9 (LL-8)</a:t>
              </a:r>
            </a:p>
          </xdr:txBody>
        </xdr:sp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SpPr txBox="1"/>
          </xdr:nvSpPr>
          <xdr:spPr>
            <a:xfrm rot="19971656">
              <a:off x="14637478" y="5815531"/>
              <a:ext cx="1356949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600" b="1">
                  <a:solidFill>
                    <a:sysClr val="windowText" lastClr="000000"/>
                  </a:solidFill>
                  <a:latin typeface="Aptos" panose="020B0004020202020204" pitchFamily="34" charset="0"/>
                </a:rPr>
                <a:t>U-Line : PI =0.9 (LL-8)</a:t>
              </a:r>
            </a:p>
          </xdr:txBody>
        </xdr:sp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00000000-0008-0000-0600-000009000000}"/>
                </a:ext>
              </a:extLst>
            </xdr:cNvPr>
            <xdr:cNvSpPr txBox="1"/>
          </xdr:nvSpPr>
          <xdr:spPr>
            <a:xfrm>
              <a:off x="11450153" y="7743800"/>
              <a:ext cx="739000" cy="2635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600" b="1">
                  <a:latin typeface="Aptos" panose="020B0004020202020204" pitchFamily="34" charset="0"/>
                </a:rPr>
                <a:t>CL - ML</a:t>
              </a:r>
            </a:p>
          </xdr:txBody>
        </xdr:sp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600-00000A000000}"/>
                </a:ext>
              </a:extLst>
            </xdr:cNvPr>
            <xdr:cNvSpPr txBox="1"/>
          </xdr:nvSpPr>
          <xdr:spPr>
            <a:xfrm>
              <a:off x="12528963" y="7623817"/>
              <a:ext cx="824431" cy="2603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latin typeface="Aptos" panose="020B0004020202020204" pitchFamily="34" charset="0"/>
                </a:rPr>
                <a:t>ML </a:t>
              </a:r>
              <a:r>
                <a:rPr lang="en-US" sz="1100" b="0">
                  <a:latin typeface="Aptos" panose="020B0004020202020204" pitchFamily="34" charset="0"/>
                </a:rPr>
                <a:t>or</a:t>
              </a:r>
              <a:r>
                <a:rPr lang="en-US" sz="1100" b="0" baseline="0">
                  <a:latin typeface="Aptos" panose="020B0004020202020204" pitchFamily="34" charset="0"/>
                </a:rPr>
                <a:t> </a:t>
              </a:r>
              <a:r>
                <a:rPr lang="en-US" sz="1100" b="1" baseline="0">
                  <a:latin typeface="Aptos" panose="020B0004020202020204" pitchFamily="34" charset="0"/>
                </a:rPr>
                <a:t>OL</a:t>
              </a:r>
              <a:endParaRPr lang="en-US" sz="1100" b="1">
                <a:latin typeface="Aptos" panose="020B0004020202020204" pitchFamily="34" charset="0"/>
              </a:endParaRP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 txBox="1"/>
          </xdr:nvSpPr>
          <xdr:spPr>
            <a:xfrm>
              <a:off x="14292906" y="7027071"/>
              <a:ext cx="968301" cy="2476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latin typeface="Aptos" panose="020B0004020202020204" pitchFamily="34" charset="0"/>
                </a:rPr>
                <a:t>MH </a:t>
              </a:r>
              <a:r>
                <a:rPr lang="en-US" sz="1100" b="0">
                  <a:latin typeface="Aptos" panose="020B0004020202020204" pitchFamily="34" charset="0"/>
                </a:rPr>
                <a:t>or </a:t>
              </a:r>
              <a:r>
                <a:rPr lang="en-US" sz="1100" b="1">
                  <a:latin typeface="Aptos" panose="020B0004020202020204" pitchFamily="34" charset="0"/>
                </a:rPr>
                <a:t>OH</a:t>
              </a:r>
            </a:p>
          </xdr:txBody>
        </xdr:sp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00000000-0008-0000-0600-00000C000000}"/>
                </a:ext>
              </a:extLst>
            </xdr:cNvPr>
            <xdr:cNvSpPr txBox="1"/>
          </xdr:nvSpPr>
          <xdr:spPr>
            <a:xfrm rot="19780528">
              <a:off x="13636837" y="6091131"/>
              <a:ext cx="975742" cy="2635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latin typeface="Aptos" panose="020B0004020202020204" pitchFamily="34" charset="0"/>
                </a:rPr>
                <a:t>CH </a:t>
              </a:r>
              <a:r>
                <a:rPr lang="en-US" sz="1100" b="0">
                  <a:latin typeface="Aptos" panose="020B0004020202020204" pitchFamily="34" charset="0"/>
                </a:rPr>
                <a:t>or </a:t>
              </a:r>
              <a:r>
                <a:rPr lang="en-US" sz="1100" b="1">
                  <a:latin typeface="Aptos" panose="020B0004020202020204" pitchFamily="34" charset="0"/>
                </a:rPr>
                <a:t>OH</a:t>
              </a:r>
            </a:p>
          </xdr:txBody>
        </xdr: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 txBox="1"/>
          </xdr:nvSpPr>
          <xdr:spPr>
            <a:xfrm rot="19984613">
              <a:off x="12286596" y="7007760"/>
              <a:ext cx="739000" cy="2603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latin typeface="Aptos" panose="020B0004020202020204" pitchFamily="34" charset="0"/>
                </a:rPr>
                <a:t>CL </a:t>
              </a:r>
              <a:r>
                <a:rPr lang="en-US" sz="1100" b="0" i="0">
                  <a:latin typeface="Aptos" panose="020B0004020202020204" pitchFamily="34" charset="0"/>
                </a:rPr>
                <a:t>or</a:t>
              </a:r>
              <a:r>
                <a:rPr lang="en-US" sz="1100" b="0" i="0" baseline="0">
                  <a:latin typeface="Aptos" panose="020B0004020202020204" pitchFamily="34" charset="0"/>
                </a:rPr>
                <a:t> </a:t>
              </a:r>
              <a:r>
                <a:rPr lang="en-US" sz="1100" b="1" i="0" baseline="0">
                  <a:latin typeface="Aptos" panose="020B0004020202020204" pitchFamily="34" charset="0"/>
                </a:rPr>
                <a:t>OL</a:t>
              </a:r>
              <a:endParaRPr lang="en-US" sz="1100" b="1">
                <a:latin typeface="Aptos" panose="020B0004020202020204" pitchFamily="34" charset="0"/>
              </a:endParaRPr>
            </a:p>
          </xdr:txBody>
        </xdr:sp>
      </xdr:grp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600-00000E000000}"/>
              </a:ext>
            </a:extLst>
          </xdr:cNvPr>
          <xdr:cNvSpPr txBox="1"/>
        </xdr:nvSpPr>
        <xdr:spPr>
          <a:xfrm>
            <a:off x="1644650" y="13973175"/>
            <a:ext cx="177800" cy="196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00" b="0">
                <a:latin typeface="Aptos" panose="020B0004020202020204" pitchFamily="34" charset="0"/>
              </a:rPr>
              <a:t>7</a:t>
            </a: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SpPr txBox="1"/>
        </xdr:nvSpPr>
        <xdr:spPr>
          <a:xfrm>
            <a:off x="1644650" y="14106525"/>
            <a:ext cx="177800" cy="1968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00" b="0">
                <a:latin typeface="Aptos" panose="020B0004020202020204" pitchFamily="34" charset="0"/>
              </a:rPr>
              <a:t>4</a:t>
            </a:r>
          </a:p>
        </xdr:txBody>
      </xdr:sp>
    </xdr:grpSp>
    <xdr:clientData/>
  </xdr:twoCellAnchor>
  <xdr:twoCellAnchor>
    <xdr:from>
      <xdr:col>36</xdr:col>
      <xdr:colOff>104276</xdr:colOff>
      <xdr:row>59</xdr:row>
      <xdr:rowOff>187323</xdr:rowOff>
    </xdr:from>
    <xdr:to>
      <xdr:col>37</xdr:col>
      <xdr:colOff>375705</xdr:colOff>
      <xdr:row>65</xdr:row>
      <xdr:rowOff>49742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>
          <a:off x="12973609" y="11670240"/>
          <a:ext cx="948763" cy="10689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en-US" sz="1000">
              <a:latin typeface="Aptos" panose="020B0004020202020204" pitchFamily="34" charset="0"/>
            </a:rPr>
            <a:t>SCAN</a:t>
          </a:r>
          <a:r>
            <a:rPr lang="en-US" sz="1000" baseline="0">
              <a:latin typeface="Aptos" panose="020B0004020202020204" pitchFamily="34" charset="0"/>
            </a:rPr>
            <a:t> ME</a:t>
          </a:r>
          <a:endParaRPr lang="en-US" sz="1000">
            <a:latin typeface="Aptos" panose="020B0004020202020204" pitchFamily="34" charset="0"/>
          </a:endParaRPr>
        </a:p>
      </xdr:txBody>
    </xdr:sp>
    <xdr:clientData/>
  </xdr:twoCellAnchor>
  <xdr:twoCellAnchor editAs="oneCell">
    <xdr:from>
      <xdr:col>3</xdr:col>
      <xdr:colOff>130549</xdr:colOff>
      <xdr:row>2</xdr:row>
      <xdr:rowOff>44824</xdr:rowOff>
    </xdr:from>
    <xdr:to>
      <xdr:col>6</xdr:col>
      <xdr:colOff>136096</xdr:colOff>
      <xdr:row>6</xdr:row>
      <xdr:rowOff>112059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071CDAB-401B-5925-90A0-681E2FF97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4108" y="235324"/>
          <a:ext cx="845988" cy="82923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48965</xdr:colOff>
      <xdr:row>27</xdr:row>
      <xdr:rowOff>104775</xdr:rowOff>
    </xdr:from>
    <xdr:to>
      <xdr:col>13</xdr:col>
      <xdr:colOff>123825</xdr:colOff>
      <xdr:row>53</xdr:row>
      <xdr:rowOff>34478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CA9F3D-53E3-4919-BACE-4B0D6FA59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48767</xdr:colOff>
      <xdr:row>53</xdr:row>
      <xdr:rowOff>152304</xdr:rowOff>
    </xdr:from>
    <xdr:to>
      <xdr:col>13</xdr:col>
      <xdr:colOff>124557</xdr:colOff>
      <xdr:row>73</xdr:row>
      <xdr:rowOff>76932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BB22E7-52DA-4EE7-94FD-6D305BC3CF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28</xdr:col>
      <xdr:colOff>266700</xdr:colOff>
      <xdr:row>26</xdr:row>
      <xdr:rowOff>0</xdr:rowOff>
    </xdr:from>
    <xdr:to>
      <xdr:col>28</xdr:col>
      <xdr:colOff>533400</xdr:colOff>
      <xdr:row>26</xdr:row>
      <xdr:rowOff>163830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EF05B2C7-56FE-4E5B-896B-3863AF9F1349}"/>
            </a:ext>
          </a:extLst>
        </xdr:cNvPr>
        <xdr:cNvGrpSpPr>
          <a:grpSpLocks/>
        </xdr:cNvGrpSpPr>
      </xdr:nvGrpSpPr>
      <xdr:grpSpPr bwMode="auto">
        <a:xfrm>
          <a:off x="13687425" y="5829300"/>
          <a:ext cx="266700" cy="163830"/>
          <a:chOff x="-66" y="-3910"/>
          <a:chExt cx="15" cy="16344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B5951990-15FD-FA24-45DF-2011D7B3F4AD}"/>
              </a:ext>
            </a:extLst>
          </xdr:cNvPr>
          <xdr:cNvGrpSpPr>
            <a:grpSpLocks/>
          </xdr:cNvGrpSpPr>
        </xdr:nvGrpSpPr>
        <xdr:grpSpPr bwMode="auto">
          <a:xfrm>
            <a:off x="-64" y="-3910"/>
            <a:ext cx="13" cy="16344"/>
            <a:chOff x="5100000" y="10040000"/>
            <a:chExt cx="260000" cy="720000"/>
          </a:xfrm>
        </xdr:grpSpPr>
        <xdr:sp macro="" textlink="">
          <xdr:nvSpPr>
            <xdr:cNvPr id="8" name="Line 3">
              <a:extLst>
                <a:ext uri="{FF2B5EF4-FFF2-40B4-BE49-F238E27FC236}">
                  <a16:creationId xmlns:a16="http://schemas.microsoft.com/office/drawing/2014/main" id="{1801D96C-974C-30B5-BCFF-8052EDB14804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5100000" y="10040000"/>
              <a:ext cx="100000" cy="72000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" name="Line 4">
              <a:extLst>
                <a:ext uri="{FF2B5EF4-FFF2-40B4-BE49-F238E27FC236}">
                  <a16:creationId xmlns:a16="http://schemas.microsoft.com/office/drawing/2014/main" id="{C442206B-ADD7-72D1-F5D0-D4091B1E315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200000" y="10040000"/>
              <a:ext cx="160000" cy="0"/>
            </a:xfrm>
            <a:prstGeom prst="line">
              <a:avLst/>
            </a:prstGeom>
            <a:noFill/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7" name="Line 5">
            <a:extLst>
              <a:ext uri="{FF2B5EF4-FFF2-40B4-BE49-F238E27FC236}">
                <a16:creationId xmlns:a16="http://schemas.microsoft.com/office/drawing/2014/main" id="{0BF36576-046E-61FD-56E3-BCDA6C293466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-66" y="4716"/>
            <a:ext cx="2" cy="590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 editAs="oneCell">
    <xdr:from>
      <xdr:col>30</xdr:col>
      <xdr:colOff>22860</xdr:colOff>
      <xdr:row>24</xdr:row>
      <xdr:rowOff>0</xdr:rowOff>
    </xdr:from>
    <xdr:to>
      <xdr:col>30</xdr:col>
      <xdr:colOff>91440</xdr:colOff>
      <xdr:row>24</xdr:row>
      <xdr:rowOff>189386</xdr:rowOff>
    </xdr:to>
    <xdr:sp macro="" textlink="">
      <xdr:nvSpPr>
        <xdr:cNvPr id="10" name="Text Box 6">
          <a:extLst>
            <a:ext uri="{FF2B5EF4-FFF2-40B4-BE49-F238E27FC236}">
              <a16:creationId xmlns:a16="http://schemas.microsoft.com/office/drawing/2014/main" id="{E4AE0788-50DC-43A3-929A-70650A569D9D}"/>
            </a:ext>
          </a:extLst>
        </xdr:cNvPr>
        <xdr:cNvSpPr txBox="1">
          <a:spLocks noChangeArrowheads="1"/>
        </xdr:cNvSpPr>
      </xdr:nvSpPr>
      <xdr:spPr bwMode="auto">
        <a:xfrm>
          <a:off x="15234285" y="5476875"/>
          <a:ext cx="68580" cy="1893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34</xdr:col>
      <xdr:colOff>279400</xdr:colOff>
      <xdr:row>75</xdr:row>
      <xdr:rowOff>152400</xdr:rowOff>
    </xdr:from>
    <xdr:to>
      <xdr:col>41</xdr:col>
      <xdr:colOff>190500</xdr:colOff>
      <xdr:row>98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BC427B2-6AC1-4D6B-9157-BE7E56CA45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279400</xdr:colOff>
      <xdr:row>101</xdr:row>
      <xdr:rowOff>0</xdr:rowOff>
    </xdr:from>
    <xdr:to>
      <xdr:col>41</xdr:col>
      <xdr:colOff>190500</xdr:colOff>
      <xdr:row>122</xdr:row>
      <xdr:rowOff>190500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8437671-0C53-47D5-8830-677D000B43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228600</xdr:colOff>
      <xdr:row>150</xdr:row>
      <xdr:rowOff>38100</xdr:rowOff>
    </xdr:from>
    <xdr:to>
      <xdr:col>41</xdr:col>
      <xdr:colOff>139700</xdr:colOff>
      <xdr:row>172</xdr:row>
      <xdr:rowOff>25400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D9D3C63-9277-45EE-AABB-D6E62923B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34</xdr:col>
      <xdr:colOff>190500</xdr:colOff>
      <xdr:row>174</xdr:row>
      <xdr:rowOff>12700</xdr:rowOff>
    </xdr:from>
    <xdr:to>
      <xdr:col>41</xdr:col>
      <xdr:colOff>101600</xdr:colOff>
      <xdr:row>196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5CB51CF-BE10-4A88-B8F2-3D1EE868B4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34</xdr:col>
      <xdr:colOff>228600</xdr:colOff>
      <xdr:row>196</xdr:row>
      <xdr:rowOff>190500</xdr:rowOff>
    </xdr:from>
    <xdr:to>
      <xdr:col>41</xdr:col>
      <xdr:colOff>139700</xdr:colOff>
      <xdr:row>218</xdr:row>
      <xdr:rowOff>177800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87030D9-AB06-467C-BD6A-0AF1CBE0EC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</xdr:col>
      <xdr:colOff>51285</xdr:colOff>
      <xdr:row>113</xdr:row>
      <xdr:rowOff>146050</xdr:rowOff>
    </xdr:from>
    <xdr:to>
      <xdr:col>10</xdr:col>
      <xdr:colOff>251650</xdr:colOff>
      <xdr:row>129</xdr:row>
      <xdr:rowOff>171450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F636D53-3722-4006-A3CA-A1EBFBCA9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323849</xdr:colOff>
      <xdr:row>113</xdr:row>
      <xdr:rowOff>156795</xdr:rowOff>
    </xdr:from>
    <xdr:to>
      <xdr:col>20</xdr:col>
      <xdr:colOff>40638</xdr:colOff>
      <xdr:row>129</xdr:row>
      <xdr:rowOff>156796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EBDFAD6-8F34-4455-AA05-5DF798F773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34</xdr:col>
      <xdr:colOff>161925</xdr:colOff>
      <xdr:row>126</xdr:row>
      <xdr:rowOff>161925</xdr:rowOff>
    </xdr:from>
    <xdr:to>
      <xdr:col>41</xdr:col>
      <xdr:colOff>101600</xdr:colOff>
      <xdr:row>148</xdr:row>
      <xdr:rowOff>152400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3BF9E8F-A367-4BA9-8198-1CF6BB0D3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</xdr:col>
      <xdr:colOff>52506</xdr:colOff>
      <xdr:row>130</xdr:row>
      <xdr:rowOff>118696</xdr:rowOff>
    </xdr:from>
    <xdr:to>
      <xdr:col>10</xdr:col>
      <xdr:colOff>252871</xdr:colOff>
      <xdr:row>146</xdr:row>
      <xdr:rowOff>22469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505889D-4656-44E2-B891-B742406182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10</xdr:col>
      <xdr:colOff>322628</xdr:colOff>
      <xdr:row>130</xdr:row>
      <xdr:rowOff>111369</xdr:rowOff>
    </xdr:from>
    <xdr:to>
      <xdr:col>20</xdr:col>
      <xdr:colOff>39417</xdr:colOff>
      <xdr:row>146</xdr:row>
      <xdr:rowOff>21980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F72F4A5-7725-452F-9CD5-46758BF838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</xdr:col>
      <xdr:colOff>67161</xdr:colOff>
      <xdr:row>147</xdr:row>
      <xdr:rowOff>2687</xdr:rowOff>
    </xdr:from>
    <xdr:to>
      <xdr:col>10</xdr:col>
      <xdr:colOff>267526</xdr:colOff>
      <xdr:row>163</xdr:row>
      <xdr:rowOff>165588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98A7A815-A495-46D3-AF77-74A8AE9BF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10</xdr:col>
      <xdr:colOff>334594</xdr:colOff>
      <xdr:row>147</xdr:row>
      <xdr:rowOff>27598</xdr:rowOff>
    </xdr:from>
    <xdr:to>
      <xdr:col>20</xdr:col>
      <xdr:colOff>51383</xdr:colOff>
      <xdr:row>163</xdr:row>
      <xdr:rowOff>189523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24B3BE3-C7EC-49D2-BE50-E0C30BD752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13</xdr:col>
      <xdr:colOff>344365</xdr:colOff>
      <xdr:row>27</xdr:row>
      <xdr:rowOff>112605</xdr:rowOff>
    </xdr:from>
    <xdr:to>
      <xdr:col>19</xdr:col>
      <xdr:colOff>237914</xdr:colOff>
      <xdr:row>66</xdr:row>
      <xdr:rowOff>47625</xdr:rowOff>
    </xdr:to>
    <xdr:grpSp>
      <xdr:nvGrpSpPr>
        <xdr:cNvPr id="27" name="Group 26">
          <a:extLst>
            <a:ext uri="{FF2B5EF4-FFF2-40B4-BE49-F238E27FC236}">
              <a16:creationId xmlns:a16="http://schemas.microsoft.com/office/drawing/2014/main" id="{03E885F2-99B3-47A8-96D3-53B1AA59CA6D}"/>
            </a:ext>
          </a:extLst>
        </xdr:cNvPr>
        <xdr:cNvGrpSpPr/>
      </xdr:nvGrpSpPr>
      <xdr:grpSpPr>
        <a:xfrm>
          <a:off x="7345240" y="6141930"/>
          <a:ext cx="2455774" cy="6373920"/>
          <a:chOff x="7640718" y="4713180"/>
          <a:chExt cx="2331746" cy="5758200"/>
        </a:xfrm>
      </xdr:grpSpPr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1E0AA6CB-6440-7FA3-4EA8-409C273948FB}"/>
              </a:ext>
            </a:extLst>
          </xdr:cNvPr>
          <xdr:cNvSpPr txBox="1"/>
        </xdr:nvSpPr>
        <xdr:spPr>
          <a:xfrm>
            <a:off x="7650243" y="4713180"/>
            <a:ext cx="2322221" cy="1872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900">
                <a:latin typeface="Aptos" panose="020B0004020202020204" pitchFamily="34" charset="0"/>
              </a:rPr>
              <a:t>Foto  Benda Uji</a:t>
            </a: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44CF95AF-F4F9-520E-5004-3E8E1106EC0C}"/>
              </a:ext>
            </a:extLst>
          </xdr:cNvPr>
          <xdr:cNvSpPr txBox="1"/>
        </xdr:nvSpPr>
        <xdr:spPr>
          <a:xfrm>
            <a:off x="7640718" y="6656280"/>
            <a:ext cx="2322221" cy="1872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900">
                <a:latin typeface="Aptos" panose="020B0004020202020204" pitchFamily="34" charset="0"/>
              </a:rPr>
              <a:t>Foto  Benda Uji</a:t>
            </a:r>
          </a:p>
        </xdr:txBody>
      </xdr:sp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BCEFAAA0-C449-7939-09BF-4411673F530E}"/>
              </a:ext>
            </a:extLst>
          </xdr:cNvPr>
          <xdr:cNvSpPr txBox="1"/>
        </xdr:nvSpPr>
        <xdr:spPr>
          <a:xfrm>
            <a:off x="7640718" y="8599380"/>
            <a:ext cx="2322221" cy="1872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900">
                <a:latin typeface="Aptos" panose="020B0004020202020204" pitchFamily="34" charset="0"/>
              </a:rPr>
              <a:t>Foto  Benda Uji</a:t>
            </a:r>
          </a:p>
        </xdr:txBody>
      </xdr:sp>
    </xdr:grpSp>
    <xdr:clientData/>
  </xdr:twoCellAnchor>
  <xdr:twoCellAnchor editAs="oneCell">
    <xdr:from>
      <xdr:col>3</xdr:col>
      <xdr:colOff>151668</xdr:colOff>
      <xdr:row>2</xdr:row>
      <xdr:rowOff>140677</xdr:rowOff>
    </xdr:from>
    <xdr:to>
      <xdr:col>4</xdr:col>
      <xdr:colOff>828849</xdr:colOff>
      <xdr:row>6</xdr:row>
      <xdr:rowOff>131712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2C93C96-331A-4222-9E97-619EA0AE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5360" y="470389"/>
          <a:ext cx="831047" cy="826304"/>
        </a:xfrm>
        <a:prstGeom prst="rect">
          <a:avLst/>
        </a:prstGeom>
      </xdr:spPr>
    </xdr:pic>
    <xdr:clientData/>
  </xdr:twoCellAnchor>
  <xdr:twoCellAnchor>
    <xdr:from>
      <xdr:col>8</xdr:col>
      <xdr:colOff>95250</xdr:colOff>
      <xdr:row>29</xdr:row>
      <xdr:rowOff>24179</xdr:rowOff>
    </xdr:from>
    <xdr:to>
      <xdr:col>13</xdr:col>
      <xdr:colOff>65943</xdr:colOff>
      <xdr:row>32</xdr:row>
      <xdr:rowOff>97448</xdr:rowOff>
    </xdr:to>
    <xdr:grpSp>
      <xdr:nvGrpSpPr>
        <xdr:cNvPr id="36" name="Group 35">
          <a:extLst>
            <a:ext uri="{FF2B5EF4-FFF2-40B4-BE49-F238E27FC236}">
              <a16:creationId xmlns:a16="http://schemas.microsoft.com/office/drawing/2014/main" id="{83B8E271-5209-ADB6-82CB-4A70CC053266}"/>
            </a:ext>
          </a:extLst>
        </xdr:cNvPr>
        <xdr:cNvGrpSpPr/>
      </xdr:nvGrpSpPr>
      <xdr:grpSpPr>
        <a:xfrm>
          <a:off x="4448175" y="6396404"/>
          <a:ext cx="2618643" cy="549519"/>
          <a:chOff x="4588364" y="5034329"/>
          <a:chExt cx="2526079" cy="549519"/>
        </a:xfrm>
      </xdr:grpSpPr>
      <xdr:grpSp>
        <xdr:nvGrpSpPr>
          <xdr:cNvPr id="35" name="Group 34">
            <a:extLst>
              <a:ext uri="{FF2B5EF4-FFF2-40B4-BE49-F238E27FC236}">
                <a16:creationId xmlns:a16="http://schemas.microsoft.com/office/drawing/2014/main" id="{9B67E5A9-5560-17AB-07CD-FD97B0A0AA9A}"/>
              </a:ext>
            </a:extLst>
          </xdr:cNvPr>
          <xdr:cNvGrpSpPr/>
        </xdr:nvGrpSpPr>
        <xdr:grpSpPr>
          <a:xfrm>
            <a:off x="4588364" y="5034329"/>
            <a:ext cx="2526079" cy="549519"/>
            <a:chOff x="4588364" y="5034329"/>
            <a:chExt cx="2526079" cy="549519"/>
          </a:xfrm>
        </xdr:grpSpPr>
        <mc:AlternateContent xmlns:mc="http://schemas.openxmlformats.org/markup-compatibility/2006" xmlns:a14="http://schemas.microsoft.com/office/drawing/2010/main">
          <mc:Choice Requires="a14">
            <xdr:sp macro="" textlink="">
              <xdr:nvSpPr>
                <xdr:cNvPr id="16" name="TextBox 15">
                  <a:extLst>
                    <a:ext uri="{FF2B5EF4-FFF2-40B4-BE49-F238E27FC236}">
                      <a16:creationId xmlns:a16="http://schemas.microsoft.com/office/drawing/2014/main" id="{C8452291-291D-4758-AB1D-0F33E2A4B019}"/>
                    </a:ext>
                  </a:extLst>
                </xdr:cNvPr>
                <xdr:cNvSpPr txBox="1"/>
              </xdr:nvSpPr>
              <xdr:spPr>
                <a:xfrm>
                  <a:off x="4588364" y="5194056"/>
                  <a:ext cx="1160339" cy="28428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14:m>
                    <m:oMath xmlns:m="http://schemas.openxmlformats.org/officeDocument/2006/math">
                      <m:sSub>
                        <m:sSubPr>
                          <m:ctrlPr>
                            <a:rPr lang="en-US" sz="1000" b="0" i="1">
                              <a:latin typeface="Cambria Math" panose="02040503050406030204" pitchFamily="18" charset="0"/>
                            </a:rPr>
                          </m:ctrlPr>
                        </m:sSubPr>
                        <m:e>
                          <m:r>
                            <a:rPr lang="en-US" sz="1000" b="0" i="1">
                              <a:latin typeface="Cambria Math" panose="02040503050406030204" pitchFamily="18" charset="0"/>
                            </a:rPr>
                            <m:t>𝐶</m:t>
                          </m:r>
                        </m:e>
                        <m:sub>
                          <m:r>
                            <a:rPr lang="en-US" sz="1000" b="0" i="1">
                              <a:latin typeface="Cambria Math" panose="02040503050406030204" pitchFamily="18" charset="0"/>
                            </a:rPr>
                            <m:t>𝑐</m:t>
                          </m:r>
                        </m:sub>
                      </m:sSub>
                      <m:r>
                        <a:rPr lang="en-US" sz="1000" i="1">
                          <a:latin typeface="Cambria Math" panose="02040503050406030204" pitchFamily="18" charset="0"/>
                          <a:ea typeface="Cambria Math" panose="02040503050406030204" pitchFamily="18" charset="0"/>
                        </a:rPr>
                        <m:t>=</m:t>
                      </m:r>
                      <m:f>
                        <m:fPr>
                          <m:ctrlPr>
                            <a:rPr lang="en-US" sz="100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</m:ctrlPr>
                        </m:fPr>
                        <m:num>
                          <m:sSub>
                            <m:sSubPr>
                              <m:ctrlPr>
                                <a:rPr lang="en-US" sz="1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𝑒</m:t>
                              </m:r>
                            </m:e>
                            <m:sub>
                              <m:r>
                                <a:rPr lang="en-US" sz="1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𝑎</m:t>
                              </m:r>
                            </m:sub>
                          </m:sSub>
                          <m:r>
                            <a:rPr lang="en-US" sz="1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−</m:t>
                          </m:r>
                          <m:sSub>
                            <m:sSubPr>
                              <m:ctrlPr>
                                <a:rPr lang="en-US" sz="1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sSubPr>
                            <m:e>
                              <m:r>
                                <a:rPr lang="en-US" sz="1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𝑒</m:t>
                              </m:r>
                            </m:e>
                            <m:sub>
                              <m:r>
                                <a:rPr lang="en-US" sz="1000" b="0" i="1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𝑏</m:t>
                              </m:r>
                            </m:sub>
                          </m:sSub>
                        </m:num>
                        <m:den>
                          <m:func>
                            <m:funcPr>
                              <m:ctrlPr>
                                <a:rPr lang="en-US" sz="1000" i="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1000" i="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log</m:t>
                              </m:r>
                            </m:fName>
                            <m:e>
                              <m:sSub>
                                <m:sSubPr>
                                  <m:ctrlPr>
                                    <a:rPr lang="en-US" sz="1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𝑃</m:t>
                                  </m:r>
                                </m:e>
                                <m:sub>
                                  <m:r>
                                    <a:rPr lang="en-US" sz="1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𝑏</m:t>
                                  </m:r>
                                </m:sub>
                              </m:sSub>
                            </m:e>
                          </m:func>
                          <m:r>
                            <a:rPr lang="en-US" sz="1000" b="0" i="1">
                              <a:latin typeface="Cambria Math" panose="02040503050406030204" pitchFamily="18" charset="0"/>
                              <a:ea typeface="Cambria Math" panose="02040503050406030204" pitchFamily="18" charset="0"/>
                            </a:rPr>
                            <m:t>−</m:t>
                          </m:r>
                          <m:func>
                            <m:funcPr>
                              <m:ctrlPr>
                                <a:rPr lang="en-US" sz="1000" b="0" i="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</m:ctrlPr>
                            </m:funcPr>
                            <m:fName>
                              <m:r>
                                <m:rPr>
                                  <m:sty m:val="p"/>
                                </m:rPr>
                                <a:rPr lang="en-US" sz="1000" b="0" i="0">
                                  <a:latin typeface="Cambria Math" panose="02040503050406030204" pitchFamily="18" charset="0"/>
                                  <a:ea typeface="Cambria Math" panose="02040503050406030204" pitchFamily="18" charset="0"/>
                                </a:rPr>
                                <m:t>log</m:t>
                              </m:r>
                            </m:fName>
                            <m:e>
                              <m:sSub>
                                <m:sSubPr>
                                  <m:ctrlPr>
                                    <a:rPr lang="en-US" sz="1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</m:ctrlPr>
                                </m:sSubPr>
                                <m:e>
                                  <m:r>
                                    <a:rPr lang="en-US" sz="1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𝑃</m:t>
                                  </m:r>
                                </m:e>
                                <m:sub>
                                  <m:r>
                                    <a:rPr lang="en-US" sz="1000" b="0" i="1">
                                      <a:latin typeface="Cambria Math" panose="02040503050406030204" pitchFamily="18" charset="0"/>
                                      <a:ea typeface="Cambria Math" panose="02040503050406030204" pitchFamily="18" charset="0"/>
                                    </a:rPr>
                                    <m:t>𝑎</m:t>
                                  </m:r>
                                </m:sub>
                              </m:sSub>
                            </m:e>
                          </m:func>
                        </m:den>
                      </m:f>
                    </m:oMath>
                  </a14:m>
                  <a:r>
                    <a:rPr lang="en-US" sz="1000">
                      <a:latin typeface="Aptos" panose="020B0004020202020204" pitchFamily="34" charset="0"/>
                    </a:rPr>
                    <a:t>  =</a:t>
                  </a:r>
                </a:p>
              </xdr:txBody>
            </xdr:sp>
          </mc:Choice>
          <mc:Fallback xmlns="">
            <xdr:sp macro="" textlink="">
              <xdr:nvSpPr>
                <xdr:cNvPr id="16" name="TextBox 15">
                  <a:extLst>
                    <a:ext uri="{FF2B5EF4-FFF2-40B4-BE49-F238E27FC236}">
                      <a16:creationId xmlns:a16="http://schemas.microsoft.com/office/drawing/2014/main" id="{C8452291-291D-4758-AB1D-0F33E2A4B019}"/>
                    </a:ext>
                  </a:extLst>
                </xdr:cNvPr>
                <xdr:cNvSpPr txBox="1"/>
              </xdr:nvSpPr>
              <xdr:spPr>
                <a:xfrm>
                  <a:off x="4588364" y="5194056"/>
                  <a:ext cx="1160339" cy="284285"/>
                </a:xfrm>
                <a:prstGeom prst="rect">
                  <a:avLst/>
                </a:prstGeom>
                <a:noFill/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tx1"/>
                </a:fontRef>
              </xdr:style>
              <xdr:txBody>
                <a:bodyPr vertOverflow="clip" horzOverflow="clip" wrap="square" lIns="0" tIns="0" rIns="0" bIns="0" rtlCol="0" anchor="t">
                  <a:noAutofit/>
                </a:bodyPr>
                <a:lstStyle/>
                <a:p>
                  <a:r>
                    <a:rPr lang="en-US" sz="1000" b="0" i="0">
                      <a:latin typeface="Cambria Math" panose="02040503050406030204" pitchFamily="18" charset="0"/>
                    </a:rPr>
                    <a:t>𝐶_𝑐</a:t>
                  </a:r>
                  <a:r>
                    <a:rPr lang="en-US" sz="100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a:t>=(</a:t>
                  </a:r>
                  <a:r>
                    <a:rPr lang="en-US" sz="10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a:t>𝑒_𝑎−𝑒_𝑏)/(</a:t>
                  </a:r>
                  <a:r>
                    <a:rPr lang="en-US" sz="100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a:t>log⁡〖</a:t>
                  </a:r>
                  <a:r>
                    <a:rPr lang="en-US" sz="1000" b="0" i="0">
                      <a:latin typeface="Cambria Math" panose="02040503050406030204" pitchFamily="18" charset="0"/>
                      <a:ea typeface="Cambria Math" panose="02040503050406030204" pitchFamily="18" charset="0"/>
                    </a:rPr>
                    <a:t>𝑃_𝑏 〗−log⁡〖𝑃_𝑎 〗 )</a:t>
                  </a:r>
                  <a:r>
                    <a:rPr lang="en-US" sz="1000">
                      <a:latin typeface="Aptos" panose="020B0004020202020204" pitchFamily="34" charset="0"/>
                    </a:rPr>
                    <a:t>  =</a:t>
                  </a:r>
                </a:p>
              </xdr:txBody>
            </xdr:sp>
          </mc:Fallback>
        </mc:AlternateContent>
        <xdr:sp macro="" textlink="$AA$20">
          <xdr:nvSpPr>
            <xdr:cNvPr id="31" name="TextBox 30">
              <a:extLst>
                <a:ext uri="{FF2B5EF4-FFF2-40B4-BE49-F238E27FC236}">
                  <a16:creationId xmlns:a16="http://schemas.microsoft.com/office/drawing/2014/main" id="{122721C4-FA3B-4BFF-ABAF-271C4C791611}"/>
                </a:ext>
              </a:extLst>
            </xdr:cNvPr>
            <xdr:cNvSpPr txBox="1"/>
          </xdr:nvSpPr>
          <xdr:spPr>
            <a:xfrm>
              <a:off x="6425712" y="5116389"/>
              <a:ext cx="688731" cy="3575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90BEB20-1DEF-4DAB-9CAE-B3F8B65823CD}" type="TxLink">
                <a:rPr lang="en-US" sz="1000" b="0" i="0" u="none" strike="noStrike">
                  <a:solidFill>
                    <a:srgbClr val="000000"/>
                  </a:solidFill>
                  <a:latin typeface="Aptos"/>
                  <a:ea typeface="Calibri"/>
                  <a:cs typeface="Calibri"/>
                </a:rPr>
                <a:pPr algn="ctr"/>
                <a:t>0,433</a:t>
              </a:fld>
              <a:endParaRPr lang="en-ID" sz="1000"/>
            </a:p>
          </xdr:txBody>
        </xdr:sp>
        <xdr:sp macro="" textlink="$Z$20">
          <xdr:nvSpPr>
            <xdr:cNvPr id="32" name="TextBox 31">
              <a:extLst>
                <a:ext uri="{FF2B5EF4-FFF2-40B4-BE49-F238E27FC236}">
                  <a16:creationId xmlns:a16="http://schemas.microsoft.com/office/drawing/2014/main" id="{1BEC7214-381D-41FF-864D-3E16CFB6C355}"/>
                </a:ext>
              </a:extLst>
            </xdr:cNvPr>
            <xdr:cNvSpPr txBox="1"/>
          </xdr:nvSpPr>
          <xdr:spPr>
            <a:xfrm>
              <a:off x="5703277" y="5034329"/>
              <a:ext cx="691662" cy="30773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31E9976B-94CA-417B-9BF9-AACB18D3458B}" type="TxLink">
                <a:rPr lang="en-US" sz="1000" b="0" i="0" u="none" strike="noStrike">
                  <a:solidFill>
                    <a:srgbClr val="000000"/>
                  </a:solidFill>
                  <a:latin typeface="Aptos"/>
                  <a:ea typeface="Calibri"/>
                  <a:cs typeface="Calibri"/>
                </a:rPr>
                <a:pPr algn="ctr"/>
                <a:t>0,130</a:t>
              </a:fld>
              <a:endParaRPr lang="en-ID" sz="1000"/>
            </a:p>
          </xdr:txBody>
        </xdr:sp>
        <xdr:sp macro="" textlink="$Z$21">
          <xdr:nvSpPr>
            <xdr:cNvPr id="33" name="TextBox 32">
              <a:extLst>
                <a:ext uri="{FF2B5EF4-FFF2-40B4-BE49-F238E27FC236}">
                  <a16:creationId xmlns:a16="http://schemas.microsoft.com/office/drawing/2014/main" id="{4608D0CF-C562-4FA4-B748-5D0C63ED59A9}"/>
                </a:ext>
              </a:extLst>
            </xdr:cNvPr>
            <xdr:cNvSpPr txBox="1"/>
          </xdr:nvSpPr>
          <xdr:spPr>
            <a:xfrm>
              <a:off x="5694485" y="5226294"/>
              <a:ext cx="691662" cy="35755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F24138DA-D373-4A61-B072-B014927ED2A5}" type="TxLink">
                <a:rPr lang="en-US" sz="1000" b="0" i="0" u="none" strike="noStrike">
                  <a:solidFill>
                    <a:srgbClr val="000000"/>
                  </a:solidFill>
                  <a:latin typeface="Aptos"/>
                  <a:ea typeface="Calibri"/>
                  <a:cs typeface="Calibri"/>
                </a:rPr>
                <a:pPr algn="ctr"/>
                <a:t>0,301</a:t>
              </a:fld>
              <a:endParaRPr lang="en-ID" sz="1000"/>
            </a:p>
          </xdr:txBody>
        </xdr:sp>
      </xdr:grp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37DDF5D7-D58A-41DD-97B4-7ECB5EB216E5}"/>
              </a:ext>
            </a:extLst>
          </xdr:cNvPr>
          <xdr:cNvSpPr txBox="1"/>
        </xdr:nvSpPr>
        <xdr:spPr>
          <a:xfrm>
            <a:off x="6464057" y="5208710"/>
            <a:ext cx="166808" cy="225669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lIns="0" tIns="0" rIns="0" bIns="0" rtlCol="0" anchor="t">
            <a:noAutofit/>
          </a:bodyPr>
          <a:lstStyle/>
          <a:p>
            <a:r>
              <a:rPr lang="en-US" sz="1000"/>
              <a:t>=</a:t>
            </a:r>
          </a:p>
        </xdr:txBody>
      </xdr:sp>
    </xdr:grpSp>
    <xdr:clientData/>
  </xdr:twoCellAnchor>
  <xdr:twoCellAnchor>
    <xdr:from>
      <xdr:col>10</xdr:col>
      <xdr:colOff>412976</xdr:colOff>
      <xdr:row>30</xdr:row>
      <xdr:rowOff>112259</xdr:rowOff>
    </xdr:from>
    <xdr:to>
      <xdr:col>11</xdr:col>
      <xdr:colOff>381000</xdr:colOff>
      <xdr:row>30</xdr:row>
      <xdr:rowOff>117702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CADADD4C-ACB8-F79E-19C5-A82408CE15AA}"/>
            </a:ext>
          </a:extLst>
        </xdr:cNvPr>
        <xdr:cNvCxnSpPr/>
      </xdr:nvCxnSpPr>
      <xdr:spPr>
        <a:xfrm flipV="1">
          <a:off x="5434012" y="6102804"/>
          <a:ext cx="576943" cy="5443"/>
        </a:xfrm>
        <a:prstGeom prst="line">
          <a:avLst/>
        </a:prstGeom>
        <a:ln w="12700">
          <a:solidFill>
            <a:srgbClr val="3D2B1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85725</xdr:colOff>
      <xdr:row>96</xdr:row>
      <xdr:rowOff>133350</xdr:rowOff>
    </xdr:from>
    <xdr:ext cx="831047" cy="829235"/>
    <xdr:pic>
      <xdr:nvPicPr>
        <xdr:cNvPr id="42" name="Picture 41">
          <a:extLst>
            <a:ext uri="{FF2B5EF4-FFF2-40B4-BE49-F238E27FC236}">
              <a16:creationId xmlns:a16="http://schemas.microsoft.com/office/drawing/2014/main" id="{79C77253-F7CC-4BFE-96AB-B05DFC7DC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18488025"/>
          <a:ext cx="831047" cy="829235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70</xdr:row>
      <xdr:rowOff>0</xdr:rowOff>
    </xdr:from>
    <xdr:to>
      <xdr:col>12</xdr:col>
      <xdr:colOff>0</xdr:colOff>
      <xdr:row>86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82AB935A-E302-4201-AD44-8C87918E4C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209550</xdr:colOff>
      <xdr:row>71</xdr:row>
      <xdr:rowOff>0</xdr:rowOff>
    </xdr:from>
    <xdr:to>
      <xdr:col>17</xdr:col>
      <xdr:colOff>152400</xdr:colOff>
      <xdr:row>75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BF8AE2AA-C641-4706-8B39-CBD6419B1E9E}"/>
            </a:ext>
          </a:extLst>
        </xdr:cNvPr>
        <xdr:cNvSpPr>
          <a:spLocks noChangeArrowheads="1"/>
        </xdr:cNvSpPr>
      </xdr:nvSpPr>
      <xdr:spPr bwMode="auto">
        <a:xfrm>
          <a:off x="6838950" y="9439275"/>
          <a:ext cx="400050" cy="600075"/>
        </a:xfrm>
        <a:prstGeom prst="rect">
          <a:avLst/>
        </a:prstGeom>
        <a:noFill/>
        <a:ln w="1">
          <a:solidFill>
            <a:srgbClr val="000000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2</xdr:col>
      <xdr:colOff>38100</xdr:colOff>
      <xdr:row>70</xdr:row>
      <xdr:rowOff>9525</xdr:rowOff>
    </xdr:from>
    <xdr:to>
      <xdr:col>11</xdr:col>
      <xdr:colOff>152400</xdr:colOff>
      <xdr:row>71</xdr:row>
      <xdr:rowOff>76200</xdr:rowOff>
    </xdr:to>
    <xdr:sp macro="" textlink="">
      <xdr:nvSpPr>
        <xdr:cNvPr id="4" name="Text 48">
          <a:extLst>
            <a:ext uri="{FF2B5EF4-FFF2-40B4-BE49-F238E27FC236}">
              <a16:creationId xmlns:a16="http://schemas.microsoft.com/office/drawing/2014/main" id="{79BE3C55-0CFC-47C2-B895-40933D5CA399}"/>
            </a:ext>
          </a:extLst>
        </xdr:cNvPr>
        <xdr:cNvSpPr txBox="1">
          <a:spLocks noChangeArrowheads="1"/>
        </xdr:cNvSpPr>
      </xdr:nvSpPr>
      <xdr:spPr bwMode="auto">
        <a:xfrm>
          <a:off x="619125" y="9305925"/>
          <a:ext cx="4105275" cy="2095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vantGarde Md BT"/>
            </a:rPr>
            <a:t>MOHR CIRCLE</a:t>
          </a:r>
        </a:p>
      </xdr:txBody>
    </xdr:sp>
    <xdr:clientData/>
  </xdr:twoCellAnchor>
  <xdr:twoCellAnchor>
    <xdr:from>
      <xdr:col>2</xdr:col>
      <xdr:colOff>19050</xdr:colOff>
      <xdr:row>84</xdr:row>
      <xdr:rowOff>95250</xdr:rowOff>
    </xdr:from>
    <xdr:to>
      <xdr:col>11</xdr:col>
      <xdr:colOff>161925</xdr:colOff>
      <xdr:row>86</xdr:row>
      <xdr:rowOff>0</xdr:rowOff>
    </xdr:to>
    <xdr:sp macro="" textlink="">
      <xdr:nvSpPr>
        <xdr:cNvPr id="5" name="Text 49">
          <a:extLst>
            <a:ext uri="{FF2B5EF4-FFF2-40B4-BE49-F238E27FC236}">
              <a16:creationId xmlns:a16="http://schemas.microsoft.com/office/drawing/2014/main" id="{6B197C55-FD37-4F59-B86F-6ADE3015F46D}"/>
            </a:ext>
          </a:extLst>
        </xdr:cNvPr>
        <xdr:cNvSpPr txBox="1">
          <a:spLocks noChangeArrowheads="1"/>
        </xdr:cNvSpPr>
      </xdr:nvSpPr>
      <xdr:spPr bwMode="auto">
        <a:xfrm>
          <a:off x="600075" y="11496675"/>
          <a:ext cx="4133850" cy="2476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vantGarde Md BT"/>
            </a:rPr>
            <a:t>NORMAL STRESS (kg/cm</a:t>
          </a:r>
          <a:r>
            <a:rPr lang="en-US" sz="800" b="1" i="0" strike="noStrike" baseline="30000">
              <a:solidFill>
                <a:srgbClr val="000000"/>
              </a:solidFill>
              <a:latin typeface="AvantGarde Md BT"/>
            </a:rPr>
            <a:t>2</a:t>
          </a:r>
          <a:r>
            <a:rPr lang="en-US" sz="800" b="1" i="0" strike="noStrike">
              <a:solidFill>
                <a:srgbClr val="000000"/>
              </a:solidFill>
              <a:latin typeface="AvantGarde Md BT"/>
            </a:rPr>
            <a:t>)</a:t>
          </a:r>
        </a:p>
      </xdr:txBody>
    </xdr:sp>
    <xdr:clientData/>
  </xdr:twoCellAnchor>
  <xdr:twoCellAnchor>
    <xdr:from>
      <xdr:col>11</xdr:col>
      <xdr:colOff>152400</xdr:colOff>
      <xdr:row>70</xdr:row>
      <xdr:rowOff>0</xdr:rowOff>
    </xdr:from>
    <xdr:to>
      <xdr:col>12</xdr:col>
      <xdr:colOff>0</xdr:colOff>
      <xdr:row>86</xdr:row>
      <xdr:rowOff>0</xdr:rowOff>
    </xdr:to>
    <xdr:sp macro="" textlink="">
      <xdr:nvSpPr>
        <xdr:cNvPr id="6" name="Text 50">
          <a:extLst>
            <a:ext uri="{FF2B5EF4-FFF2-40B4-BE49-F238E27FC236}">
              <a16:creationId xmlns:a16="http://schemas.microsoft.com/office/drawing/2014/main" id="{D07E39B4-26F5-48A6-A2D6-0082FC42D805}"/>
            </a:ext>
          </a:extLst>
        </xdr:cNvPr>
        <xdr:cNvSpPr txBox="1">
          <a:spLocks noChangeArrowheads="1"/>
        </xdr:cNvSpPr>
      </xdr:nvSpPr>
      <xdr:spPr bwMode="auto">
        <a:xfrm>
          <a:off x="4724400" y="9296400"/>
          <a:ext cx="409575" cy="24479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vert="vert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vantGarde Md BT"/>
            </a:rPr>
            <a:t>SHEAR STRESS (kg/cm</a:t>
          </a:r>
          <a:r>
            <a:rPr lang="en-US" sz="800" b="1" i="0" strike="noStrike" baseline="30000">
              <a:solidFill>
                <a:srgbClr val="000000"/>
              </a:solidFill>
              <a:latin typeface="AvantGarde Md BT"/>
            </a:rPr>
            <a:t>2</a:t>
          </a:r>
          <a:r>
            <a:rPr lang="en-US" sz="800" b="1" i="0" strike="noStrike">
              <a:solidFill>
                <a:srgbClr val="000000"/>
              </a:solidFill>
              <a:latin typeface="AvantGarde Md BT"/>
            </a:rPr>
            <a:t>)</a:t>
          </a:r>
        </a:p>
      </xdr:txBody>
    </xdr:sp>
    <xdr:clientData/>
  </xdr:twoCellAnchor>
  <xdr:twoCellAnchor>
    <xdr:from>
      <xdr:col>15</xdr:col>
      <xdr:colOff>180975</xdr:colOff>
      <xdr:row>105</xdr:row>
      <xdr:rowOff>9525</xdr:rowOff>
    </xdr:from>
    <xdr:to>
      <xdr:col>18</xdr:col>
      <xdr:colOff>0</xdr:colOff>
      <xdr:row>111</xdr:row>
      <xdr:rowOff>142875</xdr:rowOff>
    </xdr:to>
    <xdr:sp macro="" textlink="">
      <xdr:nvSpPr>
        <xdr:cNvPr id="7" name="Text 96">
          <a:extLst>
            <a:ext uri="{FF2B5EF4-FFF2-40B4-BE49-F238E27FC236}">
              <a16:creationId xmlns:a16="http://schemas.microsoft.com/office/drawing/2014/main" id="{5E33725F-5D9B-4370-A6F5-14079696CE6F}"/>
            </a:ext>
          </a:extLst>
        </xdr:cNvPr>
        <xdr:cNvSpPr txBox="1">
          <a:spLocks noChangeArrowheads="1"/>
        </xdr:cNvSpPr>
      </xdr:nvSpPr>
      <xdr:spPr bwMode="auto">
        <a:xfrm>
          <a:off x="6353175" y="14344650"/>
          <a:ext cx="1190625" cy="933450"/>
        </a:xfrm>
        <a:prstGeom prst="rect">
          <a:avLst/>
        </a:prstGeom>
        <a:noFill/>
        <a:ln w="1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900" b="0" i="0" strike="noStrike">
              <a:solidFill>
                <a:srgbClr val="000000"/>
              </a:solidFill>
              <a:latin typeface="AvantGarde Md BT"/>
            </a:rPr>
            <a:t>Nilai Maximum Kolom</a:t>
          </a:r>
          <a:r>
            <a:rPr lang="en-US" sz="900" b="0" i="0" strike="noStrike">
              <a:solidFill>
                <a:srgbClr val="FF0000"/>
              </a:solidFill>
              <a:latin typeface="AvantGarde Md BT"/>
            </a:rPr>
            <a:t> </a:t>
          </a:r>
          <a:r>
            <a:rPr lang="en-US" sz="900" b="1" i="0" strike="noStrike">
              <a:solidFill>
                <a:srgbClr val="FF0000"/>
              </a:solidFill>
              <a:latin typeface="AvantGarde Md BT"/>
            </a:rPr>
            <a:t>E</a:t>
          </a:r>
          <a:r>
            <a:rPr lang="en-US" sz="900" b="0" i="0" strike="noStrike">
              <a:solidFill>
                <a:srgbClr val="FF0000"/>
              </a:solidFill>
              <a:latin typeface="AvantGarde Md BT"/>
            </a:rPr>
            <a:t> , </a:t>
          </a:r>
          <a:r>
            <a:rPr lang="en-US" sz="900" b="1" i="0" strike="noStrike">
              <a:solidFill>
                <a:srgbClr val="0000FF"/>
              </a:solidFill>
              <a:latin typeface="AvantGarde Md BT"/>
            </a:rPr>
            <a:t>K</a:t>
          </a:r>
          <a:r>
            <a:rPr lang="en-US" sz="900" b="0" i="0" strike="noStrike">
              <a:solidFill>
                <a:srgbClr val="FF0000"/>
              </a:solidFill>
              <a:latin typeface="AvantGarde Md BT"/>
            </a:rPr>
            <a:t> &amp;</a:t>
          </a:r>
          <a:r>
            <a:rPr lang="en-US" sz="900" b="0" i="0" strike="noStrike">
              <a:solidFill>
                <a:srgbClr val="008000"/>
              </a:solidFill>
              <a:latin typeface="AvantGarde Md BT"/>
            </a:rPr>
            <a:t> </a:t>
          </a:r>
          <a:r>
            <a:rPr lang="en-US" sz="900" b="1" i="0" strike="noStrike">
              <a:solidFill>
                <a:srgbClr val="008000"/>
              </a:solidFill>
              <a:latin typeface="AvantGarde Md BT"/>
            </a:rPr>
            <a:t>Q</a:t>
          </a:r>
          <a:r>
            <a:rPr lang="en-US" sz="900" b="1" i="0" strike="noStrike">
              <a:solidFill>
                <a:srgbClr val="FF0000"/>
              </a:solidFill>
              <a:latin typeface="AvantGarde Md BT"/>
            </a:rPr>
            <a:t> </a:t>
          </a:r>
          <a:r>
            <a:rPr lang="en-US" sz="900" b="0" i="0" strike="noStrike">
              <a:solidFill>
                <a:srgbClr val="000000"/>
              </a:solidFill>
              <a:latin typeface="AvantGarde Md BT"/>
            </a:rPr>
            <a:t>pada lembar Print Out</a:t>
          </a:r>
        </a:p>
      </xdr:txBody>
    </xdr:sp>
    <xdr:clientData/>
  </xdr:twoCellAnchor>
  <xdr:twoCellAnchor>
    <xdr:from>
      <xdr:col>15</xdr:col>
      <xdr:colOff>0</xdr:colOff>
      <xdr:row>110</xdr:row>
      <xdr:rowOff>85725</xdr:rowOff>
    </xdr:from>
    <xdr:to>
      <xdr:col>15</xdr:col>
      <xdr:colOff>180975</xdr:colOff>
      <xdr:row>110</xdr:row>
      <xdr:rowOff>85725</xdr:rowOff>
    </xdr:to>
    <xdr:sp macro="" textlink="">
      <xdr:nvSpPr>
        <xdr:cNvPr id="8" name="Line 12">
          <a:extLst>
            <a:ext uri="{FF2B5EF4-FFF2-40B4-BE49-F238E27FC236}">
              <a16:creationId xmlns:a16="http://schemas.microsoft.com/office/drawing/2014/main" id="{B4F768DC-8BBE-4A90-98E1-A90B7AB1618F}"/>
            </a:ext>
          </a:extLst>
        </xdr:cNvPr>
        <xdr:cNvSpPr>
          <a:spLocks noChangeShapeType="1"/>
        </xdr:cNvSpPr>
      </xdr:nvSpPr>
      <xdr:spPr bwMode="auto">
        <a:xfrm flipH="1">
          <a:off x="6172200" y="15068550"/>
          <a:ext cx="180975" cy="0"/>
        </a:xfrm>
        <a:prstGeom prst="line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</xdr:spPr>
    </xdr:sp>
    <xdr:clientData/>
  </xdr:twoCellAnchor>
  <xdr:twoCellAnchor>
    <xdr:from>
      <xdr:col>1</xdr:col>
      <xdr:colOff>0</xdr:colOff>
      <xdr:row>87</xdr:row>
      <xdr:rowOff>9525</xdr:rowOff>
    </xdr:from>
    <xdr:to>
      <xdr:col>18</xdr:col>
      <xdr:colOff>0</xdr:colOff>
      <xdr:row>90</xdr:row>
      <xdr:rowOff>28575</xdr:rowOff>
    </xdr:to>
    <xdr:sp macro="" textlink="">
      <xdr:nvSpPr>
        <xdr:cNvPr id="9" name="Text 130">
          <a:extLst>
            <a:ext uri="{FF2B5EF4-FFF2-40B4-BE49-F238E27FC236}">
              <a16:creationId xmlns:a16="http://schemas.microsoft.com/office/drawing/2014/main" id="{388D0499-EE1C-4F65-9252-0E02EEBBE7AC}"/>
            </a:ext>
          </a:extLst>
        </xdr:cNvPr>
        <xdr:cNvSpPr txBox="1">
          <a:spLocks noChangeArrowheads="1"/>
        </xdr:cNvSpPr>
      </xdr:nvSpPr>
      <xdr:spPr bwMode="auto">
        <a:xfrm>
          <a:off x="114300" y="11925300"/>
          <a:ext cx="7429500" cy="476250"/>
        </a:xfrm>
        <a:prstGeom prst="rect">
          <a:avLst/>
        </a:prstGeom>
        <a:solidFill>
          <a:srgbClr val="FF00FF"/>
        </a:solidFill>
        <a:ln w="1">
          <a:noFill/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sz="2400" b="0" i="0" strike="noStrike">
              <a:solidFill>
                <a:srgbClr val="FFFF00"/>
              </a:solidFill>
              <a:latin typeface="Alfredo Heavy"/>
            </a:rPr>
            <a:t>LEMBAR PENGISIAN DATA</a:t>
          </a:r>
        </a:p>
      </xdr:txBody>
    </xdr:sp>
    <xdr:clientData/>
  </xdr:twoCellAnchor>
  <xdr:twoCellAnchor>
    <xdr:from>
      <xdr:col>13</xdr:col>
      <xdr:colOff>0</xdr:colOff>
      <xdr:row>81</xdr:row>
      <xdr:rowOff>0</xdr:rowOff>
    </xdr:from>
    <xdr:to>
      <xdr:col>16</xdr:col>
      <xdr:colOff>209550</xdr:colOff>
      <xdr:row>85</xdr:row>
      <xdr:rowOff>0</xdr:rowOff>
    </xdr:to>
    <xdr:sp macro="" textlink="">
      <xdr:nvSpPr>
        <xdr:cNvPr id="10" name="Text 142">
          <a:extLst>
            <a:ext uri="{FF2B5EF4-FFF2-40B4-BE49-F238E27FC236}">
              <a16:creationId xmlns:a16="http://schemas.microsoft.com/office/drawing/2014/main" id="{6C1C5531-4831-4A74-A275-B3784119ACC9}"/>
            </a:ext>
          </a:extLst>
        </xdr:cNvPr>
        <xdr:cNvSpPr txBox="1">
          <a:spLocks noChangeArrowheads="1"/>
        </xdr:cNvSpPr>
      </xdr:nvSpPr>
      <xdr:spPr bwMode="auto">
        <a:xfrm>
          <a:off x="5257800" y="10972800"/>
          <a:ext cx="1581150" cy="600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vantGarde Md BT"/>
            </a:rPr>
            <a:t>MODE OF FAILURE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vantGarde Md BT"/>
            </a:rPr>
            <a:t>SPECIMEN No. 3</a:t>
          </a:r>
        </a:p>
      </xdr:txBody>
    </xdr:sp>
    <xdr:clientData/>
  </xdr:twoCellAnchor>
  <xdr:twoCellAnchor>
    <xdr:from>
      <xdr:col>13</xdr:col>
      <xdr:colOff>0</xdr:colOff>
      <xdr:row>71</xdr:row>
      <xdr:rowOff>0</xdr:rowOff>
    </xdr:from>
    <xdr:to>
      <xdr:col>16</xdr:col>
      <xdr:colOff>209550</xdr:colOff>
      <xdr:row>75</xdr:row>
      <xdr:rowOff>0</xdr:rowOff>
    </xdr:to>
    <xdr:sp macro="" textlink="">
      <xdr:nvSpPr>
        <xdr:cNvPr id="11" name="Text 143">
          <a:extLst>
            <a:ext uri="{FF2B5EF4-FFF2-40B4-BE49-F238E27FC236}">
              <a16:creationId xmlns:a16="http://schemas.microsoft.com/office/drawing/2014/main" id="{78C431ED-3AB9-46A3-9C0D-209C530B2320}"/>
            </a:ext>
          </a:extLst>
        </xdr:cNvPr>
        <xdr:cNvSpPr txBox="1">
          <a:spLocks noChangeArrowheads="1"/>
        </xdr:cNvSpPr>
      </xdr:nvSpPr>
      <xdr:spPr bwMode="auto">
        <a:xfrm>
          <a:off x="5257800" y="9439275"/>
          <a:ext cx="1581150" cy="6000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vantGarde Md BT"/>
            </a:rPr>
            <a:t>MODE OF FAILURE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vantGarde Md BT"/>
            </a:rPr>
            <a:t>SPECIMEN No. 1</a:t>
          </a:r>
        </a:p>
      </xdr:txBody>
    </xdr:sp>
    <xdr:clientData/>
  </xdr:twoCellAnchor>
  <xdr:twoCellAnchor>
    <xdr:from>
      <xdr:col>13</xdr:col>
      <xdr:colOff>0</xdr:colOff>
      <xdr:row>76</xdr:row>
      <xdr:rowOff>0</xdr:rowOff>
    </xdr:from>
    <xdr:to>
      <xdr:col>16</xdr:col>
      <xdr:colOff>209550</xdr:colOff>
      <xdr:row>80</xdr:row>
      <xdr:rowOff>19050</xdr:rowOff>
    </xdr:to>
    <xdr:sp macro="" textlink="">
      <xdr:nvSpPr>
        <xdr:cNvPr id="12" name="Text 144">
          <a:extLst>
            <a:ext uri="{FF2B5EF4-FFF2-40B4-BE49-F238E27FC236}">
              <a16:creationId xmlns:a16="http://schemas.microsoft.com/office/drawing/2014/main" id="{645FF692-33AF-4760-B8C4-D4E18919E376}"/>
            </a:ext>
          </a:extLst>
        </xdr:cNvPr>
        <xdr:cNvSpPr txBox="1">
          <a:spLocks noChangeArrowheads="1"/>
        </xdr:cNvSpPr>
      </xdr:nvSpPr>
      <xdr:spPr bwMode="auto">
        <a:xfrm>
          <a:off x="5257800" y="10210800"/>
          <a:ext cx="1581150" cy="63817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vantGarde Md BT"/>
            </a:rPr>
            <a:t>MODE OF FAILURE</a:t>
          </a:r>
        </a:p>
        <a:p>
          <a:pPr algn="ctr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vantGarde Md BT"/>
            </a:rPr>
            <a:t>SPECIMEN No. 2</a:t>
          </a:r>
        </a:p>
      </xdr:txBody>
    </xdr:sp>
    <xdr:clientData/>
  </xdr:twoCellAnchor>
  <xdr:twoCellAnchor>
    <xdr:from>
      <xdr:col>16</xdr:col>
      <xdr:colOff>209550</xdr:colOff>
      <xdr:row>76</xdr:row>
      <xdr:rowOff>0</xdr:rowOff>
    </xdr:from>
    <xdr:to>
      <xdr:col>17</xdr:col>
      <xdr:colOff>152400</xdr:colOff>
      <xdr:row>79</xdr:row>
      <xdr:rowOff>142875</xdr:rowOff>
    </xdr:to>
    <xdr:sp macro="" textlink="">
      <xdr:nvSpPr>
        <xdr:cNvPr id="13" name="Rectangle 17">
          <a:extLst>
            <a:ext uri="{FF2B5EF4-FFF2-40B4-BE49-F238E27FC236}">
              <a16:creationId xmlns:a16="http://schemas.microsoft.com/office/drawing/2014/main" id="{28458881-0059-4AF2-A2E0-58FEE7837965}"/>
            </a:ext>
          </a:extLst>
        </xdr:cNvPr>
        <xdr:cNvSpPr>
          <a:spLocks noChangeArrowheads="1"/>
        </xdr:cNvSpPr>
      </xdr:nvSpPr>
      <xdr:spPr bwMode="auto">
        <a:xfrm>
          <a:off x="6838950" y="10210800"/>
          <a:ext cx="400050" cy="619125"/>
        </a:xfrm>
        <a:prstGeom prst="rect">
          <a:avLst/>
        </a:prstGeom>
        <a:noFill/>
        <a:ln w="1">
          <a:solidFill>
            <a:srgbClr val="000000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16</xdr:col>
      <xdr:colOff>209550</xdr:colOff>
      <xdr:row>81</xdr:row>
      <xdr:rowOff>0</xdr:rowOff>
    </xdr:from>
    <xdr:to>
      <xdr:col>17</xdr:col>
      <xdr:colOff>152400</xdr:colOff>
      <xdr:row>85</xdr:row>
      <xdr:rowOff>0</xdr:rowOff>
    </xdr:to>
    <xdr:sp macro="" textlink="">
      <xdr:nvSpPr>
        <xdr:cNvPr id="14" name="Rectangle 18">
          <a:extLst>
            <a:ext uri="{FF2B5EF4-FFF2-40B4-BE49-F238E27FC236}">
              <a16:creationId xmlns:a16="http://schemas.microsoft.com/office/drawing/2014/main" id="{ABFB08C3-BD91-451B-80C9-EF3E892CD7B4}"/>
            </a:ext>
          </a:extLst>
        </xdr:cNvPr>
        <xdr:cNvSpPr>
          <a:spLocks noChangeArrowheads="1"/>
        </xdr:cNvSpPr>
      </xdr:nvSpPr>
      <xdr:spPr bwMode="auto">
        <a:xfrm>
          <a:off x="6838950" y="10972800"/>
          <a:ext cx="400050" cy="600075"/>
        </a:xfrm>
        <a:prstGeom prst="rect">
          <a:avLst/>
        </a:prstGeom>
        <a:noFill/>
        <a:ln w="1">
          <a:solidFill>
            <a:srgbClr val="000000"/>
          </a:solidFill>
          <a:prstDash val="dash"/>
          <a:miter lim="800000"/>
          <a:headEnd/>
          <a:tailEnd/>
        </a:ln>
      </xdr:spPr>
    </xdr:sp>
    <xdr:clientData/>
  </xdr:twoCellAnchor>
  <xdr:twoCellAnchor>
    <xdr:from>
      <xdr:col>12</xdr:col>
      <xdr:colOff>109536</xdr:colOff>
      <xdr:row>70</xdr:row>
      <xdr:rowOff>17463</xdr:rowOff>
    </xdr:from>
    <xdr:to>
      <xdr:col>17</xdr:col>
      <xdr:colOff>396874</xdr:colOff>
      <xdr:row>85</xdr:row>
      <xdr:rowOff>150812</xdr:rowOff>
    </xdr:to>
    <xdr:graphicFrame macro="">
      <xdr:nvGraphicFramePr>
        <xdr:cNvPr id="15" name="Chart 20">
          <a:extLst>
            <a:ext uri="{FF2B5EF4-FFF2-40B4-BE49-F238E27FC236}">
              <a16:creationId xmlns:a16="http://schemas.microsoft.com/office/drawing/2014/main" id="{8D62C591-03E8-4D49-958D-0FCCC6F633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118027</xdr:colOff>
      <xdr:row>94</xdr:row>
      <xdr:rowOff>145980</xdr:rowOff>
    </xdr:from>
    <xdr:to>
      <xdr:col>24</xdr:col>
      <xdr:colOff>399981</xdr:colOff>
      <xdr:row>118</xdr:row>
      <xdr:rowOff>60739</xdr:rowOff>
    </xdr:to>
    <xdr:graphicFrame macro="">
      <xdr:nvGraphicFramePr>
        <xdr:cNvPr id="16" name="Chart 20">
          <a:extLst>
            <a:ext uri="{FF2B5EF4-FFF2-40B4-BE49-F238E27FC236}">
              <a16:creationId xmlns:a16="http://schemas.microsoft.com/office/drawing/2014/main" id="{2414C75C-295D-41F6-9528-93ACC9DE81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44450</xdr:colOff>
      <xdr:row>2</xdr:row>
      <xdr:rowOff>38100</xdr:rowOff>
    </xdr:from>
    <xdr:ext cx="3782483" cy="559404"/>
    <xdr:pic>
      <xdr:nvPicPr>
        <xdr:cNvPr id="17" name="Picture 16">
          <a:extLst>
            <a:ext uri="{FF2B5EF4-FFF2-40B4-BE49-F238E27FC236}">
              <a16:creationId xmlns:a16="http://schemas.microsoft.com/office/drawing/2014/main" id="{0E44DE3D-A636-486F-9ED3-025FF1681D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/>
      </xdr:blipFill>
      <xdr:spPr>
        <a:xfrm>
          <a:off x="158750" y="428625"/>
          <a:ext cx="3782483" cy="559404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346</xdr:colOff>
      <xdr:row>57</xdr:row>
      <xdr:rowOff>26378</xdr:rowOff>
    </xdr:from>
    <xdr:to>
      <xdr:col>13</xdr:col>
      <xdr:colOff>133350</xdr:colOff>
      <xdr:row>79</xdr:row>
      <xdr:rowOff>161193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28124</xdr:colOff>
      <xdr:row>40</xdr:row>
      <xdr:rowOff>23589</xdr:rowOff>
    </xdr:from>
    <xdr:to>
      <xdr:col>9</xdr:col>
      <xdr:colOff>551998</xdr:colOff>
      <xdr:row>56</xdr:row>
      <xdr:rowOff>38101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200026</xdr:colOff>
      <xdr:row>44</xdr:row>
      <xdr:rowOff>91103</xdr:rowOff>
    </xdr:from>
    <xdr:to>
      <xdr:col>20</xdr:col>
      <xdr:colOff>38100</xdr:colOff>
      <xdr:row>79</xdr:row>
      <xdr:rowOff>177806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GrpSpPr/>
      </xdr:nvGrpSpPr>
      <xdr:grpSpPr>
        <a:xfrm>
          <a:off x="6781801" y="7901603"/>
          <a:ext cx="2428874" cy="5515953"/>
          <a:chOff x="7175669" y="6293182"/>
          <a:chExt cx="2054664" cy="4674239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00000000-0008-0000-0800-000006000000}"/>
              </a:ext>
            </a:extLst>
          </xdr:cNvPr>
          <xdr:cNvSpPr txBox="1"/>
        </xdr:nvSpPr>
        <xdr:spPr>
          <a:xfrm>
            <a:off x="7176571" y="7873535"/>
            <a:ext cx="2052857" cy="152532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900">
                <a:solidFill>
                  <a:schemeClr val="dk1"/>
                </a:solidFill>
                <a:effectLst/>
                <a:latin typeface="Aptos" panose="020B0004020202020204" pitchFamily="34" charset="0"/>
                <a:ea typeface="+mn-ea"/>
                <a:cs typeface="+mn-cs"/>
              </a:rPr>
              <a:t>Mode of Failure Specimen 2</a:t>
            </a:r>
            <a:endParaRPr lang="en-US" sz="900">
              <a:effectLst/>
              <a:latin typeface="Aptos" panose="020B0004020202020204" pitchFamily="34" charset="0"/>
            </a:endParaRPr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00000000-0008-0000-0800-000002000000}"/>
              </a:ext>
            </a:extLst>
          </xdr:cNvPr>
          <xdr:cNvSpPr txBox="1"/>
        </xdr:nvSpPr>
        <xdr:spPr>
          <a:xfrm>
            <a:off x="7175669" y="9442094"/>
            <a:ext cx="2052858" cy="152532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900">
                <a:solidFill>
                  <a:schemeClr val="dk1"/>
                </a:solidFill>
                <a:effectLst/>
                <a:latin typeface="Aptos" panose="020B0004020202020204" pitchFamily="34" charset="0"/>
                <a:ea typeface="+mn-ea"/>
                <a:cs typeface="+mn-cs"/>
              </a:rPr>
              <a:t>Mode of Failure Specimen 3</a:t>
            </a:r>
            <a:endParaRPr lang="en-US" sz="900">
              <a:effectLst/>
              <a:latin typeface="Aptos" panose="020B0004020202020204" pitchFamily="34" charset="0"/>
            </a:endParaRP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800-000007000000}"/>
              </a:ext>
            </a:extLst>
          </xdr:cNvPr>
          <xdr:cNvSpPr txBox="1"/>
        </xdr:nvSpPr>
        <xdr:spPr>
          <a:xfrm>
            <a:off x="7177476" y="6293182"/>
            <a:ext cx="2052857" cy="15253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900">
                <a:solidFill>
                  <a:schemeClr val="dk1"/>
                </a:solidFill>
                <a:effectLst/>
                <a:latin typeface="Aptos" panose="020B0004020202020204" pitchFamily="34" charset="0"/>
                <a:ea typeface="+mn-ea"/>
                <a:cs typeface="+mn-cs"/>
              </a:rPr>
              <a:t>Mode of Failure Specimen 1</a:t>
            </a:r>
            <a:endParaRPr lang="en-US" sz="900">
              <a:effectLst/>
              <a:latin typeface="Aptos" panose="020B0004020202020204" pitchFamily="34" charset="0"/>
            </a:endParaRPr>
          </a:p>
        </xdr:txBody>
      </xdr:sp>
    </xdr:grpSp>
    <xdr:clientData/>
  </xdr:twoCellAnchor>
  <xdr:twoCellAnchor editAs="oneCell">
    <xdr:from>
      <xdr:col>4</xdr:col>
      <xdr:colOff>104775</xdr:colOff>
      <xdr:row>3</xdr:row>
      <xdr:rowOff>85725</xdr:rowOff>
    </xdr:from>
    <xdr:to>
      <xdr:col>4</xdr:col>
      <xdr:colOff>935822</xdr:colOff>
      <xdr:row>7</xdr:row>
      <xdr:rowOff>114860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F6E067D-F537-4A6D-BCA7-0ED1D0FDE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5875" y="438150"/>
          <a:ext cx="831047" cy="8292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521805</xdr:colOff>
      <xdr:row>34</xdr:row>
      <xdr:rowOff>9525</xdr:rowOff>
    </xdr:from>
    <xdr:to>
      <xdr:col>17</xdr:col>
      <xdr:colOff>466725</xdr:colOff>
      <xdr:row>61</xdr:row>
      <xdr:rowOff>118620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66500948-6553-49F1-9788-094681D6BCB1}"/>
            </a:ext>
          </a:extLst>
        </xdr:cNvPr>
        <xdr:cNvGrpSpPr/>
      </xdr:nvGrpSpPr>
      <xdr:grpSpPr>
        <a:xfrm>
          <a:off x="7646505" y="7981950"/>
          <a:ext cx="2564295" cy="6938520"/>
          <a:chOff x="6966270" y="8553367"/>
          <a:chExt cx="3411313" cy="7186511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ED15B83F-B813-8C4D-1208-41B43158EA33}"/>
              </a:ext>
            </a:extLst>
          </xdr:cNvPr>
          <xdr:cNvSpPr txBox="1"/>
        </xdr:nvSpPr>
        <xdr:spPr>
          <a:xfrm>
            <a:off x="6966270" y="8553367"/>
            <a:ext cx="3405595" cy="34837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900">
                <a:latin typeface="Aptos" panose="020B0004020202020204" pitchFamily="34" charset="0"/>
              </a:rPr>
              <a:t>Foto Keruntuhan Benda Uji</a:t>
            </a:r>
          </a:p>
          <a:p>
            <a:pPr algn="ctr"/>
            <a:r>
              <a:rPr lang="en-US" sz="900">
                <a:latin typeface="Aptos" panose="020B0004020202020204" pitchFamily="34" charset="0"/>
              </a:rPr>
              <a:t>Undisturb</a:t>
            </a:r>
          </a:p>
        </xdr:txBody>
      </xdr:sp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15A8D3C-2008-21F0-B946-06EE7D3A9163}"/>
              </a:ext>
            </a:extLst>
          </xdr:cNvPr>
          <xdr:cNvSpPr txBox="1"/>
        </xdr:nvSpPr>
        <xdr:spPr>
          <a:xfrm>
            <a:off x="6971988" y="12256090"/>
            <a:ext cx="3405595" cy="348378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900">
                <a:latin typeface="Aptos" panose="020B0004020202020204" pitchFamily="34" charset="0"/>
              </a:rPr>
              <a:t>Foto Keruntuhan Benda Uji</a:t>
            </a:r>
          </a:p>
          <a:p>
            <a:pPr algn="ctr"/>
            <a:r>
              <a:rPr lang="en-US" sz="900">
                <a:latin typeface="Aptos" panose="020B0004020202020204" pitchFamily="34" charset="0"/>
              </a:rPr>
              <a:t>Remolded</a:t>
            </a:r>
          </a:p>
        </xdr:txBody>
      </xdr:sp>
    </xdr:grpSp>
    <xdr:clientData/>
  </xdr:twoCellAnchor>
  <xdr:twoCellAnchor editAs="oneCell">
    <xdr:from>
      <xdr:col>20</xdr:col>
      <xdr:colOff>0</xdr:colOff>
      <xdr:row>1</xdr:row>
      <xdr:rowOff>47625</xdr:rowOff>
    </xdr:from>
    <xdr:to>
      <xdr:col>20</xdr:col>
      <xdr:colOff>66675</xdr:colOff>
      <xdr:row>1</xdr:row>
      <xdr:rowOff>247244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7F80E6CD-4782-486C-BEF4-64C0969013BB}"/>
            </a:ext>
          </a:extLst>
        </xdr:cNvPr>
        <xdr:cNvSpPr>
          <a:spLocks noChangeArrowheads="1"/>
        </xdr:cNvSpPr>
      </xdr:nvSpPr>
      <xdr:spPr bwMode="auto">
        <a:xfrm>
          <a:off x="10391775" y="381000"/>
          <a:ext cx="66675" cy="200025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t"/>
        <a:lstStyle/>
        <a:p>
          <a:pPr algn="l" rtl="0">
            <a:defRPr sz="1000"/>
          </a:pPr>
          <a:r>
            <a:rPr lang="id-ID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</a:p>
      </xdr:txBody>
    </xdr:sp>
    <xdr:clientData/>
  </xdr:twoCellAnchor>
  <xdr:twoCellAnchor editAs="oneCell">
    <xdr:from>
      <xdr:col>20</xdr:col>
      <xdr:colOff>0</xdr:colOff>
      <xdr:row>2</xdr:row>
      <xdr:rowOff>76200</xdr:rowOff>
    </xdr:from>
    <xdr:to>
      <xdr:col>20</xdr:col>
      <xdr:colOff>38100</xdr:colOff>
      <xdr:row>3</xdr:row>
      <xdr:rowOff>136249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FED10B9B-5952-4D52-98A9-F81D1379ED03}"/>
            </a:ext>
          </a:extLst>
        </xdr:cNvPr>
        <xdr:cNvSpPr>
          <a:spLocks noChangeArrowheads="1"/>
        </xdr:cNvSpPr>
      </xdr:nvSpPr>
      <xdr:spPr bwMode="auto">
        <a:xfrm>
          <a:off x="10391775" y="657225"/>
          <a:ext cx="38100" cy="202924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t"/>
        <a:lstStyle/>
        <a:p>
          <a:pPr algn="l" rtl="0">
            <a:defRPr sz="1000"/>
          </a:pPr>
          <a:r>
            <a:rPr lang="id-ID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</xdr:txBody>
    </xdr:sp>
    <xdr:clientData/>
  </xdr:twoCellAnchor>
  <xdr:twoCellAnchor editAs="oneCell">
    <xdr:from>
      <xdr:col>20</xdr:col>
      <xdr:colOff>0</xdr:colOff>
      <xdr:row>1</xdr:row>
      <xdr:rowOff>209550</xdr:rowOff>
    </xdr:from>
    <xdr:to>
      <xdr:col>20</xdr:col>
      <xdr:colOff>57150</xdr:colOff>
      <xdr:row>3</xdr:row>
      <xdr:rowOff>174349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3E4AC44-A044-410C-99B4-73DE7822E0B2}"/>
            </a:ext>
          </a:extLst>
        </xdr:cNvPr>
        <xdr:cNvSpPr>
          <a:spLocks noChangeArrowheads="1"/>
        </xdr:cNvSpPr>
      </xdr:nvSpPr>
      <xdr:spPr bwMode="auto">
        <a:xfrm>
          <a:off x="10391775" y="542925"/>
          <a:ext cx="57150" cy="355324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t"/>
        <a:lstStyle/>
        <a:p>
          <a:pPr algn="l" rtl="0">
            <a:defRPr sz="1000"/>
          </a:pPr>
          <a:r>
            <a:rPr lang="id-ID" sz="2200" b="0" i="0" u="none" strike="noStrike" baseline="0">
              <a:solidFill>
                <a:srgbClr val="000000"/>
              </a:solidFill>
              <a:latin typeface="Benguiat Frisky ATT"/>
            </a:rPr>
            <a:t> </a:t>
          </a:r>
        </a:p>
      </xdr:txBody>
    </xdr:sp>
    <xdr:clientData/>
  </xdr:twoCellAnchor>
  <xdr:twoCellAnchor editAs="oneCell">
    <xdr:from>
      <xdr:col>20</xdr:col>
      <xdr:colOff>0</xdr:colOff>
      <xdr:row>1</xdr:row>
      <xdr:rowOff>228600</xdr:rowOff>
    </xdr:from>
    <xdr:to>
      <xdr:col>20</xdr:col>
      <xdr:colOff>38100</xdr:colOff>
      <xdr:row>3</xdr:row>
      <xdr:rowOff>2071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4A5594C-47F1-478D-BD65-AC7486A40665}"/>
            </a:ext>
          </a:extLst>
        </xdr:cNvPr>
        <xdr:cNvSpPr>
          <a:spLocks noChangeArrowheads="1"/>
        </xdr:cNvSpPr>
      </xdr:nvSpPr>
      <xdr:spPr bwMode="auto">
        <a:xfrm>
          <a:off x="10391775" y="561975"/>
          <a:ext cx="38100" cy="1639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209550</xdr:rowOff>
    </xdr:from>
    <xdr:to>
      <xdr:col>20</xdr:col>
      <xdr:colOff>38100</xdr:colOff>
      <xdr:row>3</xdr:row>
      <xdr:rowOff>231499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06A498E-4F2C-4992-B682-9F36F41FD56B}"/>
            </a:ext>
          </a:extLst>
        </xdr:cNvPr>
        <xdr:cNvSpPr>
          <a:spLocks noChangeArrowheads="1"/>
        </xdr:cNvSpPr>
      </xdr:nvSpPr>
      <xdr:spPr bwMode="auto">
        <a:xfrm>
          <a:off x="10391775" y="723900"/>
          <a:ext cx="38100" cy="231499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t"/>
        <a:lstStyle/>
        <a:p>
          <a:pPr algn="l" rtl="0">
            <a:defRPr sz="1000"/>
          </a:pPr>
          <a:r>
            <a:rPr lang="id-ID" sz="1400" b="0" i="0" u="none" strike="noStrike" baseline="0">
              <a:solidFill>
                <a:srgbClr val="FF0000"/>
              </a:solidFill>
              <a:latin typeface="Benguiat Frisky ATT"/>
            </a:rPr>
            <a:t>        </a:t>
          </a:r>
        </a:p>
      </xdr:txBody>
    </xdr:sp>
    <xdr:clientData/>
  </xdr:twoCellAnchor>
  <xdr:twoCellAnchor editAs="oneCell">
    <xdr:from>
      <xdr:col>20</xdr:col>
      <xdr:colOff>0</xdr:colOff>
      <xdr:row>3</xdr:row>
      <xdr:rowOff>171450</xdr:rowOff>
    </xdr:from>
    <xdr:to>
      <xdr:col>20</xdr:col>
      <xdr:colOff>57150</xdr:colOff>
      <xdr:row>4</xdr:row>
      <xdr:rowOff>57150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594B618-466C-4382-98F3-1E56B4CA9A90}"/>
            </a:ext>
          </a:extLst>
        </xdr:cNvPr>
        <xdr:cNvSpPr>
          <a:spLocks noChangeArrowheads="1"/>
        </xdr:cNvSpPr>
      </xdr:nvSpPr>
      <xdr:spPr bwMode="auto">
        <a:xfrm>
          <a:off x="10391775" y="895350"/>
          <a:ext cx="57150" cy="142875"/>
        </a:xfrm>
        <a:prstGeom prst="rect">
          <a:avLst/>
        </a:prstGeom>
        <a:noFill/>
        <a:ln>
          <a:noFill/>
        </a:ln>
      </xdr:spPr>
      <xdr:txBody>
        <a:bodyPr vertOverflow="clip" wrap="square" lIns="0" tIns="0" rIns="0" bIns="0" anchor="t"/>
        <a:lstStyle/>
        <a:p>
          <a:pPr algn="l" rtl="0">
            <a:defRPr sz="1000"/>
          </a:pPr>
          <a:r>
            <a:rPr lang="id-ID" sz="800" b="0" i="1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</a:p>
      </xdr:txBody>
    </xdr:sp>
    <xdr:clientData/>
  </xdr:twoCellAnchor>
  <xdr:twoCellAnchor>
    <xdr:from>
      <xdr:col>2</xdr:col>
      <xdr:colOff>2904</xdr:colOff>
      <xdr:row>29</xdr:row>
      <xdr:rowOff>208380</xdr:rowOff>
    </xdr:from>
    <xdr:to>
      <xdr:col>9</xdr:col>
      <xdr:colOff>378586</xdr:colOff>
      <xdr:row>43</xdr:row>
      <xdr:rowOff>231616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A4E1654A-50E2-4836-81B5-7300115B5B2C}"/>
            </a:ext>
          </a:extLst>
        </xdr:cNvPr>
        <xdr:cNvGrpSpPr/>
      </xdr:nvGrpSpPr>
      <xdr:grpSpPr>
        <a:xfrm>
          <a:off x="945879" y="6942555"/>
          <a:ext cx="4109482" cy="3490336"/>
          <a:chOff x="914401" y="8407400"/>
          <a:chExt cx="3543299" cy="3911600"/>
        </a:xfrm>
      </xdr:grpSpPr>
      <xdr:graphicFrame macro="">
        <xdr:nvGraphicFramePr>
          <xdr:cNvPr id="13" name="Chart 8">
            <a:extLst>
              <a:ext uri="{FF2B5EF4-FFF2-40B4-BE49-F238E27FC236}">
                <a16:creationId xmlns:a16="http://schemas.microsoft.com/office/drawing/2014/main" id="{C7933E40-C8FB-CA29-1736-7FA6BE8DACAC}"/>
              </a:ext>
            </a:extLst>
          </xdr:cNvPr>
          <xdr:cNvGraphicFramePr>
            <a:graphicFrameLocks/>
          </xdr:cNvGraphicFramePr>
        </xdr:nvGraphicFramePr>
        <xdr:xfrm>
          <a:off x="914401" y="8407400"/>
          <a:ext cx="3543299" cy="39116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14" name="Text Box 12">
            <a:extLst>
              <a:ext uri="{FF2B5EF4-FFF2-40B4-BE49-F238E27FC236}">
                <a16:creationId xmlns:a16="http://schemas.microsoft.com/office/drawing/2014/main" id="{0EC26156-03A4-2DE6-FBFC-7B63BA4CDD3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573019" y="8931131"/>
            <a:ext cx="901700" cy="29845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ptos" panose="020B0004020202020204" pitchFamily="34" charset="0"/>
                <a:cs typeface="Arial"/>
              </a:rPr>
              <a:t>Undisturbed</a:t>
            </a:r>
          </a:p>
        </xdr:txBody>
      </xdr:sp>
      <xdr:sp macro="" textlink="">
        <xdr:nvSpPr>
          <xdr:cNvPr id="15" name="Text Box 12">
            <a:extLst>
              <a:ext uri="{FF2B5EF4-FFF2-40B4-BE49-F238E27FC236}">
                <a16:creationId xmlns:a16="http://schemas.microsoft.com/office/drawing/2014/main" id="{A0B99538-5A81-F367-DDFB-7276C81F41D3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09898" y="9405387"/>
            <a:ext cx="889000" cy="304800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ptos" panose="020B0004020202020204" pitchFamily="34" charset="0"/>
                <a:cs typeface="Arial"/>
              </a:rPr>
              <a:t>Remolded</a:t>
            </a:r>
          </a:p>
        </xdr:txBody>
      </xdr:sp>
    </xdr:grpSp>
    <xdr:clientData/>
  </xdr:twoCellAnchor>
  <xdr:twoCellAnchor>
    <xdr:from>
      <xdr:col>2</xdr:col>
      <xdr:colOff>74919</xdr:colOff>
      <xdr:row>44</xdr:row>
      <xdr:rowOff>71233</xdr:rowOff>
    </xdr:from>
    <xdr:to>
      <xdr:col>12</xdr:col>
      <xdr:colOff>438978</xdr:colOff>
      <xdr:row>60</xdr:row>
      <xdr:rowOff>204507</xdr:rowOff>
    </xdr:to>
    <xdr:grpSp>
      <xdr:nvGrpSpPr>
        <xdr:cNvPr id="21" name="Group 20">
          <a:extLst>
            <a:ext uri="{FF2B5EF4-FFF2-40B4-BE49-F238E27FC236}">
              <a16:creationId xmlns:a16="http://schemas.microsoft.com/office/drawing/2014/main" id="{9C8C93D8-88A0-1560-AF39-A6CE2322E4A9}"/>
            </a:ext>
          </a:extLst>
        </xdr:cNvPr>
        <xdr:cNvGrpSpPr/>
      </xdr:nvGrpSpPr>
      <xdr:grpSpPr>
        <a:xfrm>
          <a:off x="1017894" y="10520158"/>
          <a:ext cx="6545784" cy="4219499"/>
          <a:chOff x="422428" y="10185954"/>
          <a:chExt cx="6073749" cy="4235012"/>
        </a:xfrm>
      </xdr:grpSpPr>
      <xdr:graphicFrame macro="">
        <xdr:nvGraphicFramePr>
          <xdr:cNvPr id="17" name="Chart 9">
            <a:extLst>
              <a:ext uri="{FF2B5EF4-FFF2-40B4-BE49-F238E27FC236}">
                <a16:creationId xmlns:a16="http://schemas.microsoft.com/office/drawing/2014/main" id="{3DCB4FA4-3F6B-9380-F31E-B4C112ADE5CD}"/>
              </a:ext>
            </a:extLst>
          </xdr:cNvPr>
          <xdr:cNvGraphicFramePr>
            <a:graphicFrameLocks/>
          </xdr:cNvGraphicFramePr>
        </xdr:nvGraphicFramePr>
        <xdr:xfrm>
          <a:off x="422428" y="10185954"/>
          <a:ext cx="6073749" cy="423501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8" name="Text Box 12">
            <a:extLst>
              <a:ext uri="{FF2B5EF4-FFF2-40B4-BE49-F238E27FC236}">
                <a16:creationId xmlns:a16="http://schemas.microsoft.com/office/drawing/2014/main" id="{07D04652-E708-C7F5-6A1A-AEA2E93FA98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403710" y="12499636"/>
            <a:ext cx="1213891" cy="270201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ptos" panose="020B0004020202020204" pitchFamily="34" charset="0"/>
                <a:cs typeface="Arial"/>
              </a:rPr>
              <a:t>Remolded</a:t>
            </a:r>
          </a:p>
          <a:p>
            <a:pPr algn="l" rtl="0">
              <a:defRPr sz="1000"/>
            </a:pPr>
            <a:endParaRPr lang="id-ID" sz="1000" b="0" i="0" u="none" strike="noStrike" baseline="0">
              <a:solidFill>
                <a:srgbClr val="000000"/>
              </a:solidFill>
              <a:latin typeface="Aptos" panose="020B0004020202020204" pitchFamily="34" charset="0"/>
              <a:cs typeface="Arial"/>
            </a:endParaRPr>
          </a:p>
        </xdr:txBody>
      </xdr:sp>
      <xdr:sp macro="" textlink="">
        <xdr:nvSpPr>
          <xdr:cNvPr id="19" name="Text Box 12">
            <a:extLst>
              <a:ext uri="{FF2B5EF4-FFF2-40B4-BE49-F238E27FC236}">
                <a16:creationId xmlns:a16="http://schemas.microsoft.com/office/drawing/2014/main" id="{825C58FD-167E-4C0D-4A02-A1550C0DE7F5}"/>
              </a:ext>
            </a:extLst>
          </xdr:cNvPr>
          <xdr:cNvSpPr txBox="1">
            <a:spLocks noChangeArrowheads="1"/>
          </xdr:cNvSpPr>
        </xdr:nvSpPr>
        <xdr:spPr bwMode="auto">
          <a:xfrm>
            <a:off x="4768851" y="12097140"/>
            <a:ext cx="1342497" cy="275949"/>
          </a:xfrm>
          <a:prstGeom prst="rect">
            <a:avLst/>
          </a:prstGeom>
          <a:noFill/>
          <a:ln>
            <a:noFill/>
          </a:ln>
          <a:effectLst/>
        </xdr:spPr>
        <xdr:txBody>
          <a:bodyPr vertOverflow="clip" wrap="square" lIns="91440" tIns="45720" rIns="91440" bIns="45720" anchor="t" upright="1"/>
          <a:lstStyle/>
          <a:p>
            <a:pPr algn="l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ptos" panose="020B0004020202020204" pitchFamily="34" charset="0"/>
                <a:cs typeface="Arial"/>
              </a:rPr>
              <a:t>Undisturbed</a:t>
            </a:r>
          </a:p>
        </xdr:txBody>
      </xdr:sp>
    </xdr:grpSp>
    <xdr:clientData/>
  </xdr:twoCellAnchor>
  <xdr:twoCellAnchor editAs="oneCell">
    <xdr:from>
      <xdr:col>2</xdr:col>
      <xdr:colOff>247650</xdr:colOff>
      <xdr:row>3</xdr:row>
      <xdr:rowOff>123825</xdr:rowOff>
    </xdr:from>
    <xdr:to>
      <xdr:col>3</xdr:col>
      <xdr:colOff>411947</xdr:colOff>
      <xdr:row>7</xdr:row>
      <xdr:rowOff>124385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7DD4F06-8E9C-4732-B3D5-80BCEA9B6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0625" y="847725"/>
          <a:ext cx="831047" cy="82923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1</xdr:row>
      <xdr:rowOff>0</xdr:rowOff>
    </xdr:from>
    <xdr:to>
      <xdr:col>23</xdr:col>
      <xdr:colOff>0</xdr:colOff>
      <xdr:row>1</xdr:row>
      <xdr:rowOff>0</xdr:rowOff>
    </xdr:to>
    <xdr:sp macro="" textlink="">
      <xdr:nvSpPr>
        <xdr:cNvPr id="2" name="Freeform 14">
          <a:extLst>
            <a:ext uri="{FF2B5EF4-FFF2-40B4-BE49-F238E27FC236}">
              <a16:creationId xmlns:a16="http://schemas.microsoft.com/office/drawing/2014/main" id="{80EAD4A6-4305-4595-AC86-CD6EB31C829C}"/>
            </a:ext>
          </a:extLst>
        </xdr:cNvPr>
        <xdr:cNvSpPr>
          <a:spLocks/>
        </xdr:cNvSpPr>
      </xdr:nvSpPr>
      <xdr:spPr bwMode="auto">
        <a:xfrm>
          <a:off x="9410700" y="200025"/>
          <a:ext cx="0" cy="0"/>
        </a:xfrm>
        <a:custGeom>
          <a:avLst/>
          <a:gdLst>
            <a:gd name="T0" fmla="*/ 0 w 35"/>
            <a:gd name="T1" fmla="*/ 0 h 24"/>
            <a:gd name="T2" fmla="*/ 2147483646 w 35"/>
            <a:gd name="T3" fmla="*/ 0 h 24"/>
            <a:gd name="T4" fmla="*/ 2147483646 w 35"/>
            <a:gd name="T5" fmla="*/ 0 h 24"/>
            <a:gd name="T6" fmla="*/ 2147483646 w 35"/>
            <a:gd name="T7" fmla="*/ 0 h 24"/>
            <a:gd name="T8" fmla="*/ 0 60000 65536"/>
            <a:gd name="T9" fmla="*/ 0 60000 65536"/>
            <a:gd name="T10" fmla="*/ 0 60000 65536"/>
            <a:gd name="T11" fmla="*/ 0 60000 65536"/>
            <a:gd name="T12" fmla="*/ 0 w 35"/>
            <a:gd name="T13" fmla="*/ 0 h 24"/>
            <a:gd name="T14" fmla="*/ 35 w 35"/>
            <a:gd name="T15" fmla="*/ 0 h 2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5" h="24">
              <a:moveTo>
                <a:pt x="0" y="1"/>
              </a:moveTo>
              <a:lnTo>
                <a:pt x="4" y="24"/>
              </a:lnTo>
              <a:lnTo>
                <a:pt x="8" y="0"/>
              </a:lnTo>
              <a:lnTo>
                <a:pt x="35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0</xdr:colOff>
      <xdr:row>1</xdr:row>
      <xdr:rowOff>0</xdr:rowOff>
    </xdr:from>
    <xdr:to>
      <xdr:col>23</xdr:col>
      <xdr:colOff>0</xdr:colOff>
      <xdr:row>1</xdr:row>
      <xdr:rowOff>0</xdr:rowOff>
    </xdr:to>
    <xdr:sp macro="" textlink="">
      <xdr:nvSpPr>
        <xdr:cNvPr id="3" name="Freeform 15">
          <a:extLst>
            <a:ext uri="{FF2B5EF4-FFF2-40B4-BE49-F238E27FC236}">
              <a16:creationId xmlns:a16="http://schemas.microsoft.com/office/drawing/2014/main" id="{30696E33-1A11-4E16-B050-A3098483BAB0}"/>
            </a:ext>
          </a:extLst>
        </xdr:cNvPr>
        <xdr:cNvSpPr>
          <a:spLocks/>
        </xdr:cNvSpPr>
      </xdr:nvSpPr>
      <xdr:spPr bwMode="auto">
        <a:xfrm>
          <a:off x="9410700" y="200025"/>
          <a:ext cx="0" cy="0"/>
        </a:xfrm>
        <a:custGeom>
          <a:avLst/>
          <a:gdLst>
            <a:gd name="T0" fmla="*/ 0 w 35"/>
            <a:gd name="T1" fmla="*/ 0 h 24"/>
            <a:gd name="T2" fmla="*/ 2147483646 w 35"/>
            <a:gd name="T3" fmla="*/ 0 h 24"/>
            <a:gd name="T4" fmla="*/ 2147483646 w 35"/>
            <a:gd name="T5" fmla="*/ 0 h 24"/>
            <a:gd name="T6" fmla="*/ 2147483646 w 35"/>
            <a:gd name="T7" fmla="*/ 0 h 24"/>
            <a:gd name="T8" fmla="*/ 0 60000 65536"/>
            <a:gd name="T9" fmla="*/ 0 60000 65536"/>
            <a:gd name="T10" fmla="*/ 0 60000 65536"/>
            <a:gd name="T11" fmla="*/ 0 60000 65536"/>
            <a:gd name="T12" fmla="*/ 0 w 35"/>
            <a:gd name="T13" fmla="*/ 0 h 24"/>
            <a:gd name="T14" fmla="*/ 35 w 35"/>
            <a:gd name="T15" fmla="*/ 0 h 2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5" h="24">
              <a:moveTo>
                <a:pt x="0" y="1"/>
              </a:moveTo>
              <a:lnTo>
                <a:pt x="4" y="24"/>
              </a:lnTo>
              <a:lnTo>
                <a:pt x="8" y="0"/>
              </a:lnTo>
              <a:lnTo>
                <a:pt x="35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23</xdr:col>
      <xdr:colOff>0</xdr:colOff>
      <xdr:row>1</xdr:row>
      <xdr:rowOff>0</xdr:rowOff>
    </xdr:from>
    <xdr:to>
      <xdr:col>23</xdr:col>
      <xdr:colOff>0</xdr:colOff>
      <xdr:row>1</xdr:row>
      <xdr:rowOff>0</xdr:rowOff>
    </xdr:to>
    <xdr:sp macro="" textlink="">
      <xdr:nvSpPr>
        <xdr:cNvPr id="4" name="Freeform 16">
          <a:extLst>
            <a:ext uri="{FF2B5EF4-FFF2-40B4-BE49-F238E27FC236}">
              <a16:creationId xmlns:a16="http://schemas.microsoft.com/office/drawing/2014/main" id="{3D810132-1540-4DC1-9708-9F7C8223094A}"/>
            </a:ext>
          </a:extLst>
        </xdr:cNvPr>
        <xdr:cNvSpPr>
          <a:spLocks/>
        </xdr:cNvSpPr>
      </xdr:nvSpPr>
      <xdr:spPr bwMode="auto">
        <a:xfrm>
          <a:off x="9410700" y="200025"/>
          <a:ext cx="0" cy="0"/>
        </a:xfrm>
        <a:custGeom>
          <a:avLst/>
          <a:gdLst>
            <a:gd name="T0" fmla="*/ 0 w 35"/>
            <a:gd name="T1" fmla="*/ 0 h 24"/>
            <a:gd name="T2" fmla="*/ 2147483646 w 35"/>
            <a:gd name="T3" fmla="*/ 0 h 24"/>
            <a:gd name="T4" fmla="*/ 2147483646 w 35"/>
            <a:gd name="T5" fmla="*/ 0 h 24"/>
            <a:gd name="T6" fmla="*/ 2147483646 w 35"/>
            <a:gd name="T7" fmla="*/ 0 h 24"/>
            <a:gd name="T8" fmla="*/ 0 60000 65536"/>
            <a:gd name="T9" fmla="*/ 0 60000 65536"/>
            <a:gd name="T10" fmla="*/ 0 60000 65536"/>
            <a:gd name="T11" fmla="*/ 0 60000 65536"/>
            <a:gd name="T12" fmla="*/ 0 w 35"/>
            <a:gd name="T13" fmla="*/ 0 h 24"/>
            <a:gd name="T14" fmla="*/ 35 w 35"/>
            <a:gd name="T15" fmla="*/ 0 h 2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5" h="24">
              <a:moveTo>
                <a:pt x="0" y="1"/>
              </a:moveTo>
              <a:lnTo>
                <a:pt x="4" y="24"/>
              </a:lnTo>
              <a:lnTo>
                <a:pt x="8" y="0"/>
              </a:lnTo>
              <a:lnTo>
                <a:pt x="35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73518</xdr:colOff>
      <xdr:row>39</xdr:row>
      <xdr:rowOff>143687</xdr:rowOff>
    </xdr:from>
    <xdr:to>
      <xdr:col>18</xdr:col>
      <xdr:colOff>114300</xdr:colOff>
      <xdr:row>57</xdr:row>
      <xdr:rowOff>47625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ED5EB81-2C44-4CA6-B0DD-5F2A6BE3E8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34</xdr:col>
      <xdr:colOff>28575</xdr:colOff>
      <xdr:row>7</xdr:row>
      <xdr:rowOff>47625</xdr:rowOff>
    </xdr:from>
    <xdr:to>
      <xdr:col>39</xdr:col>
      <xdr:colOff>79189</xdr:colOff>
      <xdr:row>26</xdr:row>
      <xdr:rowOff>95250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99D20F51-E062-44B6-9031-B06C72A6A6EB}"/>
            </a:ext>
          </a:extLst>
        </xdr:cNvPr>
        <xdr:cNvGrpSpPr/>
      </xdr:nvGrpSpPr>
      <xdr:grpSpPr>
        <a:xfrm>
          <a:off x="15078075" y="1438275"/>
          <a:ext cx="3212914" cy="4419600"/>
          <a:chOff x="16621125" y="3200400"/>
          <a:chExt cx="3898714" cy="3848100"/>
        </a:xfrm>
      </xdr:grpSpPr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6EF88AFE-27BA-5BC8-CFE6-CEC32C6D88AB}"/>
              </a:ext>
            </a:extLst>
          </xdr:cNvPr>
          <xdr:cNvGraphicFramePr>
            <a:graphicFrameLocks/>
          </xdr:cNvGraphicFramePr>
        </xdr:nvGraphicFramePr>
        <xdr:xfrm>
          <a:off x="16621125" y="3200400"/>
          <a:ext cx="3336924" cy="3848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68892F95-6695-B11F-70C0-B809FDCFF886}"/>
              </a:ext>
            </a:extLst>
          </xdr:cNvPr>
          <xdr:cNvSpPr txBox="1"/>
        </xdr:nvSpPr>
        <xdr:spPr>
          <a:xfrm>
            <a:off x="19868965" y="4642598"/>
            <a:ext cx="650874" cy="1841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00"/>
              <a:t>SPECIMENT</a:t>
            </a:r>
            <a:r>
              <a:rPr lang="en-US" sz="600" baseline="0"/>
              <a:t> -1</a:t>
            </a:r>
            <a:endParaRPr lang="en-US" sz="600"/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E2F38694-DD2B-3D5F-52A5-179CCC58B8EE}"/>
              </a:ext>
            </a:extLst>
          </xdr:cNvPr>
          <xdr:cNvSpPr txBox="1"/>
        </xdr:nvSpPr>
        <xdr:spPr>
          <a:xfrm>
            <a:off x="19837214" y="4349003"/>
            <a:ext cx="650874" cy="18415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00"/>
              <a:t>SPECIMENT</a:t>
            </a:r>
            <a:r>
              <a:rPr lang="en-US" sz="600" baseline="0"/>
              <a:t> -2</a:t>
            </a:r>
            <a:endParaRPr lang="en-US" sz="6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1A897AF9-C795-DD8B-F578-EDB8A44B3461}"/>
              </a:ext>
            </a:extLst>
          </xdr:cNvPr>
          <xdr:cNvSpPr txBox="1"/>
        </xdr:nvSpPr>
        <xdr:spPr>
          <a:xfrm>
            <a:off x="19853089" y="3901328"/>
            <a:ext cx="650874" cy="17929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600"/>
              <a:t>SPECIMENT</a:t>
            </a:r>
            <a:r>
              <a:rPr lang="en-US" sz="600" baseline="0"/>
              <a:t> -3</a:t>
            </a:r>
          </a:p>
          <a:p>
            <a:endParaRPr lang="en-US" sz="600"/>
          </a:p>
        </xdr:txBody>
      </xdr:sp>
    </xdr:grpSp>
    <xdr:clientData/>
  </xdr:twoCellAnchor>
  <xdr:twoCellAnchor>
    <xdr:from>
      <xdr:col>5</xdr:col>
      <xdr:colOff>393325</xdr:colOff>
      <xdr:row>57</xdr:row>
      <xdr:rowOff>186634</xdr:rowOff>
    </xdr:from>
    <xdr:to>
      <xdr:col>22</xdr:col>
      <xdr:colOff>204477</xdr:colOff>
      <xdr:row>71</xdr:row>
      <xdr:rowOff>25879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6213AD8-16F6-4FD0-8019-A93C66D03DAF}"/>
            </a:ext>
          </a:extLst>
        </xdr:cNvPr>
        <xdr:cNvGrpSpPr/>
      </xdr:nvGrpSpPr>
      <xdr:grpSpPr>
        <a:xfrm>
          <a:off x="1526800" y="12150034"/>
          <a:ext cx="7012052" cy="2639595"/>
          <a:chOff x="828675" y="11311834"/>
          <a:chExt cx="7014852" cy="2639596"/>
        </a:xfrm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D2D8D6BB-DCF3-8AD9-C4BB-FD607FB11041}"/>
              </a:ext>
            </a:extLst>
          </xdr:cNvPr>
          <xdr:cNvSpPr txBox="1"/>
        </xdr:nvSpPr>
        <xdr:spPr>
          <a:xfrm>
            <a:off x="828675" y="11318047"/>
            <a:ext cx="2160000" cy="262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>
                <a:latin typeface="Aptos" panose="020B0004020202020204" pitchFamily="34" charset="0"/>
              </a:rPr>
              <a:t>FOTO PENGUJIAN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BC402C1C-E021-7BC1-9584-321D755F52F1}"/>
              </a:ext>
            </a:extLst>
          </xdr:cNvPr>
          <xdr:cNvSpPr txBox="1"/>
        </xdr:nvSpPr>
        <xdr:spPr>
          <a:xfrm>
            <a:off x="3306004" y="11311834"/>
            <a:ext cx="2160000" cy="262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>
                <a:latin typeface="Aptos" panose="020B0004020202020204" pitchFamily="34" charset="0"/>
              </a:rPr>
              <a:t>FOTO PENGUJIAN</a:t>
            </a: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18133A65-E654-E753-8F1E-63F880BC17CF}"/>
              </a:ext>
            </a:extLst>
          </xdr:cNvPr>
          <xdr:cNvSpPr txBox="1"/>
        </xdr:nvSpPr>
        <xdr:spPr>
          <a:xfrm>
            <a:off x="5683527" y="11323430"/>
            <a:ext cx="2160000" cy="262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>
                <a:latin typeface="Aptos" panose="020B0004020202020204" pitchFamily="34" charset="0"/>
              </a:rPr>
              <a:t>FOTO PENGUJIAN</a:t>
            </a:r>
          </a:p>
        </xdr:txBody>
      </xdr:sp>
    </xdr:grpSp>
    <xdr:clientData/>
  </xdr:twoCellAnchor>
  <xdr:twoCellAnchor editAs="oneCell">
    <xdr:from>
      <xdr:col>3</xdr:col>
      <xdr:colOff>47625</xdr:colOff>
      <xdr:row>2</xdr:row>
      <xdr:rowOff>123825</xdr:rowOff>
    </xdr:from>
    <xdr:to>
      <xdr:col>5</xdr:col>
      <xdr:colOff>221447</xdr:colOff>
      <xdr:row>6</xdr:row>
      <xdr:rowOff>95810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70EA2E-1DE0-4DC8-9A1C-4C2994F57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457200"/>
          <a:ext cx="831047" cy="82923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1</xdr:row>
      <xdr:rowOff>0</xdr:rowOff>
    </xdr:from>
    <xdr:to>
      <xdr:col>18</xdr:col>
      <xdr:colOff>0</xdr:colOff>
      <xdr:row>1</xdr:row>
      <xdr:rowOff>0</xdr:rowOff>
    </xdr:to>
    <xdr:sp macro="" textlink="">
      <xdr:nvSpPr>
        <xdr:cNvPr id="2" name="Freeform 14">
          <a:extLst>
            <a:ext uri="{FF2B5EF4-FFF2-40B4-BE49-F238E27FC236}">
              <a16:creationId xmlns:a16="http://schemas.microsoft.com/office/drawing/2014/main" id="{F1AF033E-FA04-4DE6-A1E7-8700A5F73C76}"/>
            </a:ext>
          </a:extLst>
        </xdr:cNvPr>
        <xdr:cNvSpPr>
          <a:spLocks/>
        </xdr:cNvSpPr>
      </xdr:nvSpPr>
      <xdr:spPr bwMode="auto">
        <a:xfrm>
          <a:off x="9029700" y="200025"/>
          <a:ext cx="0" cy="0"/>
        </a:xfrm>
        <a:custGeom>
          <a:avLst/>
          <a:gdLst>
            <a:gd name="T0" fmla="*/ 0 w 35"/>
            <a:gd name="T1" fmla="*/ 0 h 24"/>
            <a:gd name="T2" fmla="*/ 2147483646 w 35"/>
            <a:gd name="T3" fmla="*/ 0 h 24"/>
            <a:gd name="T4" fmla="*/ 2147483646 w 35"/>
            <a:gd name="T5" fmla="*/ 0 h 24"/>
            <a:gd name="T6" fmla="*/ 2147483646 w 35"/>
            <a:gd name="T7" fmla="*/ 0 h 24"/>
            <a:gd name="T8" fmla="*/ 0 60000 65536"/>
            <a:gd name="T9" fmla="*/ 0 60000 65536"/>
            <a:gd name="T10" fmla="*/ 0 60000 65536"/>
            <a:gd name="T11" fmla="*/ 0 60000 65536"/>
            <a:gd name="T12" fmla="*/ 0 w 35"/>
            <a:gd name="T13" fmla="*/ 0 h 24"/>
            <a:gd name="T14" fmla="*/ 35 w 35"/>
            <a:gd name="T15" fmla="*/ 0 h 2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5" h="24">
              <a:moveTo>
                <a:pt x="0" y="1"/>
              </a:moveTo>
              <a:lnTo>
                <a:pt x="4" y="24"/>
              </a:lnTo>
              <a:lnTo>
                <a:pt x="8" y="0"/>
              </a:lnTo>
              <a:lnTo>
                <a:pt x="35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</xdr:row>
      <xdr:rowOff>0</xdr:rowOff>
    </xdr:from>
    <xdr:to>
      <xdr:col>18</xdr:col>
      <xdr:colOff>0</xdr:colOff>
      <xdr:row>1</xdr:row>
      <xdr:rowOff>0</xdr:rowOff>
    </xdr:to>
    <xdr:sp macro="" textlink="">
      <xdr:nvSpPr>
        <xdr:cNvPr id="3" name="Freeform 15">
          <a:extLst>
            <a:ext uri="{FF2B5EF4-FFF2-40B4-BE49-F238E27FC236}">
              <a16:creationId xmlns:a16="http://schemas.microsoft.com/office/drawing/2014/main" id="{6FFF8E43-D490-4666-82A7-49347456AB16}"/>
            </a:ext>
          </a:extLst>
        </xdr:cNvPr>
        <xdr:cNvSpPr>
          <a:spLocks/>
        </xdr:cNvSpPr>
      </xdr:nvSpPr>
      <xdr:spPr bwMode="auto">
        <a:xfrm>
          <a:off x="9029700" y="200025"/>
          <a:ext cx="0" cy="0"/>
        </a:xfrm>
        <a:custGeom>
          <a:avLst/>
          <a:gdLst>
            <a:gd name="T0" fmla="*/ 0 w 35"/>
            <a:gd name="T1" fmla="*/ 0 h 24"/>
            <a:gd name="T2" fmla="*/ 2147483646 w 35"/>
            <a:gd name="T3" fmla="*/ 0 h 24"/>
            <a:gd name="T4" fmla="*/ 2147483646 w 35"/>
            <a:gd name="T5" fmla="*/ 0 h 24"/>
            <a:gd name="T6" fmla="*/ 2147483646 w 35"/>
            <a:gd name="T7" fmla="*/ 0 h 24"/>
            <a:gd name="T8" fmla="*/ 0 60000 65536"/>
            <a:gd name="T9" fmla="*/ 0 60000 65536"/>
            <a:gd name="T10" fmla="*/ 0 60000 65536"/>
            <a:gd name="T11" fmla="*/ 0 60000 65536"/>
            <a:gd name="T12" fmla="*/ 0 w 35"/>
            <a:gd name="T13" fmla="*/ 0 h 24"/>
            <a:gd name="T14" fmla="*/ 35 w 35"/>
            <a:gd name="T15" fmla="*/ 0 h 2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5" h="24">
              <a:moveTo>
                <a:pt x="0" y="1"/>
              </a:moveTo>
              <a:lnTo>
                <a:pt x="4" y="24"/>
              </a:lnTo>
              <a:lnTo>
                <a:pt x="8" y="0"/>
              </a:lnTo>
              <a:lnTo>
                <a:pt x="35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</xdr:row>
      <xdr:rowOff>0</xdr:rowOff>
    </xdr:from>
    <xdr:to>
      <xdr:col>18</xdr:col>
      <xdr:colOff>0</xdr:colOff>
      <xdr:row>1</xdr:row>
      <xdr:rowOff>0</xdr:rowOff>
    </xdr:to>
    <xdr:sp macro="" textlink="">
      <xdr:nvSpPr>
        <xdr:cNvPr id="4" name="Freeform 16">
          <a:extLst>
            <a:ext uri="{FF2B5EF4-FFF2-40B4-BE49-F238E27FC236}">
              <a16:creationId xmlns:a16="http://schemas.microsoft.com/office/drawing/2014/main" id="{695964F0-4E6E-40FB-9C3A-6E90F9DA2BD1}"/>
            </a:ext>
          </a:extLst>
        </xdr:cNvPr>
        <xdr:cNvSpPr>
          <a:spLocks/>
        </xdr:cNvSpPr>
      </xdr:nvSpPr>
      <xdr:spPr bwMode="auto">
        <a:xfrm>
          <a:off x="9029700" y="200025"/>
          <a:ext cx="0" cy="0"/>
        </a:xfrm>
        <a:custGeom>
          <a:avLst/>
          <a:gdLst>
            <a:gd name="T0" fmla="*/ 0 w 35"/>
            <a:gd name="T1" fmla="*/ 0 h 24"/>
            <a:gd name="T2" fmla="*/ 2147483646 w 35"/>
            <a:gd name="T3" fmla="*/ 0 h 24"/>
            <a:gd name="T4" fmla="*/ 2147483646 w 35"/>
            <a:gd name="T5" fmla="*/ 0 h 24"/>
            <a:gd name="T6" fmla="*/ 2147483646 w 35"/>
            <a:gd name="T7" fmla="*/ 0 h 24"/>
            <a:gd name="T8" fmla="*/ 0 60000 65536"/>
            <a:gd name="T9" fmla="*/ 0 60000 65536"/>
            <a:gd name="T10" fmla="*/ 0 60000 65536"/>
            <a:gd name="T11" fmla="*/ 0 60000 65536"/>
            <a:gd name="T12" fmla="*/ 0 w 35"/>
            <a:gd name="T13" fmla="*/ 0 h 24"/>
            <a:gd name="T14" fmla="*/ 35 w 35"/>
            <a:gd name="T15" fmla="*/ 0 h 24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35" h="24">
              <a:moveTo>
                <a:pt x="0" y="1"/>
              </a:moveTo>
              <a:lnTo>
                <a:pt x="4" y="24"/>
              </a:lnTo>
              <a:lnTo>
                <a:pt x="8" y="0"/>
              </a:lnTo>
              <a:lnTo>
                <a:pt x="35" y="0"/>
              </a:lnTo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43703</xdr:colOff>
      <xdr:row>2</xdr:row>
      <xdr:rowOff>131669</xdr:rowOff>
    </xdr:from>
    <xdr:to>
      <xdr:col>4</xdr:col>
      <xdr:colOff>28145</xdr:colOff>
      <xdr:row>6</xdr:row>
      <xdr:rowOff>103654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B9E8D5C-BA60-4DDE-A106-89169A057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3144" y="467845"/>
          <a:ext cx="836089" cy="834838"/>
        </a:xfrm>
        <a:prstGeom prst="rect">
          <a:avLst/>
        </a:prstGeom>
      </xdr:spPr>
    </xdr:pic>
    <xdr:clientData/>
  </xdr:twoCellAnchor>
  <xdr:twoCellAnchor>
    <xdr:from>
      <xdr:col>1</xdr:col>
      <xdr:colOff>124557</xdr:colOff>
      <xdr:row>57</xdr:row>
      <xdr:rowOff>0</xdr:rowOff>
    </xdr:from>
    <xdr:to>
      <xdr:col>18</xdr:col>
      <xdr:colOff>185843</xdr:colOff>
      <xdr:row>58</xdr:row>
      <xdr:rowOff>82939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2426DC8F-E666-A38F-39F9-F9BC38C8A776}"/>
            </a:ext>
          </a:extLst>
        </xdr:cNvPr>
        <xdr:cNvGrpSpPr/>
      </xdr:nvGrpSpPr>
      <xdr:grpSpPr>
        <a:xfrm>
          <a:off x="238857" y="12753975"/>
          <a:ext cx="8976686" cy="254389"/>
          <a:chOff x="235324" y="12595412"/>
          <a:chExt cx="9004872" cy="251027"/>
        </a:xfrm>
      </xdr:grpSpPr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2EF00E08-0CCA-4DD8-9E84-639666DBF8E4}"/>
              </a:ext>
            </a:extLst>
          </xdr:cNvPr>
          <xdr:cNvSpPr txBox="1"/>
        </xdr:nvSpPr>
        <xdr:spPr>
          <a:xfrm>
            <a:off x="3290469" y="12634404"/>
            <a:ext cx="465074" cy="2120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D" sz="900">
                <a:latin typeface="Aptos" panose="020B0004020202020204" pitchFamily="34" charset="0"/>
              </a:rPr>
              <a:t>Uji 2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AA770A46-7954-4F5E-8877-B93B9D91EDB5}"/>
              </a:ext>
            </a:extLst>
          </xdr:cNvPr>
          <xdr:cNvSpPr txBox="1"/>
        </xdr:nvSpPr>
        <xdr:spPr>
          <a:xfrm>
            <a:off x="4726974" y="12626841"/>
            <a:ext cx="461687" cy="2120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D" sz="900">
                <a:latin typeface="Aptos" panose="020B0004020202020204" pitchFamily="34" charset="0"/>
              </a:rPr>
              <a:t>Uji 3</a:t>
            </a: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27A09E29-51B4-4AFB-BF62-D6687657C139}"/>
              </a:ext>
            </a:extLst>
          </xdr:cNvPr>
          <xdr:cNvSpPr txBox="1"/>
        </xdr:nvSpPr>
        <xdr:spPr>
          <a:xfrm>
            <a:off x="5997764" y="12608154"/>
            <a:ext cx="459083" cy="2120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D" sz="900">
                <a:latin typeface="Aptos" panose="020B0004020202020204" pitchFamily="34" charset="0"/>
              </a:rPr>
              <a:t>Uji 4</a:t>
            </a: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4CEC51AE-1991-49E9-9D33-A8E9B6C9A0EB}"/>
              </a:ext>
            </a:extLst>
          </xdr:cNvPr>
          <xdr:cNvSpPr txBox="1"/>
        </xdr:nvSpPr>
        <xdr:spPr>
          <a:xfrm>
            <a:off x="7391809" y="12595412"/>
            <a:ext cx="459722" cy="2120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D" sz="900">
                <a:latin typeface="Aptos" panose="020B0004020202020204" pitchFamily="34" charset="0"/>
              </a:rPr>
              <a:t>Uji 5</a:t>
            </a:r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426643B3-DA23-463E-A5FA-7971E40054D4}"/>
              </a:ext>
            </a:extLst>
          </xdr:cNvPr>
          <xdr:cNvSpPr txBox="1"/>
        </xdr:nvSpPr>
        <xdr:spPr>
          <a:xfrm>
            <a:off x="8777553" y="12603694"/>
            <a:ext cx="462643" cy="2120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D" sz="900">
                <a:latin typeface="Aptos" panose="020B0004020202020204" pitchFamily="34" charset="0"/>
              </a:rPr>
              <a:t>Uji 6</a:t>
            </a:r>
          </a:p>
        </xdr:txBody>
      </xdr:sp>
      <xdr:sp macro="" textlink="">
        <xdr:nvSpPr>
          <xdr:cNvPr id="11" name="TextBox 10">
            <a:extLst>
              <a:ext uri="{FF2B5EF4-FFF2-40B4-BE49-F238E27FC236}">
                <a16:creationId xmlns:a16="http://schemas.microsoft.com/office/drawing/2014/main" id="{B91FD0DA-473B-44F3-AC42-C7BEB1BFC18D}"/>
              </a:ext>
            </a:extLst>
          </xdr:cNvPr>
          <xdr:cNvSpPr txBox="1"/>
        </xdr:nvSpPr>
        <xdr:spPr>
          <a:xfrm>
            <a:off x="1985008" y="12620211"/>
            <a:ext cx="457428" cy="2120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D" sz="900">
                <a:latin typeface="Aptos" panose="020B0004020202020204" pitchFamily="34" charset="0"/>
              </a:rPr>
              <a:t>Uji 1</a:t>
            </a:r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6599CF04-76C6-4375-B7BF-4C727EBE4EFC}"/>
              </a:ext>
            </a:extLst>
          </xdr:cNvPr>
          <xdr:cNvSpPr txBox="1"/>
        </xdr:nvSpPr>
        <xdr:spPr>
          <a:xfrm>
            <a:off x="235324" y="12630712"/>
            <a:ext cx="1267239" cy="21203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ID" sz="900">
                <a:latin typeface="Aptos" panose="020B0004020202020204" pitchFamily="34" charset="0"/>
              </a:rPr>
              <a:t>Foto Benda Uji</a:t>
            </a:r>
          </a:p>
        </xdr:txBody>
      </xdr:sp>
    </xdr:grpSp>
    <xdr:clientData/>
  </xdr:twoCellAnchor>
  <xdr:twoCellAnchor>
    <xdr:from>
      <xdr:col>1</xdr:col>
      <xdr:colOff>112918</xdr:colOff>
      <xdr:row>58</xdr:row>
      <xdr:rowOff>80250</xdr:rowOff>
    </xdr:from>
    <xdr:to>
      <xdr:col>19</xdr:col>
      <xdr:colOff>13197</xdr:colOff>
      <xdr:row>69</xdr:row>
      <xdr:rowOff>124558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166CA698-8E47-660F-A507-04DE90C9BE70}"/>
            </a:ext>
          </a:extLst>
        </xdr:cNvPr>
        <xdr:cNvGrpSpPr/>
      </xdr:nvGrpSpPr>
      <xdr:grpSpPr>
        <a:xfrm>
          <a:off x="227218" y="13005675"/>
          <a:ext cx="9368129" cy="1930258"/>
          <a:chOff x="230150" y="12711865"/>
          <a:chExt cx="8601640" cy="1742999"/>
        </a:xfrm>
        <a:noFill/>
      </xdr:grpSpPr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2B94F77-030D-A82C-1FDB-B4C123D9EA49}"/>
              </a:ext>
            </a:extLst>
          </xdr:cNvPr>
          <xdr:cNvSpPr txBox="1"/>
        </xdr:nvSpPr>
        <xdr:spPr>
          <a:xfrm>
            <a:off x="230150" y="12722123"/>
            <a:ext cx="1189724" cy="1732741"/>
          </a:xfrm>
          <a:prstGeom prst="rect">
            <a:avLst/>
          </a:prstGeom>
          <a:grp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D" sz="1100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385378-97A8-4F4E-98E2-E271CF3A3141}"/>
              </a:ext>
            </a:extLst>
          </xdr:cNvPr>
          <xdr:cNvSpPr txBox="1"/>
        </xdr:nvSpPr>
        <xdr:spPr>
          <a:xfrm>
            <a:off x="1466934" y="12720658"/>
            <a:ext cx="1189724" cy="1732741"/>
          </a:xfrm>
          <a:prstGeom prst="rect">
            <a:avLst/>
          </a:prstGeom>
          <a:grp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D" sz="1100"/>
          </a:p>
        </xdr:txBody>
      </xdr:sp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90A753D2-F3FE-4DB3-9FD7-5DB90263A11B}"/>
              </a:ext>
            </a:extLst>
          </xdr:cNvPr>
          <xdr:cNvSpPr txBox="1"/>
        </xdr:nvSpPr>
        <xdr:spPr>
          <a:xfrm>
            <a:off x="2705185" y="12720657"/>
            <a:ext cx="1189724" cy="1732741"/>
          </a:xfrm>
          <a:prstGeom prst="rect">
            <a:avLst/>
          </a:prstGeom>
          <a:grp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D" sz="1100"/>
          </a:p>
        </xdr:txBody>
      </xdr:sp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5A96A71B-D6AE-4B3F-8DD1-96F75D072E53}"/>
              </a:ext>
            </a:extLst>
          </xdr:cNvPr>
          <xdr:cNvSpPr txBox="1"/>
        </xdr:nvSpPr>
        <xdr:spPr>
          <a:xfrm>
            <a:off x="3941969" y="12719192"/>
            <a:ext cx="1189724" cy="1732741"/>
          </a:xfrm>
          <a:prstGeom prst="rect">
            <a:avLst/>
          </a:prstGeom>
          <a:grp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D" sz="1100"/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21B2DAC4-4E6E-44E4-A632-4B47EF57BF2C}"/>
              </a:ext>
            </a:extLst>
          </xdr:cNvPr>
          <xdr:cNvSpPr txBox="1"/>
        </xdr:nvSpPr>
        <xdr:spPr>
          <a:xfrm>
            <a:off x="5167031" y="12713331"/>
            <a:ext cx="1189724" cy="1732741"/>
          </a:xfrm>
          <a:prstGeom prst="rect">
            <a:avLst/>
          </a:prstGeom>
          <a:grp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D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FDCE47D5-E53B-4F33-96FB-0549E3CB436A}"/>
              </a:ext>
            </a:extLst>
          </xdr:cNvPr>
          <xdr:cNvSpPr txBox="1"/>
        </xdr:nvSpPr>
        <xdr:spPr>
          <a:xfrm>
            <a:off x="6403815" y="12711866"/>
            <a:ext cx="1189724" cy="1732741"/>
          </a:xfrm>
          <a:prstGeom prst="rect">
            <a:avLst/>
          </a:prstGeom>
          <a:grp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D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CCF95A3D-F2A5-4148-A2DB-2A2985FEFC2C}"/>
              </a:ext>
            </a:extLst>
          </xdr:cNvPr>
          <xdr:cNvSpPr txBox="1"/>
        </xdr:nvSpPr>
        <xdr:spPr>
          <a:xfrm>
            <a:off x="7642066" y="12711865"/>
            <a:ext cx="1189724" cy="1732741"/>
          </a:xfrm>
          <a:prstGeom prst="rect">
            <a:avLst/>
          </a:prstGeom>
          <a:grpFill/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ID" sz="1100"/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207645</xdr:colOff>
      <xdr:row>1</xdr:row>
      <xdr:rowOff>66675</xdr:rowOff>
    </xdr:from>
    <xdr:ext cx="609141" cy="132665"/>
    <xdr:sp macro="" textlink="">
      <xdr:nvSpPr>
        <xdr:cNvPr id="2" name="Rectangle 22">
          <a:extLst>
            <a:ext uri="{FF2B5EF4-FFF2-40B4-BE49-F238E27FC236}">
              <a16:creationId xmlns:a16="http://schemas.microsoft.com/office/drawing/2014/main" id="{B7FC506D-96A0-41C8-829F-CAC796F56096}"/>
            </a:ext>
          </a:extLst>
        </xdr:cNvPr>
        <xdr:cNvSpPr>
          <a:spLocks noChangeArrowheads="1"/>
        </xdr:cNvSpPr>
      </xdr:nvSpPr>
      <xdr:spPr bwMode="auto">
        <a:xfrm>
          <a:off x="817245" y="228600"/>
          <a:ext cx="609141" cy="132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</a:p>
      </xdr:txBody>
    </xdr:sp>
    <xdr:clientData/>
  </xdr:oneCellAnchor>
  <xdr:oneCellAnchor>
    <xdr:from>
      <xdr:col>1</xdr:col>
      <xdr:colOff>207645</xdr:colOff>
      <xdr:row>2</xdr:row>
      <xdr:rowOff>66675</xdr:rowOff>
    </xdr:from>
    <xdr:ext cx="256480" cy="132665"/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1E12994B-2257-4467-BEF4-6F7059DAA4AA}"/>
            </a:ext>
          </a:extLst>
        </xdr:cNvPr>
        <xdr:cNvSpPr>
          <a:spLocks noChangeArrowheads="1"/>
        </xdr:cNvSpPr>
      </xdr:nvSpPr>
      <xdr:spPr bwMode="auto">
        <a:xfrm>
          <a:off x="817245" y="390525"/>
          <a:ext cx="256480" cy="132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</xdr:txBody>
    </xdr:sp>
    <xdr:clientData/>
  </xdr:oneCellAnchor>
  <xdr:oneCellAnchor>
    <xdr:from>
      <xdr:col>4</xdr:col>
      <xdr:colOff>312420</xdr:colOff>
      <xdr:row>1</xdr:row>
      <xdr:rowOff>161925</xdr:rowOff>
    </xdr:from>
    <xdr:ext cx="49309" cy="266098"/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405C91CE-FC8B-430F-BE07-16C847250CC6}"/>
            </a:ext>
          </a:extLst>
        </xdr:cNvPr>
        <xdr:cNvSpPr>
          <a:spLocks noChangeArrowheads="1"/>
        </xdr:cNvSpPr>
      </xdr:nvSpPr>
      <xdr:spPr bwMode="auto">
        <a:xfrm>
          <a:off x="2750820" y="323850"/>
          <a:ext cx="49309" cy="266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700" b="0" i="0" u="none" strike="noStrike" baseline="0">
              <a:solidFill>
                <a:srgbClr val="000000"/>
              </a:solidFill>
              <a:latin typeface="Benguiat Frisky ATT"/>
            </a:rPr>
            <a:t> </a:t>
          </a:r>
        </a:p>
      </xdr:txBody>
    </xdr:sp>
    <xdr:clientData/>
  </xdr:oneCellAnchor>
  <xdr:oneCellAnchor>
    <xdr:from>
      <xdr:col>5</xdr:col>
      <xdr:colOff>236220</xdr:colOff>
      <xdr:row>1</xdr:row>
      <xdr:rowOff>182880</xdr:rowOff>
    </xdr:from>
    <xdr:ext cx="0" cy="167640"/>
    <xdr:sp macro="" textlink="">
      <xdr:nvSpPr>
        <xdr:cNvPr id="5" name="Rectangle 27">
          <a:extLst>
            <a:ext uri="{FF2B5EF4-FFF2-40B4-BE49-F238E27FC236}">
              <a16:creationId xmlns:a16="http://schemas.microsoft.com/office/drawing/2014/main" id="{D0A5061A-9571-4681-B1A1-0955CDD4C0DF}"/>
            </a:ext>
          </a:extLst>
        </xdr:cNvPr>
        <xdr:cNvSpPr>
          <a:spLocks noChangeArrowheads="1"/>
        </xdr:cNvSpPr>
      </xdr:nvSpPr>
      <xdr:spPr bwMode="auto">
        <a:xfrm>
          <a:off x="3284220" y="325755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207645</xdr:colOff>
      <xdr:row>2</xdr:row>
      <xdr:rowOff>180975</xdr:rowOff>
    </xdr:from>
    <xdr:ext cx="254942" cy="172227"/>
    <xdr:sp macro="" textlink="">
      <xdr:nvSpPr>
        <xdr:cNvPr id="6" name="Rectangle 28">
          <a:extLst>
            <a:ext uri="{FF2B5EF4-FFF2-40B4-BE49-F238E27FC236}">
              <a16:creationId xmlns:a16="http://schemas.microsoft.com/office/drawing/2014/main" id="{DACDA065-4C6A-4789-8DB0-5667E7ACF386}"/>
            </a:ext>
          </a:extLst>
        </xdr:cNvPr>
        <xdr:cNvSpPr>
          <a:spLocks noChangeArrowheads="1"/>
        </xdr:cNvSpPr>
      </xdr:nvSpPr>
      <xdr:spPr bwMode="auto">
        <a:xfrm>
          <a:off x="817245" y="485775"/>
          <a:ext cx="254942" cy="172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100" b="0" i="0" u="none" strike="noStrike" baseline="0">
              <a:solidFill>
                <a:srgbClr val="FF0000"/>
              </a:solidFill>
              <a:latin typeface="Benguiat Frisky ATT"/>
            </a:rPr>
            <a:t>        </a:t>
          </a:r>
        </a:p>
      </xdr:txBody>
    </xdr:sp>
    <xdr:clientData/>
  </xdr:oneCellAnchor>
  <xdr:oneCellAnchor>
    <xdr:from>
      <xdr:col>0</xdr:col>
      <xdr:colOff>38100</xdr:colOff>
      <xdr:row>3</xdr:row>
      <xdr:rowOff>150495</xdr:rowOff>
    </xdr:from>
    <xdr:ext cx="64057" cy="88422"/>
    <xdr:sp macro="" textlink="">
      <xdr:nvSpPr>
        <xdr:cNvPr id="7" name="Rectangle 30">
          <a:extLst>
            <a:ext uri="{FF2B5EF4-FFF2-40B4-BE49-F238E27FC236}">
              <a16:creationId xmlns:a16="http://schemas.microsoft.com/office/drawing/2014/main" id="{86D717A5-8B7B-4B91-ABA0-E255E3420AEA}"/>
            </a:ext>
          </a:extLst>
        </xdr:cNvPr>
        <xdr:cNvSpPr>
          <a:spLocks noChangeArrowheads="1"/>
        </xdr:cNvSpPr>
      </xdr:nvSpPr>
      <xdr:spPr bwMode="auto">
        <a:xfrm>
          <a:off x="38100" y="636270"/>
          <a:ext cx="64057" cy="88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600" b="0" i="1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</a:p>
      </xdr:txBody>
    </xdr:sp>
    <xdr:clientData/>
  </xdr:oneCellAnchor>
  <xdr:twoCellAnchor>
    <xdr:from>
      <xdr:col>0</xdr:col>
      <xdr:colOff>0</xdr:colOff>
      <xdr:row>90</xdr:row>
      <xdr:rowOff>0</xdr:rowOff>
    </xdr:from>
    <xdr:to>
      <xdr:col>0</xdr:col>
      <xdr:colOff>7620</xdr:colOff>
      <xdr:row>90</xdr:row>
      <xdr:rowOff>0</xdr:rowOff>
    </xdr:to>
    <xdr:pic>
      <xdr:nvPicPr>
        <xdr:cNvPr id="8" name="Picture 13">
          <a:extLst>
            <a:ext uri="{FF2B5EF4-FFF2-40B4-BE49-F238E27FC236}">
              <a16:creationId xmlns:a16="http://schemas.microsoft.com/office/drawing/2014/main" id="{1AF23B54-A501-4CD2-8F93-63570908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732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9" name="Rectangle 3">
          <a:extLst>
            <a:ext uri="{FF2B5EF4-FFF2-40B4-BE49-F238E27FC236}">
              <a16:creationId xmlns:a16="http://schemas.microsoft.com/office/drawing/2014/main" id="{BFC945B7-44BF-4557-8F30-824D6D888854}"/>
            </a:ext>
          </a:extLst>
        </xdr:cNvPr>
        <xdr:cNvSpPr>
          <a:spLocks noChangeArrowheads="1"/>
        </xdr:cNvSpPr>
      </xdr:nvSpPr>
      <xdr:spPr bwMode="auto">
        <a:xfrm>
          <a:off x="0" y="145732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7620</xdr:colOff>
      <xdr:row>90</xdr:row>
      <xdr:rowOff>0</xdr:rowOff>
    </xdr:to>
    <xdr:pic>
      <xdr:nvPicPr>
        <xdr:cNvPr id="10" name="Picture 15">
          <a:extLst>
            <a:ext uri="{FF2B5EF4-FFF2-40B4-BE49-F238E27FC236}">
              <a16:creationId xmlns:a16="http://schemas.microsoft.com/office/drawing/2014/main" id="{72072354-4CB8-4E5E-AA3E-D194B0FD0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5732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11" name="Rectangle 5">
          <a:extLst>
            <a:ext uri="{FF2B5EF4-FFF2-40B4-BE49-F238E27FC236}">
              <a16:creationId xmlns:a16="http://schemas.microsoft.com/office/drawing/2014/main" id="{D0215FC3-52BF-4021-BD05-7BF54DA0D192}"/>
            </a:ext>
          </a:extLst>
        </xdr:cNvPr>
        <xdr:cNvSpPr>
          <a:spLocks noChangeArrowheads="1"/>
        </xdr:cNvSpPr>
      </xdr:nvSpPr>
      <xdr:spPr bwMode="auto">
        <a:xfrm>
          <a:off x="0" y="145732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76200</xdr:rowOff>
    </xdr:from>
    <xdr:to>
      <xdr:col>16</xdr:col>
      <xdr:colOff>22860</xdr:colOff>
      <xdr:row>72</xdr:row>
      <xdr:rowOff>167640</xdr:rowOff>
    </xdr:to>
    <xdr:graphicFrame macro="">
      <xdr:nvGraphicFramePr>
        <xdr:cNvPr id="12" name="Chart 14">
          <a:extLst>
            <a:ext uri="{FF2B5EF4-FFF2-40B4-BE49-F238E27FC236}">
              <a16:creationId xmlns:a16="http://schemas.microsoft.com/office/drawing/2014/main" id="{15C3C248-1143-4872-9F9C-8192C643CC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</xdr:col>
      <xdr:colOff>0</xdr:colOff>
      <xdr:row>126</xdr:row>
      <xdr:rowOff>76200</xdr:rowOff>
    </xdr:from>
    <xdr:to>
      <xdr:col>16</xdr:col>
      <xdr:colOff>22860</xdr:colOff>
      <xdr:row>149</xdr:row>
      <xdr:rowOff>167640</xdr:rowOff>
    </xdr:to>
    <xdr:graphicFrame macro="">
      <xdr:nvGraphicFramePr>
        <xdr:cNvPr id="13" name="Chart 16">
          <a:extLst>
            <a:ext uri="{FF2B5EF4-FFF2-40B4-BE49-F238E27FC236}">
              <a16:creationId xmlns:a16="http://schemas.microsoft.com/office/drawing/2014/main" id="{6ECFF4F4-8DE3-4BBD-BD2C-301EDCC3E2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</xdr:col>
      <xdr:colOff>0</xdr:colOff>
      <xdr:row>203</xdr:row>
      <xdr:rowOff>76200</xdr:rowOff>
    </xdr:from>
    <xdr:to>
      <xdr:col>16</xdr:col>
      <xdr:colOff>22860</xdr:colOff>
      <xdr:row>226</xdr:row>
      <xdr:rowOff>167640</xdr:rowOff>
    </xdr:to>
    <xdr:graphicFrame macro="">
      <xdr:nvGraphicFramePr>
        <xdr:cNvPr id="14" name="Chart 18">
          <a:extLst>
            <a:ext uri="{FF2B5EF4-FFF2-40B4-BE49-F238E27FC236}">
              <a16:creationId xmlns:a16="http://schemas.microsoft.com/office/drawing/2014/main" id="{5A7FDD6F-AD53-407D-988B-209CE0CB62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oneCellAnchor>
    <xdr:from>
      <xdr:col>1</xdr:col>
      <xdr:colOff>162790</xdr:colOff>
      <xdr:row>1</xdr:row>
      <xdr:rowOff>32906</xdr:rowOff>
    </xdr:from>
    <xdr:ext cx="3127664" cy="633846"/>
    <xdr:pic>
      <xdr:nvPicPr>
        <xdr:cNvPr id="15" name="Picture 14">
          <a:extLst>
            <a:ext uri="{FF2B5EF4-FFF2-40B4-BE49-F238E27FC236}">
              <a16:creationId xmlns:a16="http://schemas.microsoft.com/office/drawing/2014/main" id="{44C761A1-EB27-4143-AADE-F07166D1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474517" y="206088"/>
          <a:ext cx="3127664" cy="633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103908</xdr:colOff>
      <xdr:row>78</xdr:row>
      <xdr:rowOff>62346</xdr:rowOff>
    </xdr:from>
    <xdr:ext cx="4307032" cy="633845"/>
    <xdr:pic>
      <xdr:nvPicPr>
        <xdr:cNvPr id="16" name="Picture 15">
          <a:extLst>
            <a:ext uri="{FF2B5EF4-FFF2-40B4-BE49-F238E27FC236}">
              <a16:creationId xmlns:a16="http://schemas.microsoft.com/office/drawing/2014/main" id="{56EBA7BC-F724-436A-8265-307B6EF07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103908" y="12692496"/>
          <a:ext cx="4307032" cy="633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214746</xdr:colOff>
      <xdr:row>155</xdr:row>
      <xdr:rowOff>76200</xdr:rowOff>
    </xdr:from>
    <xdr:ext cx="4291446" cy="633845"/>
    <xdr:pic>
      <xdr:nvPicPr>
        <xdr:cNvPr id="17" name="Picture 16">
          <a:extLst>
            <a:ext uri="{FF2B5EF4-FFF2-40B4-BE49-F238E27FC236}">
              <a16:creationId xmlns:a16="http://schemas.microsoft.com/office/drawing/2014/main" id="{18652D5C-B9FB-4203-82BE-920D31868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214746" y="25174575"/>
          <a:ext cx="4291446" cy="633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64</xdr:row>
      <xdr:rowOff>0</xdr:rowOff>
    </xdr:from>
    <xdr:to>
      <xdr:col>0</xdr:col>
      <xdr:colOff>7620</xdr:colOff>
      <xdr:row>64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8712ED0A-DC25-4E85-BC49-1188750E9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320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0</xdr:colOff>
      <xdr:row>64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B93DD0D6-E159-4E33-944E-661DB48D0D0C}"/>
            </a:ext>
          </a:extLst>
        </xdr:cNvPr>
        <xdr:cNvSpPr>
          <a:spLocks noChangeArrowheads="1"/>
        </xdr:cNvSpPr>
      </xdr:nvSpPr>
      <xdr:spPr bwMode="auto">
        <a:xfrm>
          <a:off x="0" y="1036320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64</xdr:row>
      <xdr:rowOff>0</xdr:rowOff>
    </xdr:from>
    <xdr:to>
      <xdr:col>0</xdr:col>
      <xdr:colOff>7620</xdr:colOff>
      <xdr:row>64</xdr:row>
      <xdr:rowOff>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7AB5E1A8-8A96-4B0F-B5E0-6DDCD4E09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6320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0</xdr:colOff>
      <xdr:row>64</xdr:row>
      <xdr:rowOff>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6541CCEB-4156-435D-9AB2-AFBE6106B233}"/>
            </a:ext>
          </a:extLst>
        </xdr:cNvPr>
        <xdr:cNvSpPr>
          <a:spLocks noChangeArrowheads="1"/>
        </xdr:cNvSpPr>
      </xdr:nvSpPr>
      <xdr:spPr bwMode="auto">
        <a:xfrm>
          <a:off x="0" y="1036320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167640</xdr:colOff>
      <xdr:row>22</xdr:row>
      <xdr:rowOff>30480</xdr:rowOff>
    </xdr:from>
    <xdr:to>
      <xdr:col>6</xdr:col>
      <xdr:colOff>411480</xdr:colOff>
      <xdr:row>22</xdr:row>
      <xdr:rowOff>190500</xdr:rowOff>
    </xdr:to>
    <xdr:grpSp>
      <xdr:nvGrpSpPr>
        <xdr:cNvPr id="6" name="Group 39">
          <a:extLst>
            <a:ext uri="{FF2B5EF4-FFF2-40B4-BE49-F238E27FC236}">
              <a16:creationId xmlns:a16="http://schemas.microsoft.com/office/drawing/2014/main" id="{178B8CF2-C9E9-42AC-912B-DAA306E13282}"/>
            </a:ext>
          </a:extLst>
        </xdr:cNvPr>
        <xdr:cNvGrpSpPr>
          <a:grpSpLocks/>
        </xdr:cNvGrpSpPr>
      </xdr:nvGrpSpPr>
      <xdr:grpSpPr bwMode="auto">
        <a:xfrm>
          <a:off x="3387090" y="4602480"/>
          <a:ext cx="243840" cy="160020"/>
          <a:chOff x="334" y="483"/>
          <a:chExt cx="25" cy="17"/>
        </a:xfrm>
      </xdr:grpSpPr>
      <xdr:sp macro="" textlink="">
        <xdr:nvSpPr>
          <xdr:cNvPr id="7" name="Line 13">
            <a:extLst>
              <a:ext uri="{FF2B5EF4-FFF2-40B4-BE49-F238E27FC236}">
                <a16:creationId xmlns:a16="http://schemas.microsoft.com/office/drawing/2014/main" id="{33209AFC-433A-C630-93EE-3703AD55DC68}"/>
              </a:ext>
            </a:extLst>
          </xdr:cNvPr>
          <xdr:cNvSpPr>
            <a:spLocks noChangeShapeType="1"/>
          </xdr:cNvSpPr>
        </xdr:nvSpPr>
        <xdr:spPr bwMode="auto">
          <a:xfrm>
            <a:off x="344" y="483"/>
            <a:ext cx="1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>
            <a:extLst>
              <a:ext uri="{FF2B5EF4-FFF2-40B4-BE49-F238E27FC236}">
                <a16:creationId xmlns:a16="http://schemas.microsoft.com/office/drawing/2014/main" id="{7A9E5CE4-63FF-FA3E-4CE0-51C57D3C2BF0}"/>
              </a:ext>
            </a:extLst>
          </xdr:cNvPr>
          <xdr:cNvSpPr>
            <a:spLocks noChangeShapeType="1"/>
          </xdr:cNvSpPr>
        </xdr:nvSpPr>
        <xdr:spPr bwMode="auto">
          <a:xfrm flipH="1">
            <a:off x="335" y="484"/>
            <a:ext cx="9" cy="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5">
            <a:extLst>
              <a:ext uri="{FF2B5EF4-FFF2-40B4-BE49-F238E27FC236}">
                <a16:creationId xmlns:a16="http://schemas.microsoft.com/office/drawing/2014/main" id="{45E3DBCA-B7FA-E31A-C923-5D229568D2E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34" y="493"/>
            <a:ext cx="1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40</xdr:row>
      <xdr:rowOff>15240</xdr:rowOff>
    </xdr:from>
    <xdr:to>
      <xdr:col>12</xdr:col>
      <xdr:colOff>914400</xdr:colOff>
      <xdr:row>56</xdr:row>
      <xdr:rowOff>7620</xdr:rowOff>
    </xdr:to>
    <xdr:graphicFrame macro="">
      <xdr:nvGraphicFramePr>
        <xdr:cNvPr id="10" name="Chart 16">
          <a:extLst>
            <a:ext uri="{FF2B5EF4-FFF2-40B4-BE49-F238E27FC236}">
              <a16:creationId xmlns:a16="http://schemas.microsoft.com/office/drawing/2014/main" id="{E3D0556A-B473-4DEE-8BFF-98FDF6C4CE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104</xdr:row>
      <xdr:rowOff>15240</xdr:rowOff>
    </xdr:from>
    <xdr:to>
      <xdr:col>12</xdr:col>
      <xdr:colOff>914400</xdr:colOff>
      <xdr:row>120</xdr:row>
      <xdr:rowOff>7620</xdr:rowOff>
    </xdr:to>
    <xdr:graphicFrame macro="">
      <xdr:nvGraphicFramePr>
        <xdr:cNvPr id="11" name="Chart 24">
          <a:extLst>
            <a:ext uri="{FF2B5EF4-FFF2-40B4-BE49-F238E27FC236}">
              <a16:creationId xmlns:a16="http://schemas.microsoft.com/office/drawing/2014/main" id="{D052A3EB-C160-42A9-AA90-CD0672F813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168</xdr:row>
      <xdr:rowOff>15240</xdr:rowOff>
    </xdr:from>
    <xdr:to>
      <xdr:col>12</xdr:col>
      <xdr:colOff>914400</xdr:colOff>
      <xdr:row>184</xdr:row>
      <xdr:rowOff>7620</xdr:rowOff>
    </xdr:to>
    <xdr:graphicFrame macro="">
      <xdr:nvGraphicFramePr>
        <xdr:cNvPr id="12" name="Chart 31">
          <a:extLst>
            <a:ext uri="{FF2B5EF4-FFF2-40B4-BE49-F238E27FC236}">
              <a16:creationId xmlns:a16="http://schemas.microsoft.com/office/drawing/2014/main" id="{DEF70F11-D645-4E99-A9BD-227A02D70C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45720</xdr:colOff>
      <xdr:row>56</xdr:row>
      <xdr:rowOff>190500</xdr:rowOff>
    </xdr:from>
    <xdr:to>
      <xdr:col>3</xdr:col>
      <xdr:colOff>525780</xdr:colOff>
      <xdr:row>57</xdr:row>
      <xdr:rowOff>182880</xdr:rowOff>
    </xdr:to>
    <xdr:grpSp>
      <xdr:nvGrpSpPr>
        <xdr:cNvPr id="13" name="Group 38">
          <a:extLst>
            <a:ext uri="{FF2B5EF4-FFF2-40B4-BE49-F238E27FC236}">
              <a16:creationId xmlns:a16="http://schemas.microsoft.com/office/drawing/2014/main" id="{E204578C-953D-4767-B8B8-CAE4A84CB0A7}"/>
            </a:ext>
          </a:extLst>
        </xdr:cNvPr>
        <xdr:cNvGrpSpPr>
          <a:grpSpLocks/>
        </xdr:cNvGrpSpPr>
      </xdr:nvGrpSpPr>
      <xdr:grpSpPr bwMode="auto">
        <a:xfrm>
          <a:off x="1398270" y="11887200"/>
          <a:ext cx="480060" cy="201930"/>
          <a:chOff x="147" y="1248"/>
          <a:chExt cx="49" cy="21"/>
        </a:xfrm>
      </xdr:grpSpPr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770F9DF2-1A08-BCE6-0912-804179E147F8}"/>
              </a:ext>
            </a:extLst>
          </xdr:cNvPr>
          <xdr:cNvSpPr>
            <a:spLocks noChangeShapeType="1"/>
          </xdr:cNvSpPr>
        </xdr:nvSpPr>
        <xdr:spPr bwMode="auto">
          <a:xfrm>
            <a:off x="167" y="1248"/>
            <a:ext cx="2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40550114-8AFD-6A0C-0E49-5844074F2270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1248"/>
            <a:ext cx="18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8948247A-56D5-8748-4A77-D209F811076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1258"/>
            <a:ext cx="2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167640</xdr:colOff>
      <xdr:row>86</xdr:row>
      <xdr:rowOff>30480</xdr:rowOff>
    </xdr:from>
    <xdr:to>
      <xdr:col>6</xdr:col>
      <xdr:colOff>411480</xdr:colOff>
      <xdr:row>86</xdr:row>
      <xdr:rowOff>190500</xdr:rowOff>
    </xdr:to>
    <xdr:grpSp>
      <xdr:nvGrpSpPr>
        <xdr:cNvPr id="17" name="Group 41">
          <a:extLst>
            <a:ext uri="{FF2B5EF4-FFF2-40B4-BE49-F238E27FC236}">
              <a16:creationId xmlns:a16="http://schemas.microsoft.com/office/drawing/2014/main" id="{84F599E8-5143-401D-B7C0-29C8BFD0D61E}"/>
            </a:ext>
          </a:extLst>
        </xdr:cNvPr>
        <xdr:cNvGrpSpPr>
          <a:grpSpLocks/>
        </xdr:cNvGrpSpPr>
      </xdr:nvGrpSpPr>
      <xdr:grpSpPr bwMode="auto">
        <a:xfrm>
          <a:off x="3387090" y="17975580"/>
          <a:ext cx="243840" cy="160020"/>
          <a:chOff x="334" y="483"/>
          <a:chExt cx="25" cy="17"/>
        </a:xfrm>
      </xdr:grpSpPr>
      <xdr:sp macro="" textlink="">
        <xdr:nvSpPr>
          <xdr:cNvPr id="18" name="Line 42">
            <a:extLst>
              <a:ext uri="{FF2B5EF4-FFF2-40B4-BE49-F238E27FC236}">
                <a16:creationId xmlns:a16="http://schemas.microsoft.com/office/drawing/2014/main" id="{D8201D60-7FC9-01A2-0488-3A5E03A4876B}"/>
              </a:ext>
            </a:extLst>
          </xdr:cNvPr>
          <xdr:cNvSpPr>
            <a:spLocks noChangeShapeType="1"/>
          </xdr:cNvSpPr>
        </xdr:nvSpPr>
        <xdr:spPr bwMode="auto">
          <a:xfrm>
            <a:off x="344" y="483"/>
            <a:ext cx="1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3">
            <a:extLst>
              <a:ext uri="{FF2B5EF4-FFF2-40B4-BE49-F238E27FC236}">
                <a16:creationId xmlns:a16="http://schemas.microsoft.com/office/drawing/2014/main" id="{78A75BB6-A023-CC9E-5987-71161157B5AB}"/>
              </a:ext>
            </a:extLst>
          </xdr:cNvPr>
          <xdr:cNvSpPr>
            <a:spLocks noChangeShapeType="1"/>
          </xdr:cNvSpPr>
        </xdr:nvSpPr>
        <xdr:spPr bwMode="auto">
          <a:xfrm flipH="1">
            <a:off x="335" y="484"/>
            <a:ext cx="9" cy="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4">
            <a:extLst>
              <a:ext uri="{FF2B5EF4-FFF2-40B4-BE49-F238E27FC236}">
                <a16:creationId xmlns:a16="http://schemas.microsoft.com/office/drawing/2014/main" id="{98AD5187-A143-73DB-132D-D1FE4F95D11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34" y="493"/>
            <a:ext cx="1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45720</xdr:colOff>
      <xdr:row>121</xdr:row>
      <xdr:rowOff>0</xdr:rowOff>
    </xdr:from>
    <xdr:to>
      <xdr:col>3</xdr:col>
      <xdr:colOff>525780</xdr:colOff>
      <xdr:row>121</xdr:row>
      <xdr:rowOff>198120</xdr:rowOff>
    </xdr:to>
    <xdr:grpSp>
      <xdr:nvGrpSpPr>
        <xdr:cNvPr id="21" name="Group 45">
          <a:extLst>
            <a:ext uri="{FF2B5EF4-FFF2-40B4-BE49-F238E27FC236}">
              <a16:creationId xmlns:a16="http://schemas.microsoft.com/office/drawing/2014/main" id="{FD12B895-6EF8-49B6-837B-B6EA4C2CA38F}"/>
            </a:ext>
          </a:extLst>
        </xdr:cNvPr>
        <xdr:cNvGrpSpPr>
          <a:grpSpLocks/>
        </xdr:cNvGrpSpPr>
      </xdr:nvGrpSpPr>
      <xdr:grpSpPr bwMode="auto">
        <a:xfrm>
          <a:off x="1398270" y="25279350"/>
          <a:ext cx="480060" cy="198120"/>
          <a:chOff x="147" y="1248"/>
          <a:chExt cx="49" cy="21"/>
        </a:xfrm>
      </xdr:grpSpPr>
      <xdr:sp macro="" textlink="">
        <xdr:nvSpPr>
          <xdr:cNvPr id="22" name="Line 46">
            <a:extLst>
              <a:ext uri="{FF2B5EF4-FFF2-40B4-BE49-F238E27FC236}">
                <a16:creationId xmlns:a16="http://schemas.microsoft.com/office/drawing/2014/main" id="{43D3ECD3-86C4-C30E-829A-D9DE5FB4E12F}"/>
              </a:ext>
            </a:extLst>
          </xdr:cNvPr>
          <xdr:cNvSpPr>
            <a:spLocks noChangeShapeType="1"/>
          </xdr:cNvSpPr>
        </xdr:nvSpPr>
        <xdr:spPr bwMode="auto">
          <a:xfrm>
            <a:off x="167" y="1248"/>
            <a:ext cx="2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">
            <a:extLst>
              <a:ext uri="{FF2B5EF4-FFF2-40B4-BE49-F238E27FC236}">
                <a16:creationId xmlns:a16="http://schemas.microsoft.com/office/drawing/2014/main" id="{0E609A95-51EF-D665-524E-B5DF2D1A2BD8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1248"/>
            <a:ext cx="18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8">
            <a:extLst>
              <a:ext uri="{FF2B5EF4-FFF2-40B4-BE49-F238E27FC236}">
                <a16:creationId xmlns:a16="http://schemas.microsoft.com/office/drawing/2014/main" id="{56ECF8CB-30DB-BCC3-C6D9-2A008C618C3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1258"/>
            <a:ext cx="2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167640</xdr:colOff>
      <xdr:row>150</xdr:row>
      <xdr:rowOff>30480</xdr:rowOff>
    </xdr:from>
    <xdr:to>
      <xdr:col>6</xdr:col>
      <xdr:colOff>411480</xdr:colOff>
      <xdr:row>150</xdr:row>
      <xdr:rowOff>190500</xdr:rowOff>
    </xdr:to>
    <xdr:grpSp>
      <xdr:nvGrpSpPr>
        <xdr:cNvPr id="25" name="Group 50">
          <a:extLst>
            <a:ext uri="{FF2B5EF4-FFF2-40B4-BE49-F238E27FC236}">
              <a16:creationId xmlns:a16="http://schemas.microsoft.com/office/drawing/2014/main" id="{1FB0F841-50F4-4CB4-9742-482CC06425CB}"/>
            </a:ext>
          </a:extLst>
        </xdr:cNvPr>
        <xdr:cNvGrpSpPr>
          <a:grpSpLocks/>
        </xdr:cNvGrpSpPr>
      </xdr:nvGrpSpPr>
      <xdr:grpSpPr bwMode="auto">
        <a:xfrm>
          <a:off x="3387090" y="31348680"/>
          <a:ext cx="243840" cy="160020"/>
          <a:chOff x="334" y="483"/>
          <a:chExt cx="25" cy="17"/>
        </a:xfrm>
      </xdr:grpSpPr>
      <xdr:sp macro="" textlink="">
        <xdr:nvSpPr>
          <xdr:cNvPr id="26" name="Line 51">
            <a:extLst>
              <a:ext uri="{FF2B5EF4-FFF2-40B4-BE49-F238E27FC236}">
                <a16:creationId xmlns:a16="http://schemas.microsoft.com/office/drawing/2014/main" id="{7DA54E21-AB73-4B0D-27D4-E5C85FBE9E21}"/>
              </a:ext>
            </a:extLst>
          </xdr:cNvPr>
          <xdr:cNvSpPr>
            <a:spLocks noChangeShapeType="1"/>
          </xdr:cNvSpPr>
        </xdr:nvSpPr>
        <xdr:spPr bwMode="auto">
          <a:xfrm>
            <a:off x="344" y="483"/>
            <a:ext cx="1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52">
            <a:extLst>
              <a:ext uri="{FF2B5EF4-FFF2-40B4-BE49-F238E27FC236}">
                <a16:creationId xmlns:a16="http://schemas.microsoft.com/office/drawing/2014/main" id="{D1B625E1-C33C-8C5A-F00E-CD8C984F6E39}"/>
              </a:ext>
            </a:extLst>
          </xdr:cNvPr>
          <xdr:cNvSpPr>
            <a:spLocks noChangeShapeType="1"/>
          </xdr:cNvSpPr>
        </xdr:nvSpPr>
        <xdr:spPr bwMode="auto">
          <a:xfrm flipH="1">
            <a:off x="335" y="484"/>
            <a:ext cx="9" cy="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53">
            <a:extLst>
              <a:ext uri="{FF2B5EF4-FFF2-40B4-BE49-F238E27FC236}">
                <a16:creationId xmlns:a16="http://schemas.microsoft.com/office/drawing/2014/main" id="{DFB18452-CD1D-7361-B0F8-FCB51893BC6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34" y="493"/>
            <a:ext cx="1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45720</xdr:colOff>
      <xdr:row>185</xdr:row>
      <xdr:rowOff>0</xdr:rowOff>
    </xdr:from>
    <xdr:to>
      <xdr:col>3</xdr:col>
      <xdr:colOff>525780</xdr:colOff>
      <xdr:row>185</xdr:row>
      <xdr:rowOff>198120</xdr:rowOff>
    </xdr:to>
    <xdr:grpSp>
      <xdr:nvGrpSpPr>
        <xdr:cNvPr id="29" name="Group 54">
          <a:extLst>
            <a:ext uri="{FF2B5EF4-FFF2-40B4-BE49-F238E27FC236}">
              <a16:creationId xmlns:a16="http://schemas.microsoft.com/office/drawing/2014/main" id="{42E058E9-AFE2-49C5-A4D7-FB0535321D92}"/>
            </a:ext>
          </a:extLst>
        </xdr:cNvPr>
        <xdr:cNvGrpSpPr>
          <a:grpSpLocks/>
        </xdr:cNvGrpSpPr>
      </xdr:nvGrpSpPr>
      <xdr:grpSpPr bwMode="auto">
        <a:xfrm>
          <a:off x="1398270" y="38652450"/>
          <a:ext cx="480060" cy="198120"/>
          <a:chOff x="147" y="1248"/>
          <a:chExt cx="49" cy="21"/>
        </a:xfrm>
      </xdr:grpSpPr>
      <xdr:sp macro="" textlink="">
        <xdr:nvSpPr>
          <xdr:cNvPr id="30" name="Line 55">
            <a:extLst>
              <a:ext uri="{FF2B5EF4-FFF2-40B4-BE49-F238E27FC236}">
                <a16:creationId xmlns:a16="http://schemas.microsoft.com/office/drawing/2014/main" id="{AA519D48-3EE1-3487-78B2-2DB939E6ECA1}"/>
              </a:ext>
            </a:extLst>
          </xdr:cNvPr>
          <xdr:cNvSpPr>
            <a:spLocks noChangeShapeType="1"/>
          </xdr:cNvSpPr>
        </xdr:nvSpPr>
        <xdr:spPr bwMode="auto">
          <a:xfrm>
            <a:off x="167" y="1248"/>
            <a:ext cx="2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6">
            <a:extLst>
              <a:ext uri="{FF2B5EF4-FFF2-40B4-BE49-F238E27FC236}">
                <a16:creationId xmlns:a16="http://schemas.microsoft.com/office/drawing/2014/main" id="{DA42A3F2-5E85-B16D-4FE8-7A86C39448B2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1248"/>
            <a:ext cx="18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57">
            <a:extLst>
              <a:ext uri="{FF2B5EF4-FFF2-40B4-BE49-F238E27FC236}">
                <a16:creationId xmlns:a16="http://schemas.microsoft.com/office/drawing/2014/main" id="{2CFFAE55-6225-3E9D-EED1-4C6D01A6C678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1258"/>
            <a:ext cx="2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63</xdr:row>
      <xdr:rowOff>0</xdr:rowOff>
    </xdr:from>
    <xdr:to>
      <xdr:col>1</xdr:col>
      <xdr:colOff>7620</xdr:colOff>
      <xdr:row>63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CA5E9289-E030-4ACD-AA7D-15747833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01275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793B002C-030E-4B2D-ACBD-2D972E0D6D7F}"/>
            </a:ext>
          </a:extLst>
        </xdr:cNvPr>
        <xdr:cNvSpPr>
          <a:spLocks noChangeArrowheads="1"/>
        </xdr:cNvSpPr>
      </xdr:nvSpPr>
      <xdr:spPr bwMode="auto">
        <a:xfrm>
          <a:off x="0" y="10201275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63</xdr:row>
      <xdr:rowOff>0</xdr:rowOff>
    </xdr:from>
    <xdr:to>
      <xdr:col>1</xdr:col>
      <xdr:colOff>7620</xdr:colOff>
      <xdr:row>63</xdr:row>
      <xdr:rowOff>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D1C4631D-13F0-4F78-A6F3-0DC69DEB3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0201275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5F63364C-17DD-4D4F-8DB2-599F50AB2113}"/>
            </a:ext>
          </a:extLst>
        </xdr:cNvPr>
        <xdr:cNvSpPr>
          <a:spLocks noChangeArrowheads="1"/>
        </xdr:cNvSpPr>
      </xdr:nvSpPr>
      <xdr:spPr bwMode="auto">
        <a:xfrm>
          <a:off x="0" y="10201275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7620</xdr:colOff>
      <xdr:row>129</xdr:row>
      <xdr:rowOff>0</xdr:rowOff>
    </xdr:to>
    <xdr:pic>
      <xdr:nvPicPr>
        <xdr:cNvPr id="6" name="Picture 13">
          <a:extLst>
            <a:ext uri="{FF2B5EF4-FFF2-40B4-BE49-F238E27FC236}">
              <a16:creationId xmlns:a16="http://schemas.microsoft.com/office/drawing/2014/main" id="{296C6533-F60E-45D6-8630-34290C073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88325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7620</xdr:colOff>
      <xdr:row>129</xdr:row>
      <xdr:rowOff>0</xdr:rowOff>
    </xdr:to>
    <xdr:pic>
      <xdr:nvPicPr>
        <xdr:cNvPr id="7" name="Picture 15">
          <a:extLst>
            <a:ext uri="{FF2B5EF4-FFF2-40B4-BE49-F238E27FC236}">
              <a16:creationId xmlns:a16="http://schemas.microsoft.com/office/drawing/2014/main" id="{0B96B69B-8E73-4319-9C3B-67A81C8A7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888325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7620</xdr:colOff>
      <xdr:row>197</xdr:row>
      <xdr:rowOff>0</xdr:rowOff>
    </xdr:to>
    <xdr:pic>
      <xdr:nvPicPr>
        <xdr:cNvPr id="8" name="Picture 13">
          <a:extLst>
            <a:ext uri="{FF2B5EF4-FFF2-40B4-BE49-F238E27FC236}">
              <a16:creationId xmlns:a16="http://schemas.microsoft.com/office/drawing/2014/main" id="{0FD8F35F-2584-460A-AD8C-2993C1314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899225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7620</xdr:colOff>
      <xdr:row>197</xdr:row>
      <xdr:rowOff>0</xdr:rowOff>
    </xdr:to>
    <xdr:pic>
      <xdr:nvPicPr>
        <xdr:cNvPr id="9" name="Picture 15">
          <a:extLst>
            <a:ext uri="{FF2B5EF4-FFF2-40B4-BE49-F238E27FC236}">
              <a16:creationId xmlns:a16="http://schemas.microsoft.com/office/drawing/2014/main" id="{78A08C9D-1BB1-4656-9B4C-AC71E320B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1899225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oneCellAnchor>
    <xdr:from>
      <xdr:col>1</xdr:col>
      <xdr:colOff>424815</xdr:colOff>
      <xdr:row>1</xdr:row>
      <xdr:rowOff>28575</xdr:rowOff>
    </xdr:from>
    <xdr:ext cx="744371" cy="162224"/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1BB73788-AE38-4A5C-933D-DAA9073C68B3}"/>
            </a:ext>
          </a:extLst>
        </xdr:cNvPr>
        <xdr:cNvSpPr>
          <a:spLocks noChangeArrowheads="1"/>
        </xdr:cNvSpPr>
      </xdr:nvSpPr>
      <xdr:spPr bwMode="auto">
        <a:xfrm>
          <a:off x="1034415" y="190500"/>
          <a:ext cx="744371" cy="16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</a:p>
      </xdr:txBody>
    </xdr:sp>
    <xdr:clientData/>
  </xdr:oneCellAnchor>
  <xdr:oneCellAnchor>
    <xdr:from>
      <xdr:col>1</xdr:col>
      <xdr:colOff>424815</xdr:colOff>
      <xdr:row>2</xdr:row>
      <xdr:rowOff>76200</xdr:rowOff>
    </xdr:from>
    <xdr:ext cx="313419" cy="162224"/>
    <xdr:sp macro="" textlink="">
      <xdr:nvSpPr>
        <xdr:cNvPr id="11" name="Rectangle 23">
          <a:extLst>
            <a:ext uri="{FF2B5EF4-FFF2-40B4-BE49-F238E27FC236}">
              <a16:creationId xmlns:a16="http://schemas.microsoft.com/office/drawing/2014/main" id="{0F3F13B9-0C46-4DC3-9D7A-C48EE92886F3}"/>
            </a:ext>
          </a:extLst>
        </xdr:cNvPr>
        <xdr:cNvSpPr>
          <a:spLocks noChangeArrowheads="1"/>
        </xdr:cNvSpPr>
      </xdr:nvSpPr>
      <xdr:spPr bwMode="auto">
        <a:xfrm>
          <a:off x="1034415" y="400050"/>
          <a:ext cx="313419" cy="16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</xdr:txBody>
    </xdr:sp>
    <xdr:clientData/>
  </xdr:oneCellAnchor>
  <xdr:oneCellAnchor>
    <xdr:from>
      <xdr:col>5</xdr:col>
      <xdr:colOff>66675</xdr:colOff>
      <xdr:row>1</xdr:row>
      <xdr:rowOff>171450</xdr:rowOff>
    </xdr:from>
    <xdr:ext cx="60914" cy="328744"/>
    <xdr:sp macro="" textlink="">
      <xdr:nvSpPr>
        <xdr:cNvPr id="12" name="Rectangle 25">
          <a:extLst>
            <a:ext uri="{FF2B5EF4-FFF2-40B4-BE49-F238E27FC236}">
              <a16:creationId xmlns:a16="http://schemas.microsoft.com/office/drawing/2014/main" id="{564204E5-18D4-4EC6-BED1-5D81F3ED3BD3}"/>
            </a:ext>
          </a:extLst>
        </xdr:cNvPr>
        <xdr:cNvSpPr>
          <a:spLocks noChangeArrowheads="1"/>
        </xdr:cNvSpPr>
      </xdr:nvSpPr>
      <xdr:spPr bwMode="auto">
        <a:xfrm>
          <a:off x="3114675" y="323850"/>
          <a:ext cx="60914" cy="328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2100" b="0" i="0" u="none" strike="noStrike" baseline="0">
              <a:solidFill>
                <a:srgbClr val="000000"/>
              </a:solidFill>
              <a:latin typeface="Benguiat Frisky ATT"/>
            </a:rPr>
            <a:t> </a:t>
          </a:r>
        </a:p>
      </xdr:txBody>
    </xdr:sp>
    <xdr:clientData/>
  </xdr:oneCellAnchor>
  <xdr:oneCellAnchor>
    <xdr:from>
      <xdr:col>6</xdr:col>
      <xdr:colOff>617220</xdr:colOff>
      <xdr:row>2</xdr:row>
      <xdr:rowOff>0</xdr:rowOff>
    </xdr:from>
    <xdr:ext cx="0" cy="232410"/>
    <xdr:sp macro="" textlink="">
      <xdr:nvSpPr>
        <xdr:cNvPr id="13" name="Rectangle 27">
          <a:extLst>
            <a:ext uri="{FF2B5EF4-FFF2-40B4-BE49-F238E27FC236}">
              <a16:creationId xmlns:a16="http://schemas.microsoft.com/office/drawing/2014/main" id="{8FDBF4DD-AE18-4FB9-BCD4-4D53D9163D25}"/>
            </a:ext>
          </a:extLst>
        </xdr:cNvPr>
        <xdr:cNvSpPr>
          <a:spLocks noChangeArrowheads="1"/>
        </xdr:cNvSpPr>
      </xdr:nvSpPr>
      <xdr:spPr bwMode="auto">
        <a:xfrm>
          <a:off x="4265295" y="323850"/>
          <a:ext cx="0" cy="232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424815</xdr:colOff>
      <xdr:row>3</xdr:row>
      <xdr:rowOff>0</xdr:rowOff>
    </xdr:from>
    <xdr:ext cx="301621" cy="203517"/>
    <xdr:sp macro="" textlink="">
      <xdr:nvSpPr>
        <xdr:cNvPr id="14" name="Rectangle 28">
          <a:extLst>
            <a:ext uri="{FF2B5EF4-FFF2-40B4-BE49-F238E27FC236}">
              <a16:creationId xmlns:a16="http://schemas.microsoft.com/office/drawing/2014/main" id="{58C8C8D1-277B-47D4-BE5F-CFAC441A744F}"/>
            </a:ext>
          </a:extLst>
        </xdr:cNvPr>
        <xdr:cNvSpPr>
          <a:spLocks noChangeArrowheads="1"/>
        </xdr:cNvSpPr>
      </xdr:nvSpPr>
      <xdr:spPr bwMode="auto">
        <a:xfrm>
          <a:off x="1034415" y="485775"/>
          <a:ext cx="301621" cy="2035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300" b="0" i="0" u="none" strike="noStrike" baseline="0">
              <a:solidFill>
                <a:srgbClr val="FF0000"/>
              </a:solidFill>
              <a:latin typeface="Benguiat Frisky ATT"/>
            </a:rPr>
            <a:t>        </a:t>
          </a:r>
        </a:p>
      </xdr:txBody>
    </xdr:sp>
    <xdr:clientData/>
  </xdr:oneCellAnchor>
  <xdr:oneCellAnchor>
    <xdr:from>
      <xdr:col>0</xdr:col>
      <xdr:colOff>0</xdr:colOff>
      <xdr:row>3</xdr:row>
      <xdr:rowOff>171450</xdr:rowOff>
    </xdr:from>
    <xdr:ext cx="74829" cy="103233"/>
    <xdr:sp macro="" textlink="">
      <xdr:nvSpPr>
        <xdr:cNvPr id="15" name="Rectangle 30">
          <a:extLst>
            <a:ext uri="{FF2B5EF4-FFF2-40B4-BE49-F238E27FC236}">
              <a16:creationId xmlns:a16="http://schemas.microsoft.com/office/drawing/2014/main" id="{0095A37F-5564-4B8C-AB8F-23AD1F24F062}"/>
            </a:ext>
          </a:extLst>
        </xdr:cNvPr>
        <xdr:cNvSpPr>
          <a:spLocks noChangeArrowheads="1"/>
        </xdr:cNvSpPr>
      </xdr:nvSpPr>
      <xdr:spPr bwMode="auto">
        <a:xfrm>
          <a:off x="0" y="647700"/>
          <a:ext cx="74829" cy="103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700" b="0" i="1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</a:p>
      </xdr:txBody>
    </xdr:sp>
    <xdr:clientData/>
  </xdr:oneCellAnchor>
  <xdr:oneCellAnchor>
    <xdr:from>
      <xdr:col>0</xdr:col>
      <xdr:colOff>0</xdr:colOff>
      <xdr:row>1</xdr:row>
      <xdr:rowOff>60960</xdr:rowOff>
    </xdr:from>
    <xdr:ext cx="4289541" cy="670906"/>
    <xdr:pic>
      <xdr:nvPicPr>
        <xdr:cNvPr id="16" name="Picture 15">
          <a:extLst>
            <a:ext uri="{FF2B5EF4-FFF2-40B4-BE49-F238E27FC236}">
              <a16:creationId xmlns:a16="http://schemas.microsoft.com/office/drawing/2014/main" id="{789EEDDA-302E-49AA-AF99-802F1A318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0" y="222885"/>
          <a:ext cx="4289541" cy="670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68</xdr:row>
      <xdr:rowOff>30480</xdr:rowOff>
    </xdr:from>
    <xdr:ext cx="4289541" cy="758190"/>
    <xdr:pic>
      <xdr:nvPicPr>
        <xdr:cNvPr id="17" name="Picture 16">
          <a:extLst>
            <a:ext uri="{FF2B5EF4-FFF2-40B4-BE49-F238E27FC236}">
              <a16:creationId xmlns:a16="http://schemas.microsoft.com/office/drawing/2014/main" id="{9FD1C2C2-1A61-430D-8B74-F91C42F92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0" y="11041380"/>
          <a:ext cx="4289541" cy="758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</xdr:colOff>
      <xdr:row>135</xdr:row>
      <xdr:rowOff>45720</xdr:rowOff>
    </xdr:from>
    <xdr:ext cx="4289541" cy="735330"/>
    <xdr:pic>
      <xdr:nvPicPr>
        <xdr:cNvPr id="18" name="Picture 17">
          <a:extLst>
            <a:ext uri="{FF2B5EF4-FFF2-40B4-BE49-F238E27FC236}">
              <a16:creationId xmlns:a16="http://schemas.microsoft.com/office/drawing/2014/main" id="{0A476DC2-D3F8-443D-919C-AC273F8FF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7620" y="21905595"/>
          <a:ext cx="4289541" cy="735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77</xdr:row>
      <xdr:rowOff>0</xdr:rowOff>
    </xdr:from>
    <xdr:to>
      <xdr:col>3</xdr:col>
      <xdr:colOff>7620</xdr:colOff>
      <xdr:row>77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5E8ABACC-C737-486B-88FB-060407E03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301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081B4749-04F9-48BF-B15C-4DCA45DCBBE2}"/>
            </a:ext>
          </a:extLst>
        </xdr:cNvPr>
        <xdr:cNvSpPr>
          <a:spLocks noChangeArrowheads="1"/>
        </xdr:cNvSpPr>
      </xdr:nvSpPr>
      <xdr:spPr bwMode="auto">
        <a:xfrm>
          <a:off x="1219200" y="126301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77</xdr:row>
      <xdr:rowOff>0</xdr:rowOff>
    </xdr:from>
    <xdr:to>
      <xdr:col>3</xdr:col>
      <xdr:colOff>7620</xdr:colOff>
      <xdr:row>77</xdr:row>
      <xdr:rowOff>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239FB85B-B7C7-4140-A1B9-515E7F164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6301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E7565465-849D-4491-A877-10E7DBB65565}"/>
            </a:ext>
          </a:extLst>
        </xdr:cNvPr>
        <xdr:cNvSpPr>
          <a:spLocks noChangeArrowheads="1"/>
        </xdr:cNvSpPr>
      </xdr:nvSpPr>
      <xdr:spPr bwMode="auto">
        <a:xfrm>
          <a:off x="1219200" y="126301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217298</xdr:colOff>
      <xdr:row>19</xdr:row>
      <xdr:rowOff>12383</xdr:rowOff>
    </xdr:from>
    <xdr:to>
      <xdr:col>12</xdr:col>
      <xdr:colOff>613538</xdr:colOff>
      <xdr:row>50</xdr:row>
      <xdr:rowOff>4762</xdr:rowOff>
    </xdr:to>
    <xdr:graphicFrame macro="">
      <xdr:nvGraphicFramePr>
        <xdr:cNvPr id="6" name="Chart 7">
          <a:extLst>
            <a:ext uri="{FF2B5EF4-FFF2-40B4-BE49-F238E27FC236}">
              <a16:creationId xmlns:a16="http://schemas.microsoft.com/office/drawing/2014/main" id="{B7A1768D-8AFD-401E-9944-FF3EB4BD20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3</xdr:col>
      <xdr:colOff>238125</xdr:colOff>
      <xdr:row>29</xdr:row>
      <xdr:rowOff>232231</xdr:rowOff>
    </xdr:from>
    <xdr:to>
      <xdr:col>12</xdr:col>
      <xdr:colOff>459241</xdr:colOff>
      <xdr:row>39</xdr:row>
      <xdr:rowOff>22679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6B511C78-32A6-4C15-B870-1F56CEB44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3</xdr:col>
      <xdr:colOff>228600</xdr:colOff>
      <xdr:row>38</xdr:row>
      <xdr:rowOff>244703</xdr:rowOff>
    </xdr:from>
    <xdr:to>
      <xdr:col>12</xdr:col>
      <xdr:colOff>430326</xdr:colOff>
      <xdr:row>49</xdr:row>
      <xdr:rowOff>177121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F6F4CF72-B8BD-410B-AFC7-4FE5F7696B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3</xdr:col>
      <xdr:colOff>152048</xdr:colOff>
      <xdr:row>50</xdr:row>
      <xdr:rowOff>77180</xdr:rowOff>
    </xdr:from>
    <xdr:to>
      <xdr:col>12</xdr:col>
      <xdr:colOff>589835</xdr:colOff>
      <xdr:row>65</xdr:row>
      <xdr:rowOff>111198</xdr:rowOff>
    </xdr:to>
    <xdr:graphicFrame macro="">
      <xdr:nvGraphicFramePr>
        <xdr:cNvPr id="9" name="Chart 30">
          <a:extLst>
            <a:ext uri="{FF2B5EF4-FFF2-40B4-BE49-F238E27FC236}">
              <a16:creationId xmlns:a16="http://schemas.microsoft.com/office/drawing/2014/main" id="{B265312B-C6E6-408C-8C8B-91EB7643D1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>
    <xdr:from>
      <xdr:col>11</xdr:col>
      <xdr:colOff>84947</xdr:colOff>
      <xdr:row>23</xdr:row>
      <xdr:rowOff>7056</xdr:rowOff>
    </xdr:from>
    <xdr:to>
      <xdr:col>11</xdr:col>
      <xdr:colOff>223740</xdr:colOff>
      <xdr:row>23</xdr:row>
      <xdr:rowOff>177276</xdr:rowOff>
    </xdr:to>
    <xdr:sp macro="" textlink="">
      <xdr:nvSpPr>
        <xdr:cNvPr id="10" name="Text Box 45">
          <a:extLst>
            <a:ext uri="{FF2B5EF4-FFF2-40B4-BE49-F238E27FC236}">
              <a16:creationId xmlns:a16="http://schemas.microsoft.com/office/drawing/2014/main" id="{101F70AA-CB65-49C1-B107-6BFAEC4C5D0F}"/>
            </a:ext>
          </a:extLst>
        </xdr:cNvPr>
        <xdr:cNvSpPr txBox="1">
          <a:spLocks noChangeArrowheads="1"/>
        </xdr:cNvSpPr>
      </xdr:nvSpPr>
      <xdr:spPr bwMode="auto">
        <a:xfrm>
          <a:off x="6790547" y="3893256"/>
          <a:ext cx="138793" cy="151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8</xdr:col>
      <xdr:colOff>547015</xdr:colOff>
      <xdr:row>35</xdr:row>
      <xdr:rowOff>99187</xdr:rowOff>
    </xdr:from>
    <xdr:to>
      <xdr:col>8</xdr:col>
      <xdr:colOff>686846</xdr:colOff>
      <xdr:row>36</xdr:row>
      <xdr:rowOff>13903</xdr:rowOff>
    </xdr:to>
    <xdr:sp macro="" textlink="">
      <xdr:nvSpPr>
        <xdr:cNvPr id="11" name="Text Box 46">
          <a:extLst>
            <a:ext uri="{FF2B5EF4-FFF2-40B4-BE49-F238E27FC236}">
              <a16:creationId xmlns:a16="http://schemas.microsoft.com/office/drawing/2014/main" id="{FE2D555A-87AD-4767-9767-A6D0348A2BE7}"/>
            </a:ext>
          </a:extLst>
        </xdr:cNvPr>
        <xdr:cNvSpPr txBox="1">
          <a:spLocks noChangeArrowheads="1"/>
        </xdr:cNvSpPr>
      </xdr:nvSpPr>
      <xdr:spPr bwMode="auto">
        <a:xfrm>
          <a:off x="5423815" y="5928487"/>
          <a:ext cx="63631" cy="766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8</xdr:col>
      <xdr:colOff>542371</xdr:colOff>
      <xdr:row>42</xdr:row>
      <xdr:rowOff>230442</xdr:rowOff>
    </xdr:from>
    <xdr:to>
      <xdr:col>8</xdr:col>
      <xdr:colOff>725866</xdr:colOff>
      <xdr:row>43</xdr:row>
      <xdr:rowOff>182817</xdr:rowOff>
    </xdr:to>
    <xdr:sp macro="" textlink="">
      <xdr:nvSpPr>
        <xdr:cNvPr id="12" name="Text Box 47">
          <a:extLst>
            <a:ext uri="{FF2B5EF4-FFF2-40B4-BE49-F238E27FC236}">
              <a16:creationId xmlns:a16="http://schemas.microsoft.com/office/drawing/2014/main" id="{53B2DA1A-C962-481A-8B89-B38B2EAEEF27}"/>
            </a:ext>
          </a:extLst>
        </xdr:cNvPr>
        <xdr:cNvSpPr txBox="1">
          <a:spLocks noChangeArrowheads="1"/>
        </xdr:cNvSpPr>
      </xdr:nvSpPr>
      <xdr:spPr bwMode="auto">
        <a:xfrm>
          <a:off x="5419171" y="7126542"/>
          <a:ext cx="69195" cy="161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8</xdr:col>
      <xdr:colOff>541350</xdr:colOff>
      <xdr:row>21</xdr:row>
      <xdr:rowOff>216386</xdr:rowOff>
    </xdr:from>
    <xdr:to>
      <xdr:col>8</xdr:col>
      <xdr:colOff>644764</xdr:colOff>
      <xdr:row>22</xdr:row>
      <xdr:rowOff>205045</xdr:rowOff>
    </xdr:to>
    <xdr:sp macro="" textlink="">
      <xdr:nvSpPr>
        <xdr:cNvPr id="13" name="Text Box 49">
          <a:extLst>
            <a:ext uri="{FF2B5EF4-FFF2-40B4-BE49-F238E27FC236}">
              <a16:creationId xmlns:a16="http://schemas.microsoft.com/office/drawing/2014/main" id="{4B571306-2D17-4759-B8FC-AFC9884468B5}"/>
            </a:ext>
          </a:extLst>
        </xdr:cNvPr>
        <xdr:cNvSpPr txBox="1">
          <a:spLocks noChangeArrowheads="1"/>
        </xdr:cNvSpPr>
      </xdr:nvSpPr>
      <xdr:spPr bwMode="auto">
        <a:xfrm>
          <a:off x="5418150" y="3721586"/>
          <a:ext cx="65314" cy="1601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</a:t>
          </a:r>
        </a:p>
      </xdr:txBody>
    </xdr:sp>
    <xdr:clientData/>
  </xdr:twoCellAnchor>
  <xdr:twoCellAnchor>
    <xdr:from>
      <xdr:col>11</xdr:col>
      <xdr:colOff>153890</xdr:colOff>
      <xdr:row>33</xdr:row>
      <xdr:rowOff>102568</xdr:rowOff>
    </xdr:from>
    <xdr:to>
      <xdr:col>11</xdr:col>
      <xdr:colOff>291717</xdr:colOff>
      <xdr:row>34</xdr:row>
      <xdr:rowOff>72181</xdr:rowOff>
    </xdr:to>
    <xdr:sp macro="" textlink="">
      <xdr:nvSpPr>
        <xdr:cNvPr id="14" name="Text Box 50">
          <a:extLst>
            <a:ext uri="{FF2B5EF4-FFF2-40B4-BE49-F238E27FC236}">
              <a16:creationId xmlns:a16="http://schemas.microsoft.com/office/drawing/2014/main" id="{A2D32206-EF2F-489D-8274-F0F916193755}"/>
            </a:ext>
          </a:extLst>
        </xdr:cNvPr>
        <xdr:cNvSpPr txBox="1">
          <a:spLocks noChangeArrowheads="1"/>
        </xdr:cNvSpPr>
      </xdr:nvSpPr>
      <xdr:spPr bwMode="auto">
        <a:xfrm>
          <a:off x="6859490" y="5608018"/>
          <a:ext cx="137827" cy="1315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11</xdr:col>
      <xdr:colOff>141424</xdr:colOff>
      <xdr:row>39</xdr:row>
      <xdr:rowOff>212653</xdr:rowOff>
    </xdr:from>
    <xdr:to>
      <xdr:col>11</xdr:col>
      <xdr:colOff>390240</xdr:colOff>
      <xdr:row>40</xdr:row>
      <xdr:rowOff>193604</xdr:rowOff>
    </xdr:to>
    <xdr:sp macro="" textlink="">
      <xdr:nvSpPr>
        <xdr:cNvPr id="15" name="Text Box 51">
          <a:extLst>
            <a:ext uri="{FF2B5EF4-FFF2-40B4-BE49-F238E27FC236}">
              <a16:creationId xmlns:a16="http://schemas.microsoft.com/office/drawing/2014/main" id="{924032EA-9BE7-4788-9865-2DAE8411CBB9}"/>
            </a:ext>
          </a:extLst>
        </xdr:cNvPr>
        <xdr:cNvSpPr txBox="1">
          <a:spLocks noChangeArrowheads="1"/>
        </xdr:cNvSpPr>
      </xdr:nvSpPr>
      <xdr:spPr bwMode="auto">
        <a:xfrm>
          <a:off x="6847024" y="6642028"/>
          <a:ext cx="248816" cy="1619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7</xdr:col>
      <xdr:colOff>219106</xdr:colOff>
      <xdr:row>44</xdr:row>
      <xdr:rowOff>178247</xdr:rowOff>
    </xdr:from>
    <xdr:to>
      <xdr:col>7</xdr:col>
      <xdr:colOff>356237</xdr:colOff>
      <xdr:row>45</xdr:row>
      <xdr:rowOff>92231</xdr:rowOff>
    </xdr:to>
    <xdr:sp macro="" textlink="">
      <xdr:nvSpPr>
        <xdr:cNvPr id="16" name="Text Box 52">
          <a:extLst>
            <a:ext uri="{FF2B5EF4-FFF2-40B4-BE49-F238E27FC236}">
              <a16:creationId xmlns:a16="http://schemas.microsoft.com/office/drawing/2014/main" id="{A2DC1225-B032-434E-90E2-AD5A249D6FB2}"/>
            </a:ext>
          </a:extLst>
        </xdr:cNvPr>
        <xdr:cNvSpPr txBox="1">
          <a:spLocks noChangeArrowheads="1"/>
        </xdr:cNvSpPr>
      </xdr:nvSpPr>
      <xdr:spPr bwMode="auto">
        <a:xfrm>
          <a:off x="4486306" y="7445822"/>
          <a:ext cx="137131" cy="949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7</xdr:col>
      <xdr:colOff>244286</xdr:colOff>
      <xdr:row>20</xdr:row>
      <xdr:rowOff>10770</xdr:rowOff>
    </xdr:from>
    <xdr:to>
      <xdr:col>7</xdr:col>
      <xdr:colOff>398639</xdr:colOff>
      <xdr:row>20</xdr:row>
      <xdr:rowOff>166100</xdr:rowOff>
    </xdr:to>
    <xdr:sp macro="" textlink="">
      <xdr:nvSpPr>
        <xdr:cNvPr id="17" name="Text Box 54">
          <a:extLst>
            <a:ext uri="{FF2B5EF4-FFF2-40B4-BE49-F238E27FC236}">
              <a16:creationId xmlns:a16="http://schemas.microsoft.com/office/drawing/2014/main" id="{DD4ECEAD-E170-465B-8592-B1921C15CF71}"/>
            </a:ext>
          </a:extLst>
        </xdr:cNvPr>
        <xdr:cNvSpPr txBox="1">
          <a:spLocks noChangeArrowheads="1"/>
        </xdr:cNvSpPr>
      </xdr:nvSpPr>
      <xdr:spPr bwMode="auto">
        <a:xfrm>
          <a:off x="4511486" y="3411195"/>
          <a:ext cx="154353" cy="155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7</xdr:col>
      <xdr:colOff>84451</xdr:colOff>
      <xdr:row>36</xdr:row>
      <xdr:rowOff>172221</xdr:rowOff>
    </xdr:from>
    <xdr:to>
      <xdr:col>7</xdr:col>
      <xdr:colOff>229381</xdr:colOff>
      <xdr:row>37</xdr:row>
      <xdr:rowOff>107508</xdr:rowOff>
    </xdr:to>
    <xdr:sp macro="" textlink="">
      <xdr:nvSpPr>
        <xdr:cNvPr id="18" name="Text Box 55">
          <a:extLst>
            <a:ext uri="{FF2B5EF4-FFF2-40B4-BE49-F238E27FC236}">
              <a16:creationId xmlns:a16="http://schemas.microsoft.com/office/drawing/2014/main" id="{992289AF-F226-4B1E-9DEB-B6BAD0667B85}"/>
            </a:ext>
          </a:extLst>
        </xdr:cNvPr>
        <xdr:cNvSpPr txBox="1">
          <a:spLocks noChangeArrowheads="1"/>
        </xdr:cNvSpPr>
      </xdr:nvSpPr>
      <xdr:spPr bwMode="auto">
        <a:xfrm>
          <a:off x="4351651" y="6153921"/>
          <a:ext cx="144930" cy="1067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14</xdr:col>
      <xdr:colOff>116611</xdr:colOff>
      <xdr:row>52</xdr:row>
      <xdr:rowOff>80689</xdr:rowOff>
    </xdr:from>
    <xdr:to>
      <xdr:col>17</xdr:col>
      <xdr:colOff>3027</xdr:colOff>
      <xdr:row>60</xdr:row>
      <xdr:rowOff>85725</xdr:rowOff>
    </xdr:to>
    <xdr:sp macro="" textlink="">
      <xdr:nvSpPr>
        <xdr:cNvPr id="20" name="Rectangle 33">
          <a:extLst>
            <a:ext uri="{FF2B5EF4-FFF2-40B4-BE49-F238E27FC236}">
              <a16:creationId xmlns:a16="http://schemas.microsoft.com/office/drawing/2014/main" id="{B2ED58B1-D749-49C7-972A-5807DA4C8C3F}"/>
            </a:ext>
          </a:extLst>
        </xdr:cNvPr>
        <xdr:cNvSpPr>
          <a:spLocks noChangeArrowheads="1"/>
        </xdr:cNvSpPr>
      </xdr:nvSpPr>
      <xdr:spPr bwMode="auto">
        <a:xfrm>
          <a:off x="7660411" y="12139339"/>
          <a:ext cx="1534241" cy="19862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133351</xdr:colOff>
      <xdr:row>1</xdr:row>
      <xdr:rowOff>87109</xdr:rowOff>
    </xdr:from>
    <xdr:to>
      <xdr:col>4</xdr:col>
      <xdr:colOff>1057275</xdr:colOff>
      <xdr:row>5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291A1DE-9269-43AC-A86D-333414730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1" y="220459"/>
          <a:ext cx="923924" cy="922541"/>
        </a:xfrm>
        <a:prstGeom prst="rect">
          <a:avLst/>
        </a:prstGeom>
      </xdr:spPr>
    </xdr:pic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</cdr:x>
      <cdr:y>0.11748</cdr:y>
    </cdr:from>
    <cdr:to>
      <cdr:x>0.03531</cdr:x>
      <cdr:y>0.18531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9">
              <a:extLst xmlns:a="http://schemas.openxmlformats.org/drawingml/2006/main">
                <a:ext uri="{FF2B5EF4-FFF2-40B4-BE49-F238E27FC236}">
                  <a16:creationId xmlns:a16="http://schemas.microsoft.com/office/drawing/2014/main" id="{0EE83649-4093-C347-A37E-C9BEAB167AEF}"/>
                </a:ext>
              </a:extLst>
            </cdr:cNvPr>
            <cdr:cNvSpPr txBox="1"/>
          </cdr:nvSpPr>
          <cdr:spPr>
            <a:xfrm xmlns:a="http://schemas.openxmlformats.org/drawingml/2006/main" rot="14292199">
              <a:off x="-166175" y="1067191"/>
              <a:ext cx="520224" cy="187873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f>
                      <m:fPr>
                        <m:type m:val="skw"/>
                        <m:ctrlPr>
                          <a:rPr lang="en-US" sz="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</m:t>
                            </m:r>
                          </m:e>
                          <m:sub>
                            <m:r>
                              <a:rPr lang="en-US" sz="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800" b="0" i="1" baseline="30000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</m:t>
                            </m:r>
                          </m:e>
                          <m:sub>
                            <m:r>
                              <a:rPr lang="en-US" sz="8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800" b="0" i="1" baseline="30000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800"/>
            </a:p>
          </cdr:txBody>
        </cdr:sp>
      </mc:Choice>
      <mc:Fallback xmlns="">
        <cdr:sp macro="" textlink="">
          <cdr:nvSpPr>
            <cdr:cNvPr id="2" name="TextBox 9">
              <a:extLst xmlns:a="http://schemas.openxmlformats.org/drawingml/2006/main">
                <a:ext uri="{FF2B5EF4-FFF2-40B4-BE49-F238E27FC236}">
                  <a16:creationId xmlns:a16="http://schemas.microsoft.com/office/drawing/2014/main" id="{0EE83649-4093-C347-A37E-C9BEAB167AEF}"/>
                </a:ext>
              </a:extLst>
            </cdr:cNvPr>
            <cdr:cNvSpPr txBox="1"/>
          </cdr:nvSpPr>
          <cdr:spPr>
            <a:xfrm xmlns:a="http://schemas.openxmlformats.org/drawingml/2006/main" rot="14292199">
              <a:off x="-166175" y="1067191"/>
              <a:ext cx="520224" cy="187873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sz="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𝜕_</a:t>
              </a:r>
              <a:r>
                <a:rPr lang="en-US" sz="800" b="0" i="0">
                  <a:latin typeface="Cambria Math" panose="02040503050406030204" pitchFamily="18" charset="0"/>
                </a:rPr>
                <a:t>1</a:t>
              </a:r>
              <a:r>
                <a:rPr lang="en-US" sz="800" b="0" i="0" baseline="30000">
                  <a:latin typeface="Cambria Math" panose="02040503050406030204" pitchFamily="18" charset="0"/>
                </a:rPr>
                <a:t>′⁄</a:t>
              </a:r>
              <a:r>
                <a:rPr lang="en-US" sz="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𝜕_</a:t>
              </a:r>
              <a:r>
                <a:rPr lang="en-US" sz="800" b="0" i="0">
                  <a:latin typeface="Cambria Math" panose="02040503050406030204" pitchFamily="18" charset="0"/>
                </a:rPr>
                <a:t>3</a:t>
              </a:r>
              <a:r>
                <a:rPr lang="en-US" sz="800" b="0" i="0" baseline="30000">
                  <a:latin typeface="Cambria Math" panose="02040503050406030204" pitchFamily="18" charset="0"/>
                </a:rPr>
                <a:t>′ </a:t>
              </a:r>
              <a:endParaRPr lang="en-US" sz="800"/>
            </a:p>
          </cdr:txBody>
        </cdr:sp>
      </mc:Fallback>
    </mc:AlternateContent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23150</xdr:colOff>
      <xdr:row>38</xdr:row>
      <xdr:rowOff>122369</xdr:rowOff>
    </xdr:from>
    <xdr:to>
      <xdr:col>26</xdr:col>
      <xdr:colOff>0</xdr:colOff>
      <xdr:row>52</xdr:row>
      <xdr:rowOff>79374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6F4C17-490A-4C66-83C2-AB592738D8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13228</xdr:colOff>
      <xdr:row>24</xdr:row>
      <xdr:rowOff>0</xdr:rowOff>
    </xdr:from>
    <xdr:to>
      <xdr:col>26</xdr:col>
      <xdr:colOff>13229</xdr:colOff>
      <xdr:row>38</xdr:row>
      <xdr:rowOff>13228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63654E-66DA-4FB8-BF4C-EC3B06FD73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19845</xdr:colOff>
      <xdr:row>53</xdr:row>
      <xdr:rowOff>19842</xdr:rowOff>
    </xdr:from>
    <xdr:to>
      <xdr:col>18</xdr:col>
      <xdr:colOff>310885</xdr:colOff>
      <xdr:row>65</xdr:row>
      <xdr:rowOff>175286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690EDF-1DED-4570-B437-929C5794E7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53975</xdr:colOff>
      <xdr:row>2</xdr:row>
      <xdr:rowOff>95249</xdr:rowOff>
    </xdr:from>
    <xdr:to>
      <xdr:col>6</xdr:col>
      <xdr:colOff>64285</xdr:colOff>
      <xdr:row>6</xdr:row>
      <xdr:rowOff>94223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45ACE5-2DE7-4A4F-92D7-2CFE73D76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525" y="285749"/>
          <a:ext cx="753260" cy="789549"/>
        </a:xfrm>
        <a:prstGeom prst="rect">
          <a:avLst/>
        </a:prstGeom>
      </xdr:spPr>
    </xdr:pic>
    <xdr:clientData/>
  </xdr:twoCellAnchor>
  <xdr:twoCellAnchor>
    <xdr:from>
      <xdr:col>28</xdr:col>
      <xdr:colOff>19050</xdr:colOff>
      <xdr:row>25</xdr:row>
      <xdr:rowOff>22754</xdr:rowOff>
    </xdr:from>
    <xdr:to>
      <xdr:col>29</xdr:col>
      <xdr:colOff>657225</xdr:colOff>
      <xdr:row>35</xdr:row>
      <xdr:rowOff>152400</xdr:rowOff>
    </xdr:to>
    <xdr:sp macro="" textlink="">
      <xdr:nvSpPr>
        <xdr:cNvPr id="7" name="Rectangle 33">
          <a:extLst>
            <a:ext uri="{FF2B5EF4-FFF2-40B4-BE49-F238E27FC236}">
              <a16:creationId xmlns:a16="http://schemas.microsoft.com/office/drawing/2014/main" id="{77B615DA-CCDA-4531-BD35-B4D4FE5864ED}"/>
            </a:ext>
          </a:extLst>
        </xdr:cNvPr>
        <xdr:cNvSpPr>
          <a:spLocks noChangeArrowheads="1"/>
        </xdr:cNvSpPr>
      </xdr:nvSpPr>
      <xdr:spPr bwMode="auto">
        <a:xfrm>
          <a:off x="7477125" y="3994679"/>
          <a:ext cx="1552575" cy="2034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28</xdr:col>
      <xdr:colOff>28575</xdr:colOff>
      <xdr:row>37</xdr:row>
      <xdr:rowOff>22754</xdr:rowOff>
    </xdr:from>
    <xdr:to>
      <xdr:col>29</xdr:col>
      <xdr:colOff>666750</xdr:colOff>
      <xdr:row>47</xdr:row>
      <xdr:rowOff>152400</xdr:rowOff>
    </xdr:to>
    <xdr:sp macro="" textlink="">
      <xdr:nvSpPr>
        <xdr:cNvPr id="8" name="Rectangle 33">
          <a:extLst>
            <a:ext uri="{FF2B5EF4-FFF2-40B4-BE49-F238E27FC236}">
              <a16:creationId xmlns:a16="http://schemas.microsoft.com/office/drawing/2014/main" id="{A6784CBC-5A45-45E9-B6B2-5D56EE16550C}"/>
            </a:ext>
          </a:extLst>
        </xdr:cNvPr>
        <xdr:cNvSpPr>
          <a:spLocks noChangeArrowheads="1"/>
        </xdr:cNvSpPr>
      </xdr:nvSpPr>
      <xdr:spPr bwMode="auto">
        <a:xfrm>
          <a:off x="7486650" y="6461654"/>
          <a:ext cx="1552575" cy="2034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27</xdr:col>
      <xdr:colOff>85725</xdr:colOff>
      <xdr:row>49</xdr:row>
      <xdr:rowOff>13229</xdr:rowOff>
    </xdr:from>
    <xdr:to>
      <xdr:col>29</xdr:col>
      <xdr:colOff>628650</xdr:colOff>
      <xdr:row>59</xdr:row>
      <xdr:rowOff>123825</xdr:rowOff>
    </xdr:to>
    <xdr:sp macro="" textlink="">
      <xdr:nvSpPr>
        <xdr:cNvPr id="9" name="Rectangle 33">
          <a:extLst>
            <a:ext uri="{FF2B5EF4-FFF2-40B4-BE49-F238E27FC236}">
              <a16:creationId xmlns:a16="http://schemas.microsoft.com/office/drawing/2014/main" id="{F6AA1DFB-BBB3-482A-89CC-E33648DF292B}"/>
            </a:ext>
          </a:extLst>
        </xdr:cNvPr>
        <xdr:cNvSpPr>
          <a:spLocks noChangeArrowheads="1"/>
        </xdr:cNvSpPr>
      </xdr:nvSpPr>
      <xdr:spPr bwMode="auto">
        <a:xfrm>
          <a:off x="7448550" y="8557154"/>
          <a:ext cx="1552575" cy="203464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58616</xdr:colOff>
      <xdr:row>0</xdr:row>
      <xdr:rowOff>73270</xdr:rowOff>
    </xdr:from>
    <xdr:to>
      <xdr:col>33</xdr:col>
      <xdr:colOff>11544</xdr:colOff>
      <xdr:row>3</xdr:row>
      <xdr:rowOff>98671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EBD7FD-6EF1-4E72-B451-EF25CDC8F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658691" y="73270"/>
          <a:ext cx="3381928" cy="6921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63</xdr:col>
      <xdr:colOff>381000</xdr:colOff>
      <xdr:row>30</xdr:row>
      <xdr:rowOff>0</xdr:rowOff>
    </xdr:from>
    <xdr:to>
      <xdr:col>72</xdr:col>
      <xdr:colOff>133350</xdr:colOff>
      <xdr:row>43</xdr:row>
      <xdr:rowOff>73422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A0D7C-C1F1-4004-88D7-2273B3C720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44823</xdr:colOff>
      <xdr:row>16</xdr:row>
      <xdr:rowOff>44825</xdr:rowOff>
    </xdr:from>
    <xdr:to>
      <xdr:col>56</xdr:col>
      <xdr:colOff>56029</xdr:colOff>
      <xdr:row>33</xdr:row>
      <xdr:rowOff>56031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88DD22-6F67-4BBC-94F8-152F414B5D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511735</xdr:colOff>
      <xdr:row>2</xdr:row>
      <xdr:rowOff>142562</xdr:rowOff>
    </xdr:from>
    <xdr:to>
      <xdr:col>73</xdr:col>
      <xdr:colOff>0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1F0459-9409-43E6-A5FD-B9956F935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44823</xdr:colOff>
      <xdr:row>39</xdr:row>
      <xdr:rowOff>44825</xdr:rowOff>
    </xdr:from>
    <xdr:to>
      <xdr:col>56</xdr:col>
      <xdr:colOff>56029</xdr:colOff>
      <xdr:row>56</xdr:row>
      <xdr:rowOff>56031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8CE085E-A12E-4A43-B33F-86CA61A0F4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551392</xdr:colOff>
      <xdr:row>27</xdr:row>
      <xdr:rowOff>171450</xdr:rowOff>
    </xdr:from>
    <xdr:to>
      <xdr:col>63</xdr:col>
      <xdr:colOff>238125</xdr:colOff>
      <xdr:row>29</xdr:row>
      <xdr:rowOff>27516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C0B5586B-A85E-4036-AE6F-C8D2588A7359}"/>
            </a:ext>
          </a:extLst>
        </xdr:cNvPr>
        <xdr:cNvSpPr/>
      </xdr:nvSpPr>
      <xdr:spPr>
        <a:xfrm>
          <a:off x="2789767" y="5438775"/>
          <a:ext cx="382058" cy="227541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t1</a:t>
          </a:r>
        </a:p>
      </xdr:txBody>
    </xdr:sp>
    <xdr:clientData/>
  </xdr:twoCellAnchor>
  <xdr:twoCellAnchor>
    <xdr:from>
      <xdr:col>64</xdr:col>
      <xdr:colOff>363009</xdr:colOff>
      <xdr:row>27</xdr:row>
      <xdr:rowOff>152400</xdr:rowOff>
    </xdr:from>
    <xdr:to>
      <xdr:col>65</xdr:col>
      <xdr:colOff>76200</xdr:colOff>
      <xdr:row>29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55CAF72-7FA8-4561-8214-1FB9E2CE8FD8}"/>
            </a:ext>
          </a:extLst>
        </xdr:cNvPr>
        <xdr:cNvSpPr/>
      </xdr:nvSpPr>
      <xdr:spPr>
        <a:xfrm>
          <a:off x="3906309" y="5419725"/>
          <a:ext cx="322791" cy="21907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t2</a:t>
          </a:r>
        </a:p>
      </xdr:txBody>
    </xdr:sp>
    <xdr:clientData/>
  </xdr:twoCellAnchor>
  <xdr:twoCellAnchor editAs="oneCell">
    <xdr:from>
      <xdr:col>76</xdr:col>
      <xdr:colOff>133350</xdr:colOff>
      <xdr:row>31</xdr:row>
      <xdr:rowOff>19050</xdr:rowOff>
    </xdr:from>
    <xdr:to>
      <xdr:col>77</xdr:col>
      <xdr:colOff>504825</xdr:colOff>
      <xdr:row>33</xdr:row>
      <xdr:rowOff>2931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B1127352-D815-4C6F-86E5-3FEF03E5A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991850" y="6038850"/>
          <a:ext cx="981075" cy="342900"/>
        </a:xfrm>
        <a:prstGeom prst="rect">
          <a:avLst/>
        </a:prstGeom>
        <a:noFill/>
      </xdr:spPr>
    </xdr:pic>
    <xdr:clientData/>
  </xdr:twoCellAnchor>
  <xdr:twoCellAnchor editAs="oneCell">
    <xdr:from>
      <xdr:col>76</xdr:col>
      <xdr:colOff>142875</xdr:colOff>
      <xdr:row>32</xdr:row>
      <xdr:rowOff>171450</xdr:rowOff>
    </xdr:from>
    <xdr:to>
      <xdr:col>77</xdr:col>
      <xdr:colOff>361950</xdr:colOff>
      <xdr:row>35</xdr:row>
      <xdr:rowOff>16851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A46D4D24-6897-4108-9433-A446E56E0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1001375" y="6381750"/>
          <a:ext cx="828675" cy="352425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0.88197</cdr:x>
      <cdr:y>0.70919</cdr:y>
    </cdr:from>
    <cdr:to>
      <cdr:x>0.94852</cdr:x>
      <cdr:y>0.75745</cdr:y>
    </cdr:to>
    <cdr:sp macro="" textlink="">
      <cdr:nvSpPr>
        <cdr:cNvPr id="6" name="Rectangle 5"/>
        <cdr:cNvSpPr/>
      </cdr:nvSpPr>
      <cdr:spPr>
        <a:xfrm xmlns:a="http://schemas.openxmlformats.org/drawingml/2006/main">
          <a:off x="6500601" y="2701405"/>
          <a:ext cx="490508" cy="1838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FFFF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d100</a:t>
          </a:r>
        </a:p>
      </cdr:txBody>
    </cdr:sp>
  </cdr:relSizeAnchor>
  <cdr:relSizeAnchor xmlns:cdr="http://schemas.openxmlformats.org/drawingml/2006/chartDrawing">
    <cdr:from>
      <cdr:x>0.88044</cdr:x>
      <cdr:y>0.35658</cdr:y>
    </cdr:from>
    <cdr:to>
      <cdr:x>0.94517</cdr:x>
      <cdr:y>0.40714</cdr:y>
    </cdr:to>
    <cdr:sp macro="" textlink="">
      <cdr:nvSpPr>
        <cdr:cNvPr id="7" name="Rectangle 6"/>
        <cdr:cNvSpPr/>
      </cdr:nvSpPr>
      <cdr:spPr>
        <a:xfrm xmlns:a="http://schemas.openxmlformats.org/drawingml/2006/main">
          <a:off x="6190947" y="1168053"/>
          <a:ext cx="455157" cy="1656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F79646">
              <a:lumMod val="60000"/>
              <a:lumOff val="4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d50</a:t>
          </a:r>
        </a:p>
      </cdr:txBody>
    </cdr:sp>
  </cdr:relSizeAnchor>
  <cdr:relSizeAnchor xmlns:cdr="http://schemas.openxmlformats.org/drawingml/2006/chartDrawing">
    <cdr:from>
      <cdr:x>0.88366</cdr:x>
      <cdr:y>0.24124</cdr:y>
    </cdr:from>
    <cdr:to>
      <cdr:x>0.9513</cdr:x>
      <cdr:y>0.28917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6213574" y="790247"/>
          <a:ext cx="475619" cy="15700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FF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h. t2</a:t>
          </a:r>
        </a:p>
      </cdr:txBody>
    </cdr:sp>
  </cdr:relSizeAnchor>
  <cdr:relSizeAnchor xmlns:cdr="http://schemas.openxmlformats.org/drawingml/2006/chartDrawing">
    <cdr:from>
      <cdr:x>0.88082</cdr:x>
      <cdr:y>0.15448</cdr:y>
    </cdr:from>
    <cdr:to>
      <cdr:x>0.95094</cdr:x>
      <cdr:y>0.20116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6193576" y="506039"/>
          <a:ext cx="493058" cy="1529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8064A2">
              <a:lumMod val="75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h. t1</a:t>
          </a:r>
        </a:p>
      </cdr:txBody>
    </cdr:sp>
  </cdr:relSizeAnchor>
  <cdr:relSizeAnchor xmlns:cdr="http://schemas.openxmlformats.org/drawingml/2006/chartDrawing">
    <cdr:from>
      <cdr:x>0.87906</cdr:x>
      <cdr:y>0.06562</cdr:y>
    </cdr:from>
    <cdr:to>
      <cdr:x>0.94428</cdr:x>
      <cdr:y>0.11857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6181243" y="214954"/>
          <a:ext cx="458603" cy="1734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92D05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d0</a:t>
          </a:r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44823</xdr:colOff>
      <xdr:row>16</xdr:row>
      <xdr:rowOff>44825</xdr:rowOff>
    </xdr:from>
    <xdr:to>
      <xdr:col>56</xdr:col>
      <xdr:colOff>56029</xdr:colOff>
      <xdr:row>33</xdr:row>
      <xdr:rowOff>56031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2C360C-3830-431D-9849-7844FE080C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511735</xdr:colOff>
      <xdr:row>2</xdr:row>
      <xdr:rowOff>142562</xdr:rowOff>
    </xdr:from>
    <xdr:to>
      <xdr:col>73</xdr:col>
      <xdr:colOff>0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5D268F-E4B3-48BC-816E-154DCCD08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44823</xdr:colOff>
      <xdr:row>39</xdr:row>
      <xdr:rowOff>44825</xdr:rowOff>
    </xdr:from>
    <xdr:to>
      <xdr:col>56</xdr:col>
      <xdr:colOff>56029</xdr:colOff>
      <xdr:row>56</xdr:row>
      <xdr:rowOff>56031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6234C1-1FD7-4C24-9C32-1F2B68847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551392</xdr:colOff>
      <xdr:row>27</xdr:row>
      <xdr:rowOff>171450</xdr:rowOff>
    </xdr:from>
    <xdr:to>
      <xdr:col>63</xdr:col>
      <xdr:colOff>238125</xdr:colOff>
      <xdr:row>29</xdr:row>
      <xdr:rowOff>27516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ECC6B852-9671-452B-A5EF-E02D0D51DF4D}"/>
            </a:ext>
          </a:extLst>
        </xdr:cNvPr>
        <xdr:cNvSpPr/>
      </xdr:nvSpPr>
      <xdr:spPr>
        <a:xfrm>
          <a:off x="2789767" y="5438775"/>
          <a:ext cx="382058" cy="227541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t1</a:t>
          </a:r>
        </a:p>
      </xdr:txBody>
    </xdr:sp>
    <xdr:clientData/>
  </xdr:twoCellAnchor>
  <xdr:twoCellAnchor>
    <xdr:from>
      <xdr:col>64</xdr:col>
      <xdr:colOff>363009</xdr:colOff>
      <xdr:row>27</xdr:row>
      <xdr:rowOff>152400</xdr:rowOff>
    </xdr:from>
    <xdr:to>
      <xdr:col>65</xdr:col>
      <xdr:colOff>76200</xdr:colOff>
      <xdr:row>29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5773109B-2284-42DA-85B6-C12752222CB5}"/>
            </a:ext>
          </a:extLst>
        </xdr:cNvPr>
        <xdr:cNvSpPr/>
      </xdr:nvSpPr>
      <xdr:spPr>
        <a:xfrm>
          <a:off x="3906309" y="5419725"/>
          <a:ext cx="322791" cy="21907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t2</a:t>
          </a:r>
        </a:p>
      </xdr:txBody>
    </xdr:sp>
    <xdr:clientData/>
  </xdr:twoCellAnchor>
  <xdr:twoCellAnchor editAs="oneCell">
    <xdr:from>
      <xdr:col>76</xdr:col>
      <xdr:colOff>133350</xdr:colOff>
      <xdr:row>31</xdr:row>
      <xdr:rowOff>19050</xdr:rowOff>
    </xdr:from>
    <xdr:to>
      <xdr:col>77</xdr:col>
      <xdr:colOff>504825</xdr:colOff>
      <xdr:row>33</xdr:row>
      <xdr:rowOff>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C685A6DC-97AD-480A-8B66-3487C1E80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991850" y="6038850"/>
          <a:ext cx="981075" cy="342900"/>
        </a:xfrm>
        <a:prstGeom prst="rect">
          <a:avLst/>
        </a:prstGeom>
        <a:noFill/>
      </xdr:spPr>
    </xdr:pic>
    <xdr:clientData/>
  </xdr:twoCellAnchor>
  <xdr:twoCellAnchor editAs="oneCell">
    <xdr:from>
      <xdr:col>76</xdr:col>
      <xdr:colOff>142875</xdr:colOff>
      <xdr:row>32</xdr:row>
      <xdr:rowOff>171450</xdr:rowOff>
    </xdr:from>
    <xdr:to>
      <xdr:col>77</xdr:col>
      <xdr:colOff>361950</xdr:colOff>
      <xdr:row>35</xdr:row>
      <xdr:rowOff>9525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F2D037EB-6C7E-4DF0-A37E-B0938A6AE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1001375" y="6381750"/>
          <a:ext cx="828675" cy="352425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0.88197</cdr:x>
      <cdr:y>0.70919</cdr:y>
    </cdr:from>
    <cdr:to>
      <cdr:x>0.94852</cdr:x>
      <cdr:y>0.75745</cdr:y>
    </cdr:to>
    <cdr:sp macro="" textlink="">
      <cdr:nvSpPr>
        <cdr:cNvPr id="6" name="Rectangle 5"/>
        <cdr:cNvSpPr/>
      </cdr:nvSpPr>
      <cdr:spPr>
        <a:xfrm xmlns:a="http://schemas.openxmlformats.org/drawingml/2006/main">
          <a:off x="6500601" y="2701405"/>
          <a:ext cx="490508" cy="1838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FFFF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d100</a:t>
          </a:r>
        </a:p>
      </cdr:txBody>
    </cdr:sp>
  </cdr:relSizeAnchor>
  <cdr:relSizeAnchor xmlns:cdr="http://schemas.openxmlformats.org/drawingml/2006/chartDrawing">
    <cdr:from>
      <cdr:x>0.882</cdr:x>
      <cdr:y>0.43011</cdr:y>
    </cdr:from>
    <cdr:to>
      <cdr:x>0.94673</cdr:x>
      <cdr:y>0.48067</cdr:y>
    </cdr:to>
    <cdr:sp macro="" textlink="">
      <cdr:nvSpPr>
        <cdr:cNvPr id="7" name="Rectangle 6"/>
        <cdr:cNvSpPr/>
      </cdr:nvSpPr>
      <cdr:spPr>
        <a:xfrm xmlns:a="http://schemas.openxmlformats.org/drawingml/2006/main">
          <a:off x="6500777" y="1638367"/>
          <a:ext cx="477093" cy="1925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F79646">
              <a:lumMod val="60000"/>
              <a:lumOff val="4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d50</a:t>
          </a:r>
        </a:p>
      </cdr:txBody>
    </cdr:sp>
  </cdr:relSizeAnchor>
  <cdr:relSizeAnchor xmlns:cdr="http://schemas.openxmlformats.org/drawingml/2006/chartDrawing">
    <cdr:from>
      <cdr:x>0.87899</cdr:x>
      <cdr:y>0.30809</cdr:y>
    </cdr:from>
    <cdr:to>
      <cdr:x>0.94663</cdr:x>
      <cdr:y>0.35602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6517337" y="1205826"/>
          <a:ext cx="501521" cy="1875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FF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h. t2</a:t>
          </a:r>
        </a:p>
      </cdr:txBody>
    </cdr:sp>
  </cdr:relSizeAnchor>
  <cdr:relSizeAnchor xmlns:cdr="http://schemas.openxmlformats.org/drawingml/2006/chartDrawing">
    <cdr:from>
      <cdr:x>0.87926</cdr:x>
      <cdr:y>0.25475</cdr:y>
    </cdr:from>
    <cdr:to>
      <cdr:x>0.94938</cdr:x>
      <cdr:y>0.30143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6519299" y="997082"/>
          <a:ext cx="519909" cy="182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8064A2">
              <a:lumMod val="75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h. t1</a:t>
          </a:r>
        </a:p>
      </cdr:txBody>
    </cdr:sp>
  </cdr:relSizeAnchor>
  <cdr:relSizeAnchor xmlns:cdr="http://schemas.openxmlformats.org/drawingml/2006/chartDrawing">
    <cdr:from>
      <cdr:x>0.88062</cdr:x>
      <cdr:y>0.1826</cdr:y>
    </cdr:from>
    <cdr:to>
      <cdr:x>0.94584</cdr:x>
      <cdr:y>0.23555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6529418" y="714689"/>
          <a:ext cx="483598" cy="207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92D05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d0</a:t>
          </a:r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44823</xdr:colOff>
      <xdr:row>16</xdr:row>
      <xdr:rowOff>44825</xdr:rowOff>
    </xdr:from>
    <xdr:to>
      <xdr:col>56</xdr:col>
      <xdr:colOff>56029</xdr:colOff>
      <xdr:row>33</xdr:row>
      <xdr:rowOff>56031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EF799B-8C9C-49D0-937D-676068395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61</xdr:col>
      <xdr:colOff>511735</xdr:colOff>
      <xdr:row>2</xdr:row>
      <xdr:rowOff>142562</xdr:rowOff>
    </xdr:from>
    <xdr:to>
      <xdr:col>73</xdr:col>
      <xdr:colOff>0</xdr:colOff>
      <xdr:row>20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8A4C8E-10BD-47DF-8C36-005229AC5E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44823</xdr:colOff>
      <xdr:row>39</xdr:row>
      <xdr:rowOff>44825</xdr:rowOff>
    </xdr:from>
    <xdr:to>
      <xdr:col>56</xdr:col>
      <xdr:colOff>56029</xdr:colOff>
      <xdr:row>56</xdr:row>
      <xdr:rowOff>56031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DE7B64-76E7-49B8-89C4-B4EB4CD78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551392</xdr:colOff>
      <xdr:row>27</xdr:row>
      <xdr:rowOff>171450</xdr:rowOff>
    </xdr:from>
    <xdr:to>
      <xdr:col>63</xdr:col>
      <xdr:colOff>238125</xdr:colOff>
      <xdr:row>29</xdr:row>
      <xdr:rowOff>27516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B81192AD-CC4B-4008-BAC4-3645D7A04AFC}"/>
            </a:ext>
          </a:extLst>
        </xdr:cNvPr>
        <xdr:cNvSpPr/>
      </xdr:nvSpPr>
      <xdr:spPr>
        <a:xfrm>
          <a:off x="2789767" y="5438775"/>
          <a:ext cx="382058" cy="227541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t1</a:t>
          </a:r>
        </a:p>
      </xdr:txBody>
    </xdr:sp>
    <xdr:clientData/>
  </xdr:twoCellAnchor>
  <xdr:twoCellAnchor>
    <xdr:from>
      <xdr:col>64</xdr:col>
      <xdr:colOff>363009</xdr:colOff>
      <xdr:row>27</xdr:row>
      <xdr:rowOff>152400</xdr:rowOff>
    </xdr:from>
    <xdr:to>
      <xdr:col>65</xdr:col>
      <xdr:colOff>76200</xdr:colOff>
      <xdr:row>29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A434AF06-5038-4314-A6BD-18ED60936313}"/>
            </a:ext>
          </a:extLst>
        </xdr:cNvPr>
        <xdr:cNvSpPr/>
      </xdr:nvSpPr>
      <xdr:spPr>
        <a:xfrm>
          <a:off x="3906309" y="5419725"/>
          <a:ext cx="322791" cy="219075"/>
        </a:xfrm>
        <a:prstGeom prst="rect">
          <a:avLst/>
        </a:prstGeom>
        <a:noFill/>
        <a:ln w="12700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t2</a:t>
          </a:r>
        </a:p>
      </xdr:txBody>
    </xdr:sp>
    <xdr:clientData/>
  </xdr:twoCellAnchor>
  <xdr:twoCellAnchor editAs="oneCell">
    <xdr:from>
      <xdr:col>76</xdr:col>
      <xdr:colOff>133350</xdr:colOff>
      <xdr:row>31</xdr:row>
      <xdr:rowOff>19050</xdr:rowOff>
    </xdr:from>
    <xdr:to>
      <xdr:col>77</xdr:col>
      <xdr:colOff>504825</xdr:colOff>
      <xdr:row>32</xdr:row>
      <xdr:rowOff>171450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EFC5A89C-8A35-4894-B695-0A99D33D9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 bwMode="auto">
        <a:xfrm>
          <a:off x="10991850" y="6038850"/>
          <a:ext cx="981075" cy="342900"/>
        </a:xfrm>
        <a:prstGeom prst="rect">
          <a:avLst/>
        </a:prstGeom>
        <a:noFill/>
      </xdr:spPr>
    </xdr:pic>
    <xdr:clientData/>
  </xdr:twoCellAnchor>
  <xdr:twoCellAnchor editAs="oneCell">
    <xdr:from>
      <xdr:col>76</xdr:col>
      <xdr:colOff>142875</xdr:colOff>
      <xdr:row>32</xdr:row>
      <xdr:rowOff>171450</xdr:rowOff>
    </xdr:from>
    <xdr:to>
      <xdr:col>77</xdr:col>
      <xdr:colOff>361950</xdr:colOff>
      <xdr:row>35</xdr:row>
      <xdr:rowOff>2356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59D3CAC7-B8F5-4F2A-98C4-26BC2561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11001375" y="6381750"/>
          <a:ext cx="828675" cy="352425"/>
        </a:xfrm>
        <a:prstGeom prst="rect">
          <a:avLst/>
        </a:prstGeom>
        <a:noFill/>
      </xdr:spPr>
    </xdr:pic>
    <xdr:clientData/>
  </xdr:twoCellAnchor>
</xdr:wsDr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0.88197</cdr:x>
      <cdr:y>0.70919</cdr:y>
    </cdr:from>
    <cdr:to>
      <cdr:x>0.94852</cdr:x>
      <cdr:y>0.75745</cdr:y>
    </cdr:to>
    <cdr:sp macro="" textlink="">
      <cdr:nvSpPr>
        <cdr:cNvPr id="6" name="Rectangle 5"/>
        <cdr:cNvSpPr/>
      </cdr:nvSpPr>
      <cdr:spPr>
        <a:xfrm xmlns:a="http://schemas.openxmlformats.org/drawingml/2006/main">
          <a:off x="6500601" y="2701405"/>
          <a:ext cx="490508" cy="1838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FFFF00"/>
          </a:solidFill>
          <a:prstDash val="dash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d100</a:t>
          </a:r>
        </a:p>
      </cdr:txBody>
    </cdr:sp>
  </cdr:relSizeAnchor>
  <cdr:relSizeAnchor xmlns:cdr="http://schemas.openxmlformats.org/drawingml/2006/chartDrawing">
    <cdr:from>
      <cdr:x>0.882</cdr:x>
      <cdr:y>0.43011</cdr:y>
    </cdr:from>
    <cdr:to>
      <cdr:x>0.94673</cdr:x>
      <cdr:y>0.48067</cdr:y>
    </cdr:to>
    <cdr:sp macro="" textlink="">
      <cdr:nvSpPr>
        <cdr:cNvPr id="7" name="Rectangle 6"/>
        <cdr:cNvSpPr/>
      </cdr:nvSpPr>
      <cdr:spPr>
        <a:xfrm xmlns:a="http://schemas.openxmlformats.org/drawingml/2006/main">
          <a:off x="6500777" y="1638367"/>
          <a:ext cx="477093" cy="1925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F79646">
              <a:lumMod val="60000"/>
              <a:lumOff val="40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d50</a:t>
          </a:r>
        </a:p>
      </cdr:txBody>
    </cdr:sp>
  </cdr:relSizeAnchor>
  <cdr:relSizeAnchor xmlns:cdr="http://schemas.openxmlformats.org/drawingml/2006/chartDrawing">
    <cdr:from>
      <cdr:x>0.87899</cdr:x>
      <cdr:y>0.30809</cdr:y>
    </cdr:from>
    <cdr:to>
      <cdr:x>0.94663</cdr:x>
      <cdr:y>0.35602</cdr:y>
    </cdr:to>
    <cdr:sp macro="" textlink="">
      <cdr:nvSpPr>
        <cdr:cNvPr id="8" name="Rectangle 7"/>
        <cdr:cNvSpPr/>
      </cdr:nvSpPr>
      <cdr:spPr>
        <a:xfrm xmlns:a="http://schemas.openxmlformats.org/drawingml/2006/main">
          <a:off x="6517337" y="1205826"/>
          <a:ext cx="501521" cy="18759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FF000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h. t2</a:t>
          </a:r>
        </a:p>
      </cdr:txBody>
    </cdr:sp>
  </cdr:relSizeAnchor>
  <cdr:relSizeAnchor xmlns:cdr="http://schemas.openxmlformats.org/drawingml/2006/chartDrawing">
    <cdr:from>
      <cdr:x>0.87926</cdr:x>
      <cdr:y>0.25475</cdr:y>
    </cdr:from>
    <cdr:to>
      <cdr:x>0.94938</cdr:x>
      <cdr:y>0.30143</cdr:y>
    </cdr:to>
    <cdr:sp macro="" textlink="">
      <cdr:nvSpPr>
        <cdr:cNvPr id="9" name="Rectangle 8"/>
        <cdr:cNvSpPr/>
      </cdr:nvSpPr>
      <cdr:spPr>
        <a:xfrm xmlns:a="http://schemas.openxmlformats.org/drawingml/2006/main">
          <a:off x="6519299" y="997082"/>
          <a:ext cx="519909" cy="182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8064A2">
              <a:lumMod val="75000"/>
            </a:srgbClr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h. t1</a:t>
          </a:r>
        </a:p>
      </cdr:txBody>
    </cdr:sp>
  </cdr:relSizeAnchor>
  <cdr:relSizeAnchor xmlns:cdr="http://schemas.openxmlformats.org/drawingml/2006/chartDrawing">
    <cdr:from>
      <cdr:x>0.88062</cdr:x>
      <cdr:y>0.1826</cdr:y>
    </cdr:from>
    <cdr:to>
      <cdr:x>0.94584</cdr:x>
      <cdr:y>0.23555</cdr:y>
    </cdr:to>
    <cdr:sp macro="" textlink="">
      <cdr:nvSpPr>
        <cdr:cNvPr id="10" name="Rectangle 9"/>
        <cdr:cNvSpPr/>
      </cdr:nvSpPr>
      <cdr:spPr>
        <a:xfrm xmlns:a="http://schemas.openxmlformats.org/drawingml/2006/main">
          <a:off x="6529418" y="714689"/>
          <a:ext cx="483598" cy="20724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2700" cap="flat" cmpd="sng" algn="ctr">
          <a:solidFill>
            <a:srgbClr val="92D050"/>
          </a:solidFill>
          <a:prstDash val="solid"/>
        </a:ln>
        <a:effectLst xmlns:a="http://schemas.openxmlformats.org/drawingml/2006/main"/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ysClr val="window" lastClr="FFFFFF"/>
              </a:solidFill>
              <a:latin typeface="Calibri"/>
            </a:defRPr>
          </a:lvl1pPr>
          <a:lvl2pPr marL="457200" indent="0">
            <a:defRPr sz="1100">
              <a:solidFill>
                <a:sysClr val="window" lastClr="FFFFFF"/>
              </a:solidFill>
              <a:latin typeface="Calibri"/>
            </a:defRPr>
          </a:lvl2pPr>
          <a:lvl3pPr marL="914400" indent="0">
            <a:defRPr sz="1100">
              <a:solidFill>
                <a:sysClr val="window" lastClr="FFFFFF"/>
              </a:solidFill>
              <a:latin typeface="Calibri"/>
            </a:defRPr>
          </a:lvl3pPr>
          <a:lvl4pPr marL="1371600" indent="0">
            <a:defRPr sz="1100">
              <a:solidFill>
                <a:sysClr val="window" lastClr="FFFFFF"/>
              </a:solidFill>
              <a:latin typeface="Calibri"/>
            </a:defRPr>
          </a:lvl4pPr>
          <a:lvl5pPr marL="1828800" indent="0">
            <a:defRPr sz="1100">
              <a:solidFill>
                <a:sysClr val="window" lastClr="FFFFFF"/>
              </a:solidFill>
              <a:latin typeface="Calibri"/>
            </a:defRPr>
          </a:lvl5pPr>
          <a:lvl6pPr marL="2286000" indent="0">
            <a:defRPr sz="1100">
              <a:solidFill>
                <a:sysClr val="window" lastClr="FFFFFF"/>
              </a:solidFill>
              <a:latin typeface="Calibri"/>
            </a:defRPr>
          </a:lvl6pPr>
          <a:lvl7pPr marL="2743200" indent="0">
            <a:defRPr sz="1100">
              <a:solidFill>
                <a:sysClr val="window" lastClr="FFFFFF"/>
              </a:solidFill>
              <a:latin typeface="Calibri"/>
            </a:defRPr>
          </a:lvl7pPr>
          <a:lvl8pPr marL="3200400" indent="0">
            <a:defRPr sz="1100">
              <a:solidFill>
                <a:sysClr val="window" lastClr="FFFFFF"/>
              </a:solidFill>
              <a:latin typeface="Calibri"/>
            </a:defRPr>
          </a:lvl8pPr>
          <a:lvl9pPr marL="3657600" indent="0">
            <a:defRPr sz="1100">
              <a:solidFill>
                <a:sysClr val="window" lastClr="FFFFFF"/>
              </a:solidFill>
              <a:latin typeface="Calibri"/>
            </a:defRPr>
          </a:lvl9pPr>
        </a:lstStyle>
        <a:p xmlns:a="http://schemas.openxmlformats.org/drawingml/2006/main">
          <a:pPr algn="ctr"/>
          <a:r>
            <a:rPr lang="en-US" sz="1100">
              <a:solidFill>
                <a:schemeClr val="tx1"/>
              </a:solidFill>
            </a:rPr>
            <a:t>d0</a:t>
          </a:r>
        </a:p>
      </cdr:txBody>
    </cdr:sp>
  </cdr:relSizeAnchor>
</c:userShapes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48316</xdr:colOff>
      <xdr:row>16</xdr:row>
      <xdr:rowOff>154163</xdr:rowOff>
    </xdr:from>
    <xdr:to>
      <xdr:col>16</xdr:col>
      <xdr:colOff>194404</xdr:colOff>
      <xdr:row>20</xdr:row>
      <xdr:rowOff>189740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4DECC78-446E-4029-A8CF-FDF39AB9B1EC}"/>
            </a:ext>
          </a:extLst>
        </xdr:cNvPr>
        <xdr:cNvGrpSpPr/>
      </xdr:nvGrpSpPr>
      <xdr:grpSpPr>
        <a:xfrm>
          <a:off x="3553516" y="3449813"/>
          <a:ext cx="1736763" cy="1292877"/>
          <a:chOff x="2994610" y="4617998"/>
          <a:chExt cx="1800854" cy="1473690"/>
        </a:xfrm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A7088C6F-25FD-1050-DCED-8EFB8ACEEECC}"/>
              </a:ext>
            </a:extLst>
          </xdr:cNvPr>
          <xdr:cNvCxnSpPr/>
        </xdr:nvCxnSpPr>
        <xdr:spPr>
          <a:xfrm>
            <a:off x="3514442" y="6090597"/>
            <a:ext cx="215558" cy="10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1C7E7662-5443-9CCD-1D07-51F9CE72586C}"/>
              </a:ext>
            </a:extLst>
          </xdr:cNvPr>
          <xdr:cNvCxnSpPr/>
        </xdr:nvCxnSpPr>
        <xdr:spPr>
          <a:xfrm>
            <a:off x="3513580" y="4766740"/>
            <a:ext cx="215213" cy="10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CE8A645A-89BB-B72A-5891-564AA927B6FE}"/>
              </a:ext>
            </a:extLst>
          </xdr:cNvPr>
          <xdr:cNvCxnSpPr/>
        </xdr:nvCxnSpPr>
        <xdr:spPr>
          <a:xfrm>
            <a:off x="3521730" y="5457399"/>
            <a:ext cx="208387" cy="1091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34955255-DE7D-5995-DEFF-2B46B8ABCAB4}"/>
              </a:ext>
            </a:extLst>
          </xdr:cNvPr>
          <xdr:cNvCxnSpPr/>
        </xdr:nvCxnSpPr>
        <xdr:spPr>
          <a:xfrm rot="16200000" flipH="1">
            <a:off x="2952287" y="5413185"/>
            <a:ext cx="1314772" cy="4554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DE4B7CFC-2976-A6EB-A28C-B110E390CC42}"/>
              </a:ext>
            </a:extLst>
          </xdr:cNvPr>
          <xdr:cNvSpPr/>
        </xdr:nvSpPr>
        <xdr:spPr bwMode="auto">
          <a:xfrm>
            <a:off x="3385293" y="5641375"/>
            <a:ext cx="87316" cy="236579"/>
          </a:xfrm>
          <a:prstGeom prst="rect">
            <a:avLst/>
          </a:prstGeom>
          <a:blipFill>
            <a:blip xmlns:r="http://schemas.openxmlformats.org/officeDocument/2006/relationships" r:embed="rId1"/>
            <a:stretch>
              <a:fillRect/>
            </a:stretch>
          </a:blipFill>
          <a:ln w="6350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/>
        </xdr:spPr>
        <xdr:txBody>
          <a:bodyPr rtlCol="0" anchor="ctr">
            <a:flatTx/>
          </a:bodyPr>
          <a:lstStyle/>
          <a:p>
            <a:pPr algn="ctr"/>
            <a:endParaRPr lang="en-US" sz="1100"/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9C8B41A4-8276-39A7-5E4B-FB5FC71F6D3C}"/>
              </a:ext>
            </a:extLst>
          </xdr:cNvPr>
          <xdr:cNvSpPr txBox="1"/>
        </xdr:nvSpPr>
        <xdr:spPr>
          <a:xfrm>
            <a:off x="3115690" y="5670248"/>
            <a:ext cx="433945" cy="1372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800"/>
              <a:t>UDS</a:t>
            </a:r>
          </a:p>
        </xdr:txBody>
      </xdr:sp>
      <xdr:sp macro="" textlink="">
        <xdr:nvSpPr>
          <xdr:cNvPr id="9" name="Rectangle 8">
            <a:extLst>
              <a:ext uri="{FF2B5EF4-FFF2-40B4-BE49-F238E27FC236}">
                <a16:creationId xmlns:a16="http://schemas.microsoft.com/office/drawing/2014/main" id="{9801042D-9954-C3E5-482F-DAEB8405C2EB}"/>
              </a:ext>
            </a:extLst>
          </xdr:cNvPr>
          <xdr:cNvSpPr/>
        </xdr:nvSpPr>
        <xdr:spPr bwMode="auto">
          <a:xfrm>
            <a:off x="3739566" y="4925202"/>
            <a:ext cx="1014360" cy="354478"/>
          </a:xfrm>
          <a:prstGeom prst="rect">
            <a:avLst/>
          </a:prstGeom>
          <a:noFill/>
          <a:ln w="0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/>
        </xdr:spPr>
        <xdr:txBody>
          <a:bodyPr rtlCol="0" anchor="ctr">
            <a:flatTx/>
          </a:bodyPr>
          <a:lstStyle/>
          <a:p>
            <a:pPr algn="ctr"/>
            <a:r>
              <a:rPr lang="en-US" sz="1100"/>
              <a:t>h</a:t>
            </a:r>
            <a:r>
              <a:rPr lang="en-US" sz="1100" baseline="-25000"/>
              <a:t>water </a:t>
            </a:r>
            <a:r>
              <a:rPr lang="en-US" sz="1100" baseline="0"/>
              <a:t>= 4.3 m</a:t>
            </a:r>
            <a:endParaRPr lang="en-US" sz="1100"/>
          </a:p>
        </xdr:txBody>
      </xdr:sp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2EC853F8-7241-12A3-2398-752DEE59ED84}"/>
              </a:ext>
            </a:extLst>
          </xdr:cNvPr>
          <xdr:cNvSpPr/>
        </xdr:nvSpPr>
        <xdr:spPr bwMode="auto">
          <a:xfrm>
            <a:off x="3727328" y="5598066"/>
            <a:ext cx="1014360" cy="354478"/>
          </a:xfrm>
          <a:prstGeom prst="rect">
            <a:avLst/>
          </a:prstGeom>
          <a:noFill/>
          <a:ln w="0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/>
        </xdr:spPr>
        <xdr:txBody>
          <a:bodyPr rtlCol="0" anchor="ctr">
            <a:flatTx/>
          </a:bodyPr>
          <a:lstStyle/>
          <a:p>
            <a:pPr algn="ctr"/>
            <a:r>
              <a:rPr lang="en-US" sz="1100"/>
              <a:t>h</a:t>
            </a:r>
            <a:r>
              <a:rPr lang="en-US" sz="1100" baseline="-25000"/>
              <a:t>soil </a:t>
            </a:r>
            <a:r>
              <a:rPr lang="en-US" sz="1100" baseline="0"/>
              <a:t>= 5.5 m</a:t>
            </a:r>
            <a:endParaRPr lang="en-US" sz="1100"/>
          </a:p>
        </xdr:txBody>
      </xdr:sp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6939AC7C-9EB3-C6AF-1358-552D0B1E081F}"/>
              </a:ext>
            </a:extLst>
          </xdr:cNvPr>
          <xdr:cNvSpPr/>
        </xdr:nvSpPr>
        <xdr:spPr bwMode="auto">
          <a:xfrm>
            <a:off x="3781104" y="4617998"/>
            <a:ext cx="1014360" cy="281786"/>
          </a:xfrm>
          <a:prstGeom prst="rect">
            <a:avLst/>
          </a:prstGeom>
          <a:noFill/>
          <a:ln w="0">
            <a:noFill/>
            <a:round/>
            <a:headEnd/>
            <a:tailEnd/>
          </a:ln>
          <a:scene3d>
            <a:camera prst="orthographicFront"/>
            <a:lightRig rig="threePt" dir="t"/>
          </a:scene3d>
          <a:sp3d/>
        </xdr:spPr>
        <xdr:txBody>
          <a:bodyPr rtlCol="0" anchor="ctr">
            <a:flatTx/>
          </a:bodyPr>
          <a:lstStyle/>
          <a:p>
            <a:pPr algn="l"/>
            <a:r>
              <a:rPr lang="en-US" sz="1100"/>
              <a:t>GWL</a:t>
            </a:r>
          </a:p>
        </xdr:txBody>
      </xdr:sp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138747B5-C963-3E87-0141-1407BEBFB367}"/>
              </a:ext>
            </a:extLst>
          </xdr:cNvPr>
          <xdr:cNvSpPr/>
        </xdr:nvSpPr>
        <xdr:spPr bwMode="auto">
          <a:xfrm>
            <a:off x="3747495" y="5305264"/>
            <a:ext cx="1014360" cy="281786"/>
          </a:xfrm>
          <a:prstGeom prst="rect">
            <a:avLst/>
          </a:prstGeom>
          <a:noFill/>
          <a:ln w="0">
            <a:noFill/>
            <a:round/>
            <a:headEnd/>
            <a:tailEnd/>
          </a:ln>
          <a:scene3d>
            <a:camera prst="orthographicFront"/>
            <a:lightRig rig="threePt" dir="t"/>
          </a:scene3d>
          <a:sp3d/>
        </xdr:spPr>
        <xdr:txBody>
          <a:bodyPr rtlCol="0" anchor="ctr">
            <a:flatTx/>
          </a:bodyPr>
          <a:lstStyle/>
          <a:p>
            <a:pPr algn="l"/>
            <a:r>
              <a:rPr lang="en-US" sz="1100"/>
              <a:t>GL</a:t>
            </a:r>
          </a:p>
        </xdr:txBody>
      </xdr:sp>
      <xdr:sp macro="" textlink="">
        <xdr:nvSpPr>
          <xdr:cNvPr id="13" name="Isosceles Triangle 12">
            <a:extLst>
              <a:ext uri="{FF2B5EF4-FFF2-40B4-BE49-F238E27FC236}">
                <a16:creationId xmlns:a16="http://schemas.microsoft.com/office/drawing/2014/main" id="{8D9E875F-389C-1F72-F185-A115A596FB99}"/>
              </a:ext>
            </a:extLst>
          </xdr:cNvPr>
          <xdr:cNvSpPr/>
        </xdr:nvSpPr>
        <xdr:spPr bwMode="auto">
          <a:xfrm flipV="1">
            <a:off x="3525662" y="4651041"/>
            <a:ext cx="161332" cy="118950"/>
          </a:xfrm>
          <a:prstGeom prst="triangle">
            <a:avLst/>
          </a:prstGeom>
          <a:noFill/>
          <a:ln w="0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/>
        </xdr:spPr>
        <xdr:txBody>
          <a:bodyPr rtlCol="0" anchor="ctr">
            <a:flatTx/>
          </a:bodyPr>
          <a:lstStyle/>
          <a:p>
            <a:pPr algn="ctr"/>
            <a:endParaRPr lang="en-US" sz="1100"/>
          </a:p>
        </xdr:txBody>
      </xdr:sp>
      <xdr:sp macro="" textlink="">
        <xdr:nvSpPr>
          <xdr:cNvPr id="14" name="Freeform 13">
            <a:extLst>
              <a:ext uri="{FF2B5EF4-FFF2-40B4-BE49-F238E27FC236}">
                <a16:creationId xmlns:a16="http://schemas.microsoft.com/office/drawing/2014/main" id="{9D1236EA-C386-FCA1-F97E-406C6CDDAA2E}"/>
              </a:ext>
            </a:extLst>
          </xdr:cNvPr>
          <xdr:cNvSpPr/>
        </xdr:nvSpPr>
        <xdr:spPr>
          <a:xfrm>
            <a:off x="3565539" y="4789815"/>
            <a:ext cx="74401" cy="257725"/>
          </a:xfrm>
          <a:custGeom>
            <a:avLst/>
            <a:gdLst>
              <a:gd name="connsiteX0" fmla="*/ 47410 w 74241"/>
              <a:gd name="connsiteY0" fmla="*/ 0 h 261602"/>
              <a:gd name="connsiteX1" fmla="*/ 27287 w 74241"/>
              <a:gd name="connsiteY1" fmla="*/ 6707 h 261602"/>
              <a:gd name="connsiteX2" fmla="*/ 27287 w 74241"/>
              <a:gd name="connsiteY2" fmla="*/ 60369 h 261602"/>
              <a:gd name="connsiteX3" fmla="*/ 67533 w 74241"/>
              <a:gd name="connsiteY3" fmla="*/ 67077 h 261602"/>
              <a:gd name="connsiteX4" fmla="*/ 60826 w 74241"/>
              <a:gd name="connsiteY4" fmla="*/ 107324 h 261602"/>
              <a:gd name="connsiteX5" fmla="*/ 33995 w 74241"/>
              <a:gd name="connsiteY5" fmla="*/ 120739 h 261602"/>
              <a:gd name="connsiteX6" fmla="*/ 13871 w 74241"/>
              <a:gd name="connsiteY6" fmla="*/ 134155 h 261602"/>
              <a:gd name="connsiteX7" fmla="*/ 13871 w 74241"/>
              <a:gd name="connsiteY7" fmla="*/ 181109 h 261602"/>
              <a:gd name="connsiteX8" fmla="*/ 33995 w 74241"/>
              <a:gd name="connsiteY8" fmla="*/ 187817 h 261602"/>
              <a:gd name="connsiteX9" fmla="*/ 54118 w 74241"/>
              <a:gd name="connsiteY9" fmla="*/ 207940 h 261602"/>
              <a:gd name="connsiteX10" fmla="*/ 67533 w 74241"/>
              <a:gd name="connsiteY10" fmla="*/ 248186 h 261602"/>
              <a:gd name="connsiteX11" fmla="*/ 74241 w 74241"/>
              <a:gd name="connsiteY11" fmla="*/ 261602 h 26160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74241" h="261602">
                <a:moveTo>
                  <a:pt x="47410" y="0"/>
                </a:moveTo>
                <a:cubicBezTo>
                  <a:pt x="40702" y="2236"/>
                  <a:pt x="32287" y="1707"/>
                  <a:pt x="27287" y="6707"/>
                </a:cubicBezTo>
                <a:cubicBezTo>
                  <a:pt x="17066" y="16928"/>
                  <a:pt x="19044" y="53303"/>
                  <a:pt x="27287" y="60369"/>
                </a:cubicBezTo>
                <a:cubicBezTo>
                  <a:pt x="37613" y="69220"/>
                  <a:pt x="54118" y="64841"/>
                  <a:pt x="67533" y="67077"/>
                </a:cubicBezTo>
                <a:cubicBezTo>
                  <a:pt x="65297" y="80493"/>
                  <a:pt x="68034" y="95791"/>
                  <a:pt x="60826" y="107324"/>
                </a:cubicBezTo>
                <a:cubicBezTo>
                  <a:pt x="55526" y="115803"/>
                  <a:pt x="42677" y="115778"/>
                  <a:pt x="33995" y="120739"/>
                </a:cubicBezTo>
                <a:cubicBezTo>
                  <a:pt x="26995" y="124739"/>
                  <a:pt x="20579" y="129683"/>
                  <a:pt x="13871" y="134155"/>
                </a:cubicBezTo>
                <a:cubicBezTo>
                  <a:pt x="8429" y="150483"/>
                  <a:pt x="0" y="163770"/>
                  <a:pt x="13871" y="181109"/>
                </a:cubicBezTo>
                <a:cubicBezTo>
                  <a:pt x="18288" y="186630"/>
                  <a:pt x="27287" y="185581"/>
                  <a:pt x="33995" y="187817"/>
                </a:cubicBezTo>
                <a:cubicBezTo>
                  <a:pt x="40703" y="194525"/>
                  <a:pt x="49511" y="199648"/>
                  <a:pt x="54118" y="207940"/>
                </a:cubicBezTo>
                <a:cubicBezTo>
                  <a:pt x="60985" y="220301"/>
                  <a:pt x="63061" y="234771"/>
                  <a:pt x="67533" y="248186"/>
                </a:cubicBezTo>
                <a:cubicBezTo>
                  <a:pt x="69114" y="252929"/>
                  <a:pt x="72005" y="257130"/>
                  <a:pt x="74241" y="261602"/>
                </a:cubicBezTo>
              </a:path>
            </a:pathLst>
          </a:cu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34</xdr:col>
      <xdr:colOff>138945</xdr:colOff>
      <xdr:row>18</xdr:row>
      <xdr:rowOff>266699</xdr:rowOff>
    </xdr:from>
    <xdr:to>
      <xdr:col>35</xdr:col>
      <xdr:colOff>85726</xdr:colOff>
      <xdr:row>19</xdr:row>
      <xdr:rowOff>114299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6876E8C3-FB65-407C-BFD1-CC49FA38158F}"/>
            </a:ext>
          </a:extLst>
        </xdr:cNvPr>
        <xdr:cNvSpPr/>
      </xdr:nvSpPr>
      <xdr:spPr bwMode="auto">
        <a:xfrm flipV="1">
          <a:off x="11016495" y="4152899"/>
          <a:ext cx="127756" cy="180975"/>
        </a:xfrm>
        <a:prstGeom prst="triangle">
          <a:avLst/>
        </a:prstGeom>
        <a:noFill/>
        <a:ln w="0">
          <a:solidFill>
            <a:schemeClr val="tx1"/>
          </a:solidFill>
          <a:round/>
          <a:headEnd/>
          <a:tailEnd/>
        </a:ln>
        <a:scene3d>
          <a:camera prst="orthographicFront"/>
          <a:lightRig rig="threePt" dir="t"/>
        </a:scene3d>
        <a:sp3d/>
      </xdr:spPr>
      <xdr:txBody>
        <a:bodyPr rtlCol="0" anchor="ctr">
          <a:flatTx/>
        </a:bodyPr>
        <a:lstStyle/>
        <a:p>
          <a:pPr algn="ctr"/>
          <a:endParaRPr lang="en-US" sz="1100"/>
        </a:p>
      </xdr:txBody>
    </xdr:sp>
    <xdr:clientData/>
  </xdr:twoCellAnchor>
  <xdr:twoCellAnchor>
    <xdr:from>
      <xdr:col>32</xdr:col>
      <xdr:colOff>142875</xdr:colOff>
      <xdr:row>14</xdr:row>
      <xdr:rowOff>133349</xdr:rowOff>
    </xdr:from>
    <xdr:to>
      <xdr:col>42</xdr:col>
      <xdr:colOff>152399</xdr:colOff>
      <xdr:row>21</xdr:row>
      <xdr:rowOff>285748</xdr:rowOff>
    </xdr:to>
    <xdr:grpSp>
      <xdr:nvGrpSpPr>
        <xdr:cNvPr id="16" name="Group 15">
          <a:extLst>
            <a:ext uri="{FF2B5EF4-FFF2-40B4-BE49-F238E27FC236}">
              <a16:creationId xmlns:a16="http://schemas.microsoft.com/office/drawing/2014/main" id="{612008C6-2829-4A69-826C-3EFEC9C6B302}"/>
            </a:ext>
          </a:extLst>
        </xdr:cNvPr>
        <xdr:cNvGrpSpPr/>
      </xdr:nvGrpSpPr>
      <xdr:grpSpPr>
        <a:xfrm>
          <a:off x="10629900" y="3038474"/>
          <a:ext cx="2181224" cy="2133599"/>
          <a:chOff x="11035527" y="3284190"/>
          <a:chExt cx="1246929" cy="1478326"/>
        </a:xfrm>
      </xdr:grpSpPr>
      <xdr:cxnSp macro="">
        <xdr:nvCxnSpPr>
          <xdr:cNvPr id="17" name="Straight Connector 16">
            <a:extLst>
              <a:ext uri="{FF2B5EF4-FFF2-40B4-BE49-F238E27FC236}">
                <a16:creationId xmlns:a16="http://schemas.microsoft.com/office/drawing/2014/main" id="{80124661-4C37-F33A-3BEE-46A55FBACE92}"/>
              </a:ext>
            </a:extLst>
          </xdr:cNvPr>
          <xdr:cNvCxnSpPr/>
        </xdr:nvCxnSpPr>
        <xdr:spPr>
          <a:xfrm>
            <a:off x="11210457" y="4755415"/>
            <a:ext cx="187264" cy="101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Straight Connector 17">
            <a:extLst>
              <a:ext uri="{FF2B5EF4-FFF2-40B4-BE49-F238E27FC236}">
                <a16:creationId xmlns:a16="http://schemas.microsoft.com/office/drawing/2014/main" id="{0F39139E-2AC1-404D-7BFF-D0EDEED93ED9}"/>
              </a:ext>
            </a:extLst>
          </xdr:cNvPr>
          <xdr:cNvCxnSpPr/>
        </xdr:nvCxnSpPr>
        <xdr:spPr>
          <a:xfrm>
            <a:off x="11209708" y="3398014"/>
            <a:ext cx="186965" cy="101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Straight Connector 18">
            <a:extLst>
              <a:ext uri="{FF2B5EF4-FFF2-40B4-BE49-F238E27FC236}">
                <a16:creationId xmlns:a16="http://schemas.microsoft.com/office/drawing/2014/main" id="{089A8B6A-6E37-D5EF-E3E2-109AFECB964B}"/>
              </a:ext>
            </a:extLst>
          </xdr:cNvPr>
          <xdr:cNvCxnSpPr/>
        </xdr:nvCxnSpPr>
        <xdr:spPr>
          <a:xfrm>
            <a:off x="11189798" y="4166149"/>
            <a:ext cx="181034" cy="101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Straight Connector 19">
            <a:extLst>
              <a:ext uri="{FF2B5EF4-FFF2-40B4-BE49-F238E27FC236}">
                <a16:creationId xmlns:a16="http://schemas.microsoft.com/office/drawing/2014/main" id="{89C539DD-DD32-2FB2-A37E-DD7854BAD183}"/>
              </a:ext>
            </a:extLst>
          </xdr:cNvPr>
          <xdr:cNvCxnSpPr/>
        </xdr:nvCxnSpPr>
        <xdr:spPr>
          <a:xfrm>
            <a:off x="11291209" y="3389951"/>
            <a:ext cx="3420" cy="1372565"/>
          </a:xfrm>
          <a:prstGeom prst="lin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id="{F236167D-9177-35EE-D4BA-D9279F36ACF8}"/>
              </a:ext>
            </a:extLst>
          </xdr:cNvPr>
          <xdr:cNvSpPr/>
        </xdr:nvSpPr>
        <xdr:spPr bwMode="auto">
          <a:xfrm>
            <a:off x="11347361" y="3770491"/>
            <a:ext cx="75856" cy="220165"/>
          </a:xfrm>
          <a:prstGeom prst="rect">
            <a:avLst/>
          </a:prstGeom>
          <a:blipFill>
            <a:blip xmlns:r="http://schemas.openxmlformats.org/officeDocument/2006/relationships" r:embed="rId2" cstate="print"/>
            <a:stretch>
              <a:fillRect/>
            </a:stretch>
          </a:blipFill>
          <a:ln w="6350">
            <a:solidFill>
              <a:schemeClr val="tx1"/>
            </a:solidFill>
            <a:round/>
            <a:headEnd/>
            <a:tailEnd/>
          </a:ln>
          <a:scene3d>
            <a:camera prst="orthographicFront"/>
            <a:lightRig rig="threePt" dir="t"/>
          </a:scene3d>
          <a:sp3d/>
        </xdr:spPr>
        <xdr:txBody>
          <a:bodyPr rtlCol="0" anchor="ctr">
            <a:flatTx/>
          </a:bodyPr>
          <a:lstStyle/>
          <a:p>
            <a:pPr algn="ctr"/>
            <a:endParaRPr lang="en-US" sz="1100"/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DD357D79-D2CE-8F0D-DA56-F169AF0C86F7}"/>
              </a:ext>
            </a:extLst>
          </xdr:cNvPr>
          <xdr:cNvSpPr txBox="1"/>
        </xdr:nvSpPr>
        <xdr:spPr>
          <a:xfrm>
            <a:off x="11442150" y="3820613"/>
            <a:ext cx="246531" cy="1037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r>
              <a:rPr lang="en-US" sz="800"/>
              <a:t>UDS</a:t>
            </a:r>
          </a:p>
        </xdr:txBody>
      </xdr:sp>
      <xdr:sp macro="" textlink="">
        <xdr:nvSpPr>
          <xdr:cNvPr id="23" name="Rectangle 22">
            <a:extLst>
              <a:ext uri="{FF2B5EF4-FFF2-40B4-BE49-F238E27FC236}">
                <a16:creationId xmlns:a16="http://schemas.microsoft.com/office/drawing/2014/main" id="{BD15BC45-F1E4-F2CD-868A-634A20CBCA6E}"/>
              </a:ext>
            </a:extLst>
          </xdr:cNvPr>
          <xdr:cNvSpPr/>
        </xdr:nvSpPr>
        <xdr:spPr bwMode="auto">
          <a:xfrm>
            <a:off x="11099835" y="3960088"/>
            <a:ext cx="378324" cy="231663"/>
          </a:xfrm>
          <a:prstGeom prst="rect">
            <a:avLst/>
          </a:prstGeom>
          <a:noFill/>
          <a:ln w="0">
            <a:noFill/>
            <a:round/>
            <a:headEnd/>
            <a:tailEnd/>
          </a:ln>
          <a:scene3d>
            <a:camera prst="orthographicFront"/>
            <a:lightRig rig="threePt" dir="t"/>
          </a:scene3d>
          <a:sp3d/>
        </xdr:spPr>
        <xdr:txBody>
          <a:bodyPr rtlCol="0" anchor="ctr">
            <a:flatTx/>
          </a:bodyPr>
          <a:lstStyle/>
          <a:p>
            <a:pPr algn="ctr"/>
            <a:r>
              <a:rPr lang="en-US" sz="1000"/>
              <a:t>GWL</a:t>
            </a:r>
          </a:p>
        </xdr:txBody>
      </xdr:sp>
      <xdr:sp macro="" textlink="">
        <xdr:nvSpPr>
          <xdr:cNvPr id="24" name="Rectangle 23">
            <a:extLst>
              <a:ext uri="{FF2B5EF4-FFF2-40B4-BE49-F238E27FC236}">
                <a16:creationId xmlns:a16="http://schemas.microsoft.com/office/drawing/2014/main" id="{EB940C87-8BA7-6935-ADA2-C1675DEB7D11}"/>
              </a:ext>
            </a:extLst>
          </xdr:cNvPr>
          <xdr:cNvSpPr/>
        </xdr:nvSpPr>
        <xdr:spPr bwMode="auto">
          <a:xfrm>
            <a:off x="11401240" y="3284190"/>
            <a:ext cx="881216" cy="262236"/>
          </a:xfrm>
          <a:prstGeom prst="rect">
            <a:avLst/>
          </a:prstGeom>
          <a:noFill/>
          <a:ln w="0">
            <a:noFill/>
            <a:round/>
            <a:headEnd/>
            <a:tailEnd/>
          </a:ln>
          <a:scene3d>
            <a:camera prst="orthographicFront"/>
            <a:lightRig rig="threePt" dir="t"/>
          </a:scene3d>
          <a:sp3d/>
        </xdr:spPr>
        <xdr:txBody>
          <a:bodyPr rtlCol="0" anchor="ctr">
            <a:flatTx/>
          </a:bodyPr>
          <a:lstStyle/>
          <a:p>
            <a:pPr algn="l"/>
            <a:r>
              <a:rPr lang="en-US" sz="1100"/>
              <a:t>GL</a:t>
            </a:r>
          </a:p>
        </xdr:txBody>
      </xdr:sp>
      <xdr:sp macro="" textlink="">
        <xdr:nvSpPr>
          <xdr:cNvPr id="25" name="Freeform 24">
            <a:extLst>
              <a:ext uri="{FF2B5EF4-FFF2-40B4-BE49-F238E27FC236}">
                <a16:creationId xmlns:a16="http://schemas.microsoft.com/office/drawing/2014/main" id="{E162A6F4-0C29-DF0A-0234-3E1E76A0FCF6}"/>
              </a:ext>
            </a:extLst>
          </xdr:cNvPr>
          <xdr:cNvSpPr/>
        </xdr:nvSpPr>
        <xdr:spPr>
          <a:xfrm>
            <a:off x="11244493" y="4191067"/>
            <a:ext cx="64635" cy="239844"/>
          </a:xfrm>
          <a:custGeom>
            <a:avLst/>
            <a:gdLst>
              <a:gd name="connsiteX0" fmla="*/ 47410 w 74241"/>
              <a:gd name="connsiteY0" fmla="*/ 0 h 261602"/>
              <a:gd name="connsiteX1" fmla="*/ 27287 w 74241"/>
              <a:gd name="connsiteY1" fmla="*/ 6707 h 261602"/>
              <a:gd name="connsiteX2" fmla="*/ 27287 w 74241"/>
              <a:gd name="connsiteY2" fmla="*/ 60369 h 261602"/>
              <a:gd name="connsiteX3" fmla="*/ 67533 w 74241"/>
              <a:gd name="connsiteY3" fmla="*/ 67077 h 261602"/>
              <a:gd name="connsiteX4" fmla="*/ 60826 w 74241"/>
              <a:gd name="connsiteY4" fmla="*/ 107324 h 261602"/>
              <a:gd name="connsiteX5" fmla="*/ 33995 w 74241"/>
              <a:gd name="connsiteY5" fmla="*/ 120739 h 261602"/>
              <a:gd name="connsiteX6" fmla="*/ 13871 w 74241"/>
              <a:gd name="connsiteY6" fmla="*/ 134155 h 261602"/>
              <a:gd name="connsiteX7" fmla="*/ 13871 w 74241"/>
              <a:gd name="connsiteY7" fmla="*/ 181109 h 261602"/>
              <a:gd name="connsiteX8" fmla="*/ 33995 w 74241"/>
              <a:gd name="connsiteY8" fmla="*/ 187817 h 261602"/>
              <a:gd name="connsiteX9" fmla="*/ 54118 w 74241"/>
              <a:gd name="connsiteY9" fmla="*/ 207940 h 261602"/>
              <a:gd name="connsiteX10" fmla="*/ 67533 w 74241"/>
              <a:gd name="connsiteY10" fmla="*/ 248186 h 261602"/>
              <a:gd name="connsiteX11" fmla="*/ 74241 w 74241"/>
              <a:gd name="connsiteY11" fmla="*/ 261602 h 261602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</a:cxnLst>
            <a:rect l="l" t="t" r="r" b="b"/>
            <a:pathLst>
              <a:path w="74241" h="261602">
                <a:moveTo>
                  <a:pt x="47410" y="0"/>
                </a:moveTo>
                <a:cubicBezTo>
                  <a:pt x="40702" y="2236"/>
                  <a:pt x="32287" y="1707"/>
                  <a:pt x="27287" y="6707"/>
                </a:cubicBezTo>
                <a:cubicBezTo>
                  <a:pt x="17066" y="16928"/>
                  <a:pt x="19044" y="53303"/>
                  <a:pt x="27287" y="60369"/>
                </a:cubicBezTo>
                <a:cubicBezTo>
                  <a:pt x="37613" y="69220"/>
                  <a:pt x="54118" y="64841"/>
                  <a:pt x="67533" y="67077"/>
                </a:cubicBezTo>
                <a:cubicBezTo>
                  <a:pt x="65297" y="80493"/>
                  <a:pt x="68034" y="95791"/>
                  <a:pt x="60826" y="107324"/>
                </a:cubicBezTo>
                <a:cubicBezTo>
                  <a:pt x="55526" y="115803"/>
                  <a:pt x="42677" y="115778"/>
                  <a:pt x="33995" y="120739"/>
                </a:cubicBezTo>
                <a:cubicBezTo>
                  <a:pt x="26995" y="124739"/>
                  <a:pt x="20579" y="129683"/>
                  <a:pt x="13871" y="134155"/>
                </a:cubicBezTo>
                <a:cubicBezTo>
                  <a:pt x="8429" y="150483"/>
                  <a:pt x="0" y="163770"/>
                  <a:pt x="13871" y="181109"/>
                </a:cubicBezTo>
                <a:cubicBezTo>
                  <a:pt x="18288" y="186630"/>
                  <a:pt x="27287" y="185581"/>
                  <a:pt x="33995" y="187817"/>
                </a:cubicBezTo>
                <a:cubicBezTo>
                  <a:pt x="40703" y="194525"/>
                  <a:pt x="49511" y="199648"/>
                  <a:pt x="54118" y="207940"/>
                </a:cubicBezTo>
                <a:cubicBezTo>
                  <a:pt x="60985" y="220301"/>
                  <a:pt x="63061" y="234771"/>
                  <a:pt x="67533" y="248186"/>
                </a:cubicBezTo>
                <a:cubicBezTo>
                  <a:pt x="69114" y="252929"/>
                  <a:pt x="72005" y="257130"/>
                  <a:pt x="74241" y="261602"/>
                </a:cubicBezTo>
              </a:path>
            </a:pathLst>
          </a:cu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6" name="Left Brace 25">
            <a:extLst>
              <a:ext uri="{FF2B5EF4-FFF2-40B4-BE49-F238E27FC236}">
                <a16:creationId xmlns:a16="http://schemas.microsoft.com/office/drawing/2014/main" id="{9FF9C5B1-525E-20B3-BEEB-23C299B15711}"/>
              </a:ext>
            </a:extLst>
          </xdr:cNvPr>
          <xdr:cNvSpPr/>
        </xdr:nvSpPr>
        <xdr:spPr>
          <a:xfrm>
            <a:off x="11055761" y="3389719"/>
            <a:ext cx="125510" cy="475242"/>
          </a:xfrm>
          <a:prstGeom prst="leftBrac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7" name="Left Brace 26">
            <a:extLst>
              <a:ext uri="{FF2B5EF4-FFF2-40B4-BE49-F238E27FC236}">
                <a16:creationId xmlns:a16="http://schemas.microsoft.com/office/drawing/2014/main" id="{82F4F3AB-5406-88C0-FF7F-2F0D797CB881}"/>
              </a:ext>
            </a:extLst>
          </xdr:cNvPr>
          <xdr:cNvSpPr/>
        </xdr:nvSpPr>
        <xdr:spPr>
          <a:xfrm>
            <a:off x="11035527" y="4160666"/>
            <a:ext cx="139308" cy="595251"/>
          </a:xfrm>
          <a:prstGeom prst="leftBrace">
            <a:avLst/>
          </a:prstGeom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rtlCol="0" anchor="ctr"/>
          <a:lstStyle/>
          <a:p>
            <a:pPr algn="ctr"/>
            <a:endParaRPr lang="en-US" sz="1100"/>
          </a:p>
        </xdr:txBody>
      </xdr:sp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</xdr:colOff>
      <xdr:row>51</xdr:row>
      <xdr:rowOff>7327</xdr:rowOff>
    </xdr:from>
    <xdr:to>
      <xdr:col>31</xdr:col>
      <xdr:colOff>12699</xdr:colOff>
      <xdr:row>69</xdr:row>
      <xdr:rowOff>304800</xdr:rowOff>
    </xdr:to>
    <xdr:graphicFrame macro="">
      <xdr:nvGraphicFramePr>
        <xdr:cNvPr id="2" name="Chart 4">
          <a:extLst>
            <a:ext uri="{FF2B5EF4-FFF2-40B4-BE49-F238E27FC236}">
              <a16:creationId xmlns:a16="http://schemas.microsoft.com/office/drawing/2014/main" id="{5646B971-CF9A-4735-9CCC-166D8D1F26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2</xdr:col>
      <xdr:colOff>19050</xdr:colOff>
      <xdr:row>51</xdr:row>
      <xdr:rowOff>13607</xdr:rowOff>
    </xdr:from>
    <xdr:to>
      <xdr:col>20</xdr:col>
      <xdr:colOff>307975</xdr:colOff>
      <xdr:row>63</xdr:row>
      <xdr:rowOff>95250</xdr:rowOff>
    </xdr:to>
    <xdr:graphicFrame macro="">
      <xdr:nvGraphicFramePr>
        <xdr:cNvPr id="3" name="Chart 26">
          <a:extLst>
            <a:ext uri="{FF2B5EF4-FFF2-40B4-BE49-F238E27FC236}">
              <a16:creationId xmlns:a16="http://schemas.microsoft.com/office/drawing/2014/main" id="{50DBC64F-B757-430A-8F9D-2ABC57868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twoCellAnchor>
  <xdr:twoCellAnchor>
    <xdr:from>
      <xdr:col>4</xdr:col>
      <xdr:colOff>180976</xdr:colOff>
      <xdr:row>112</xdr:row>
      <xdr:rowOff>92075</xdr:rowOff>
    </xdr:from>
    <xdr:to>
      <xdr:col>14</xdr:col>
      <xdr:colOff>267601</xdr:colOff>
      <xdr:row>127</xdr:row>
      <xdr:rowOff>65525</xdr:rowOff>
    </xdr:to>
    <xdr:sp macro="" textlink="">
      <xdr:nvSpPr>
        <xdr:cNvPr id="4" name="Rectangle 33">
          <a:extLst>
            <a:ext uri="{FF2B5EF4-FFF2-40B4-BE49-F238E27FC236}">
              <a16:creationId xmlns:a16="http://schemas.microsoft.com/office/drawing/2014/main" id="{032F09A1-171D-40D2-99AD-5350F2D258F0}"/>
            </a:ext>
          </a:extLst>
        </xdr:cNvPr>
        <xdr:cNvSpPr>
          <a:spLocks noChangeArrowheads="1"/>
        </xdr:cNvSpPr>
      </xdr:nvSpPr>
      <xdr:spPr bwMode="auto">
        <a:xfrm>
          <a:off x="1019176" y="24799925"/>
          <a:ext cx="1944000" cy="2545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6351</xdr:colOff>
      <xdr:row>32</xdr:row>
      <xdr:rowOff>102576</xdr:rowOff>
    </xdr:from>
    <xdr:to>
      <xdr:col>20</xdr:col>
      <xdr:colOff>304800</xdr:colOff>
      <xdr:row>42</xdr:row>
      <xdr:rowOff>176340</xdr:rowOff>
    </xdr:to>
    <xdr:graphicFrame macro="">
      <xdr:nvGraphicFramePr>
        <xdr:cNvPr id="5" name="Chart 2">
          <a:extLst>
            <a:ext uri="{FF2B5EF4-FFF2-40B4-BE49-F238E27FC236}">
              <a16:creationId xmlns:a16="http://schemas.microsoft.com/office/drawing/2014/main" id="{415BC627-A9A1-4EAA-AB43-8D8D30BBAC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2</xdr:col>
      <xdr:colOff>6351</xdr:colOff>
      <xdr:row>43</xdr:row>
      <xdr:rowOff>61307</xdr:rowOff>
    </xdr:from>
    <xdr:to>
      <xdr:col>20</xdr:col>
      <xdr:colOff>304800</xdr:colOff>
      <xdr:row>50</xdr:row>
      <xdr:rowOff>148515</xdr:rowOff>
    </xdr:to>
    <xdr:graphicFrame macro="">
      <xdr:nvGraphicFramePr>
        <xdr:cNvPr id="6" name="Chart 3">
          <a:extLst>
            <a:ext uri="{FF2B5EF4-FFF2-40B4-BE49-F238E27FC236}">
              <a16:creationId xmlns:a16="http://schemas.microsoft.com/office/drawing/2014/main" id="{2EBD9425-D904-4330-AF37-3B8A0DA78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21</xdr:col>
      <xdr:colOff>44450</xdr:colOff>
      <xdr:row>32</xdr:row>
      <xdr:rowOff>102576</xdr:rowOff>
    </xdr:from>
    <xdr:to>
      <xdr:col>30</xdr:col>
      <xdr:colOff>71300</xdr:colOff>
      <xdr:row>42</xdr:row>
      <xdr:rowOff>176340</xdr:rowOff>
    </xdr:to>
    <xdr:graphicFrame macro="">
      <xdr:nvGraphicFramePr>
        <xdr:cNvPr id="7" name="Chart 23">
          <a:extLst>
            <a:ext uri="{FF2B5EF4-FFF2-40B4-BE49-F238E27FC236}">
              <a16:creationId xmlns:a16="http://schemas.microsoft.com/office/drawing/2014/main" id="{44847F3B-D017-422C-B017-3795A399F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21</xdr:col>
      <xdr:colOff>50799</xdr:colOff>
      <xdr:row>43</xdr:row>
      <xdr:rowOff>58133</xdr:rowOff>
    </xdr:from>
    <xdr:to>
      <xdr:col>31</xdr:col>
      <xdr:colOff>0</xdr:colOff>
      <xdr:row>50</xdr:row>
      <xdr:rowOff>145341</xdr:rowOff>
    </xdr:to>
    <xdr:graphicFrame macro="">
      <xdr:nvGraphicFramePr>
        <xdr:cNvPr id="8" name="Chart 24">
          <a:extLst>
            <a:ext uri="{FF2B5EF4-FFF2-40B4-BE49-F238E27FC236}">
              <a16:creationId xmlns:a16="http://schemas.microsoft.com/office/drawing/2014/main" id="{2493412C-EE24-4A58-B82B-1CCFD3C6D9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>
    <xdr:from>
      <xdr:col>2</xdr:col>
      <xdr:colOff>25399</xdr:colOff>
      <xdr:row>63</xdr:row>
      <xdr:rowOff>241299</xdr:rowOff>
    </xdr:from>
    <xdr:to>
      <xdr:col>20</xdr:col>
      <xdr:colOff>317500</xdr:colOff>
      <xdr:row>69</xdr:row>
      <xdr:rowOff>304800</xdr:rowOff>
    </xdr:to>
    <xdr:graphicFrame macro="">
      <xdr:nvGraphicFramePr>
        <xdr:cNvPr id="9" name="Chart 25">
          <a:extLst>
            <a:ext uri="{FF2B5EF4-FFF2-40B4-BE49-F238E27FC236}">
              <a16:creationId xmlns:a16="http://schemas.microsoft.com/office/drawing/2014/main" id="{809C214F-6DD9-4D58-83A8-4EA70D512D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  <xdr:twoCellAnchor>
    <xdr:from>
      <xdr:col>14</xdr:col>
      <xdr:colOff>98914</xdr:colOff>
      <xdr:row>54</xdr:row>
      <xdr:rowOff>53731</xdr:rowOff>
    </xdr:from>
    <xdr:to>
      <xdr:col>18</xdr:col>
      <xdr:colOff>175847</xdr:colOff>
      <xdr:row>55</xdr:row>
      <xdr:rowOff>60082</xdr:rowOff>
    </xdr:to>
    <xdr:sp macro="" textlink="">
      <xdr:nvSpPr>
        <xdr:cNvPr id="10" name="Text 12">
          <a:extLst>
            <a:ext uri="{FF2B5EF4-FFF2-40B4-BE49-F238E27FC236}">
              <a16:creationId xmlns:a16="http://schemas.microsoft.com/office/drawing/2014/main" id="{0A706390-6EA8-4C08-9885-8D2BF65B3679}"/>
            </a:ext>
          </a:extLst>
        </xdr:cNvPr>
        <xdr:cNvSpPr txBox="1">
          <a:spLocks noChangeArrowheads="1"/>
        </xdr:cNvSpPr>
      </xdr:nvSpPr>
      <xdr:spPr bwMode="auto">
        <a:xfrm>
          <a:off x="2802549" y="10560539"/>
          <a:ext cx="1578952" cy="2261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ptos" panose="020B0004020202020204" pitchFamily="34" charset="0"/>
              <a:cs typeface="Arial"/>
            </a:rPr>
            <a:t>Peak strength</a:t>
          </a:r>
        </a:p>
      </xdr:txBody>
    </xdr:sp>
    <xdr:clientData/>
  </xdr:twoCellAnchor>
  <xdr:twoCellAnchor>
    <xdr:from>
      <xdr:col>8</xdr:col>
      <xdr:colOff>146537</xdr:colOff>
      <xdr:row>54</xdr:row>
      <xdr:rowOff>187813</xdr:rowOff>
    </xdr:from>
    <xdr:to>
      <xdr:col>14</xdr:col>
      <xdr:colOff>76686</xdr:colOff>
      <xdr:row>57</xdr:row>
      <xdr:rowOff>36634</xdr:rowOff>
    </xdr:to>
    <xdr:sp macro="" textlink="">
      <xdr:nvSpPr>
        <xdr:cNvPr id="11" name="Line 37">
          <a:extLst>
            <a:ext uri="{FF2B5EF4-FFF2-40B4-BE49-F238E27FC236}">
              <a16:creationId xmlns:a16="http://schemas.microsoft.com/office/drawing/2014/main" id="{CFF02C08-A5B7-4C85-8A8E-8F5D8B217B4A}"/>
            </a:ext>
          </a:extLst>
        </xdr:cNvPr>
        <xdr:cNvSpPr>
          <a:spLocks noChangeShapeType="1"/>
        </xdr:cNvSpPr>
      </xdr:nvSpPr>
      <xdr:spPr bwMode="auto">
        <a:xfrm flipH="1">
          <a:off x="1978268" y="10694621"/>
          <a:ext cx="802053" cy="50824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290147</xdr:colOff>
      <xdr:row>54</xdr:row>
      <xdr:rowOff>139456</xdr:rowOff>
    </xdr:from>
    <xdr:to>
      <xdr:col>20</xdr:col>
      <xdr:colOff>12456</xdr:colOff>
      <xdr:row>55</xdr:row>
      <xdr:rowOff>110881</xdr:rowOff>
    </xdr:to>
    <xdr:sp macro="" textlink="">
      <xdr:nvSpPr>
        <xdr:cNvPr id="12" name="Text 18">
          <a:extLst>
            <a:ext uri="{FF2B5EF4-FFF2-40B4-BE49-F238E27FC236}">
              <a16:creationId xmlns:a16="http://schemas.microsoft.com/office/drawing/2014/main" id="{1CE09F16-1EB2-4CDF-8103-EDC5EED88FA9}"/>
            </a:ext>
          </a:extLst>
        </xdr:cNvPr>
        <xdr:cNvSpPr txBox="1">
          <a:spLocks noChangeArrowheads="1"/>
        </xdr:cNvSpPr>
      </xdr:nvSpPr>
      <xdr:spPr bwMode="auto">
        <a:xfrm>
          <a:off x="3807070" y="10646264"/>
          <a:ext cx="1099771" cy="1912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ptos" panose="020B0004020202020204" pitchFamily="34" charset="0"/>
              <a:cs typeface="Arial"/>
            </a:rPr>
            <a:t>Residual strength</a:t>
          </a:r>
        </a:p>
      </xdr:txBody>
    </xdr:sp>
    <xdr:clientData/>
  </xdr:twoCellAnchor>
  <xdr:twoCellAnchor>
    <xdr:from>
      <xdr:col>15</xdr:col>
      <xdr:colOff>68629</xdr:colOff>
      <xdr:row>34</xdr:row>
      <xdr:rowOff>159727</xdr:rowOff>
    </xdr:from>
    <xdr:to>
      <xdr:col>17</xdr:col>
      <xdr:colOff>78154</xdr:colOff>
      <xdr:row>35</xdr:row>
      <xdr:rowOff>147027</xdr:rowOff>
    </xdr:to>
    <xdr:sp macro="" textlink="">
      <xdr:nvSpPr>
        <xdr:cNvPr id="13" name="Text 12">
          <a:extLst>
            <a:ext uri="{FF2B5EF4-FFF2-40B4-BE49-F238E27FC236}">
              <a16:creationId xmlns:a16="http://schemas.microsoft.com/office/drawing/2014/main" id="{61648498-C4CC-4415-A336-CB9FCFE6350E}"/>
            </a:ext>
          </a:extLst>
        </xdr:cNvPr>
        <xdr:cNvSpPr txBox="1">
          <a:spLocks noChangeArrowheads="1"/>
        </xdr:cNvSpPr>
      </xdr:nvSpPr>
      <xdr:spPr bwMode="auto">
        <a:xfrm>
          <a:off x="3241187" y="6270381"/>
          <a:ext cx="698255" cy="20710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ptos" panose="020B0004020202020204" pitchFamily="34" charset="0"/>
              <a:cs typeface="Arial"/>
            </a:rPr>
            <a:t>Peak strength</a:t>
          </a:r>
        </a:p>
      </xdr:txBody>
    </xdr:sp>
    <xdr:clientData/>
  </xdr:twoCellAnchor>
  <xdr:twoCellAnchor>
    <xdr:from>
      <xdr:col>11</xdr:col>
      <xdr:colOff>51288</xdr:colOff>
      <xdr:row>35</xdr:row>
      <xdr:rowOff>45427</xdr:rowOff>
    </xdr:from>
    <xdr:to>
      <xdr:col>15</xdr:col>
      <xdr:colOff>81328</xdr:colOff>
      <xdr:row>36</xdr:row>
      <xdr:rowOff>205154</xdr:rowOff>
    </xdr:to>
    <xdr:sp macro="" textlink="">
      <xdr:nvSpPr>
        <xdr:cNvPr id="14" name="Line 45">
          <a:extLst>
            <a:ext uri="{FF2B5EF4-FFF2-40B4-BE49-F238E27FC236}">
              <a16:creationId xmlns:a16="http://schemas.microsoft.com/office/drawing/2014/main" id="{865C5682-6776-4E62-86FD-BF35341CC447}"/>
            </a:ext>
          </a:extLst>
        </xdr:cNvPr>
        <xdr:cNvSpPr>
          <a:spLocks noChangeShapeType="1"/>
        </xdr:cNvSpPr>
      </xdr:nvSpPr>
      <xdr:spPr bwMode="auto">
        <a:xfrm flipH="1">
          <a:off x="2381250" y="6375889"/>
          <a:ext cx="872636" cy="37953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26</xdr:col>
      <xdr:colOff>237881</xdr:colOff>
      <xdr:row>34</xdr:row>
      <xdr:rowOff>50556</xdr:rowOff>
    </xdr:from>
    <xdr:to>
      <xdr:col>29</xdr:col>
      <xdr:colOff>329956</xdr:colOff>
      <xdr:row>35</xdr:row>
      <xdr:rowOff>18806</xdr:rowOff>
    </xdr:to>
    <xdr:sp macro="" textlink="">
      <xdr:nvSpPr>
        <xdr:cNvPr id="15" name="Text 12">
          <a:extLst>
            <a:ext uri="{FF2B5EF4-FFF2-40B4-BE49-F238E27FC236}">
              <a16:creationId xmlns:a16="http://schemas.microsoft.com/office/drawing/2014/main" id="{64619701-2475-42FD-919F-B0EBB5801B5B}"/>
            </a:ext>
          </a:extLst>
        </xdr:cNvPr>
        <xdr:cNvSpPr txBox="1">
          <a:spLocks noChangeArrowheads="1"/>
        </xdr:cNvSpPr>
      </xdr:nvSpPr>
      <xdr:spPr bwMode="auto">
        <a:xfrm>
          <a:off x="7172081" y="6165606"/>
          <a:ext cx="1444625" cy="187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ptos" panose="020B0004020202020204" pitchFamily="34" charset="0"/>
              <a:cs typeface="Arial"/>
            </a:rPr>
            <a:t>Peak strength</a:t>
          </a:r>
        </a:p>
      </xdr:txBody>
    </xdr:sp>
    <xdr:clientData/>
  </xdr:twoCellAnchor>
  <xdr:twoCellAnchor>
    <xdr:from>
      <xdr:col>25</xdr:col>
      <xdr:colOff>66675</xdr:colOff>
      <xdr:row>34</xdr:row>
      <xdr:rowOff>142875</xdr:rowOff>
    </xdr:from>
    <xdr:to>
      <xdr:col>26</xdr:col>
      <xdr:colOff>247650</xdr:colOff>
      <xdr:row>35</xdr:row>
      <xdr:rowOff>47625</xdr:rowOff>
    </xdr:to>
    <xdr:sp macro="" textlink="">
      <xdr:nvSpPr>
        <xdr:cNvPr id="16" name="Line 48">
          <a:extLst>
            <a:ext uri="{FF2B5EF4-FFF2-40B4-BE49-F238E27FC236}">
              <a16:creationId xmlns:a16="http://schemas.microsoft.com/office/drawing/2014/main" id="{15171335-2C41-4A49-AD5A-5221443CB005}"/>
            </a:ext>
          </a:extLst>
        </xdr:cNvPr>
        <xdr:cNvSpPr>
          <a:spLocks noChangeShapeType="1"/>
        </xdr:cNvSpPr>
      </xdr:nvSpPr>
      <xdr:spPr bwMode="auto">
        <a:xfrm flipH="1">
          <a:off x="6657975" y="6257925"/>
          <a:ext cx="523875" cy="1238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119673</xdr:colOff>
      <xdr:row>36</xdr:row>
      <xdr:rowOff>77177</xdr:rowOff>
    </xdr:from>
    <xdr:to>
      <xdr:col>19</xdr:col>
      <xdr:colOff>145073</xdr:colOff>
      <xdr:row>37</xdr:row>
      <xdr:rowOff>58127</xdr:rowOff>
    </xdr:to>
    <xdr:sp macro="" textlink="">
      <xdr:nvSpPr>
        <xdr:cNvPr id="17" name="Text 18">
          <a:extLst>
            <a:ext uri="{FF2B5EF4-FFF2-40B4-BE49-F238E27FC236}">
              <a16:creationId xmlns:a16="http://schemas.microsoft.com/office/drawing/2014/main" id="{71648FF0-0184-4E74-BD79-96E7463A688C}"/>
            </a:ext>
          </a:extLst>
        </xdr:cNvPr>
        <xdr:cNvSpPr txBox="1">
          <a:spLocks noChangeArrowheads="1"/>
        </xdr:cNvSpPr>
      </xdr:nvSpPr>
      <xdr:spPr bwMode="auto">
        <a:xfrm>
          <a:off x="3636596" y="6627446"/>
          <a:ext cx="1058496" cy="2007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ptos" panose="020B0004020202020204" pitchFamily="34" charset="0"/>
              <a:cs typeface="Arial"/>
            </a:rPr>
            <a:t>Residual strength</a:t>
          </a:r>
        </a:p>
      </xdr:txBody>
    </xdr:sp>
    <xdr:clientData/>
  </xdr:twoCellAnchor>
  <xdr:twoCellAnchor>
    <xdr:from>
      <xdr:col>14</xdr:col>
      <xdr:colOff>410306</xdr:colOff>
      <xdr:row>37</xdr:row>
      <xdr:rowOff>26377</xdr:rowOff>
    </xdr:from>
    <xdr:to>
      <xdr:col>16</xdr:col>
      <xdr:colOff>135547</xdr:colOff>
      <xdr:row>38</xdr:row>
      <xdr:rowOff>65942</xdr:rowOff>
    </xdr:to>
    <xdr:sp macro="" textlink="">
      <xdr:nvSpPr>
        <xdr:cNvPr id="18" name="Line 51">
          <a:extLst>
            <a:ext uri="{FF2B5EF4-FFF2-40B4-BE49-F238E27FC236}">
              <a16:creationId xmlns:a16="http://schemas.microsoft.com/office/drawing/2014/main" id="{6A5D793A-9BE8-40B1-98C6-2916B8F88BE2}"/>
            </a:ext>
          </a:extLst>
        </xdr:cNvPr>
        <xdr:cNvSpPr>
          <a:spLocks noChangeShapeType="1"/>
        </xdr:cNvSpPr>
      </xdr:nvSpPr>
      <xdr:spPr bwMode="auto">
        <a:xfrm flipH="1">
          <a:off x="3113941" y="6796454"/>
          <a:ext cx="538529" cy="259373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29</xdr:col>
      <xdr:colOff>21981</xdr:colOff>
      <xdr:row>34</xdr:row>
      <xdr:rowOff>114055</xdr:rowOff>
    </xdr:from>
    <xdr:to>
      <xdr:col>32</xdr:col>
      <xdr:colOff>247406</xdr:colOff>
      <xdr:row>35</xdr:row>
      <xdr:rowOff>85480</xdr:rowOff>
    </xdr:to>
    <xdr:sp macro="" textlink="">
      <xdr:nvSpPr>
        <xdr:cNvPr id="19" name="Text 18">
          <a:extLst>
            <a:ext uri="{FF2B5EF4-FFF2-40B4-BE49-F238E27FC236}">
              <a16:creationId xmlns:a16="http://schemas.microsoft.com/office/drawing/2014/main" id="{EC4292DB-B4DA-4031-903E-A389EFDD0830}"/>
            </a:ext>
          </a:extLst>
        </xdr:cNvPr>
        <xdr:cNvSpPr txBox="1">
          <a:spLocks noChangeArrowheads="1"/>
        </xdr:cNvSpPr>
      </xdr:nvSpPr>
      <xdr:spPr bwMode="auto">
        <a:xfrm>
          <a:off x="8308731" y="6229105"/>
          <a:ext cx="1330325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Aptos" panose="020B0004020202020204" pitchFamily="34" charset="0"/>
              <a:cs typeface="Arial"/>
            </a:rPr>
            <a:t>Residual strength</a:t>
          </a:r>
        </a:p>
      </xdr:txBody>
    </xdr:sp>
    <xdr:clientData/>
  </xdr:twoCellAnchor>
  <xdr:twoCellAnchor>
    <xdr:from>
      <xdr:col>28</xdr:col>
      <xdr:colOff>219075</xdr:colOff>
      <xdr:row>34</xdr:row>
      <xdr:rowOff>164856</xdr:rowOff>
    </xdr:from>
    <xdr:to>
      <xdr:col>29</xdr:col>
      <xdr:colOff>2931</xdr:colOff>
      <xdr:row>36</xdr:row>
      <xdr:rowOff>152400</xdr:rowOff>
    </xdr:to>
    <xdr:sp macro="" textlink="">
      <xdr:nvSpPr>
        <xdr:cNvPr id="20" name="Line 54">
          <a:extLst>
            <a:ext uri="{FF2B5EF4-FFF2-40B4-BE49-F238E27FC236}">
              <a16:creationId xmlns:a16="http://schemas.microsoft.com/office/drawing/2014/main" id="{CFFDDDA8-8F39-4736-9F31-79A42965B166}"/>
            </a:ext>
          </a:extLst>
        </xdr:cNvPr>
        <xdr:cNvSpPr>
          <a:spLocks noChangeShapeType="1"/>
        </xdr:cNvSpPr>
      </xdr:nvSpPr>
      <xdr:spPr bwMode="auto">
        <a:xfrm flipH="1">
          <a:off x="7591425" y="6279906"/>
          <a:ext cx="698256" cy="425694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56</xdr:col>
      <xdr:colOff>438150</xdr:colOff>
      <xdr:row>42</xdr:row>
      <xdr:rowOff>200026</xdr:rowOff>
    </xdr:from>
    <xdr:to>
      <xdr:col>57</xdr:col>
      <xdr:colOff>0</xdr:colOff>
      <xdr:row>43</xdr:row>
      <xdr:rowOff>152401</xdr:rowOff>
    </xdr:to>
    <xdr:sp macro="" textlink="">
      <xdr:nvSpPr>
        <xdr:cNvPr id="21" name="WordArt 55">
          <a:extLst>
            <a:ext uri="{FF2B5EF4-FFF2-40B4-BE49-F238E27FC236}">
              <a16:creationId xmlns:a16="http://schemas.microsoft.com/office/drawing/2014/main" id="{B2928ECC-380F-4E1D-B789-48341F7C8366}"/>
            </a:ext>
          </a:extLst>
        </xdr:cNvPr>
        <xdr:cNvSpPr>
          <a:spLocks noChangeArrowheads="1" noChangeShapeType="1" noTextEdit="1"/>
        </xdr:cNvSpPr>
      </xdr:nvSpPr>
      <xdr:spPr bwMode="auto">
        <a:xfrm rot="19179608">
          <a:off x="22136100" y="8505826"/>
          <a:ext cx="409575" cy="1714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800" spc="0">
              <a:ln w="127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    Peak</a:t>
          </a:r>
        </a:p>
      </xdr:txBody>
    </xdr:sp>
    <xdr:clientData fLocksWithSheet="0"/>
  </xdr:twoCellAnchor>
  <xdr:twoCellAnchor>
    <xdr:from>
      <xdr:col>56</xdr:col>
      <xdr:colOff>581025</xdr:colOff>
      <xdr:row>44</xdr:row>
      <xdr:rowOff>76200</xdr:rowOff>
    </xdr:from>
    <xdr:to>
      <xdr:col>57</xdr:col>
      <xdr:colOff>161925</xdr:colOff>
      <xdr:row>44</xdr:row>
      <xdr:rowOff>209550</xdr:rowOff>
    </xdr:to>
    <xdr:sp macro="" textlink="">
      <xdr:nvSpPr>
        <xdr:cNvPr id="22" name="WordArt 58">
          <a:extLst>
            <a:ext uri="{FF2B5EF4-FFF2-40B4-BE49-F238E27FC236}">
              <a16:creationId xmlns:a16="http://schemas.microsoft.com/office/drawing/2014/main" id="{6C34E15A-FDEF-4C1C-B70E-35B6203B616E}"/>
            </a:ext>
          </a:extLst>
        </xdr:cNvPr>
        <xdr:cNvSpPr>
          <a:spLocks noChangeArrowheads="1" noChangeShapeType="1" noTextEdit="1"/>
        </xdr:cNvSpPr>
      </xdr:nvSpPr>
      <xdr:spPr bwMode="auto">
        <a:xfrm rot="20178464">
          <a:off x="22278975" y="8820150"/>
          <a:ext cx="428625" cy="13335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n-US" sz="800" spc="0">
              <a:ln w="1270">
                <a:solidFill>
                  <a:srgbClr val="000000"/>
                </a:solidFill>
                <a:round/>
                <a:headEnd/>
                <a:tailEnd/>
              </a:ln>
              <a:solidFill>
                <a:srgbClr xmlns:mc="http://schemas.openxmlformats.org/markup-compatibility/2006" xmlns:a14="http://schemas.microsoft.com/office/drawing/2010/main" val="000000" mc:Ignorable="a14" a14:legacySpreadsheetColorIndex="8"/>
              </a:solidFill>
              <a:effectLst/>
              <a:latin typeface="Arial" panose="020B0604020202020204" pitchFamily="34" charset="0"/>
              <a:cs typeface="Arial" panose="020B0604020202020204" pitchFamily="34" charset="0"/>
            </a:rPr>
            <a:t>Residual</a:t>
          </a:r>
        </a:p>
      </xdr:txBody>
    </xdr:sp>
    <xdr:clientData fLocksWithSheet="0"/>
  </xdr:twoCellAnchor>
  <xdr:twoCellAnchor editAs="oneCell">
    <xdr:from>
      <xdr:col>3</xdr:col>
      <xdr:colOff>76200</xdr:colOff>
      <xdr:row>2</xdr:row>
      <xdr:rowOff>95250</xdr:rowOff>
    </xdr:from>
    <xdr:to>
      <xdr:col>6</xdr:col>
      <xdr:colOff>171450</xdr:colOff>
      <xdr:row>6</xdr:row>
      <xdr:rowOff>104775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B1A5C6A-18FB-4C09-A6FF-096BA36E5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285750"/>
          <a:ext cx="838200" cy="800100"/>
        </a:xfrm>
        <a:prstGeom prst="rect">
          <a:avLst/>
        </a:prstGeom>
      </xdr:spPr>
    </xdr:pic>
    <xdr:clientData/>
  </xdr:twoCellAnchor>
  <xdr:twoCellAnchor>
    <xdr:from>
      <xdr:col>29</xdr:col>
      <xdr:colOff>341680</xdr:colOff>
      <xdr:row>58</xdr:row>
      <xdr:rowOff>107951</xdr:rowOff>
    </xdr:from>
    <xdr:to>
      <xdr:col>29</xdr:col>
      <xdr:colOff>925880</xdr:colOff>
      <xdr:row>59</xdr:row>
      <xdr:rowOff>53242</xdr:rowOff>
    </xdr:to>
    <xdr:sp macro="" textlink="">
      <xdr:nvSpPr>
        <xdr:cNvPr id="25" name="Text 12">
          <a:extLst>
            <a:ext uri="{FF2B5EF4-FFF2-40B4-BE49-F238E27FC236}">
              <a16:creationId xmlns:a16="http://schemas.microsoft.com/office/drawing/2014/main" id="{DECB6227-D8DB-4C05-B189-BF085D70FA1C}"/>
            </a:ext>
          </a:extLst>
        </xdr:cNvPr>
        <xdr:cNvSpPr txBox="1">
          <a:spLocks noChangeArrowheads="1"/>
        </xdr:cNvSpPr>
      </xdr:nvSpPr>
      <xdr:spPr bwMode="auto">
        <a:xfrm>
          <a:off x="8657738" y="11493989"/>
          <a:ext cx="584200" cy="1944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ptos" panose="020B0004020202020204" pitchFamily="34" charset="0"/>
              <a:cs typeface="Arial"/>
            </a:rPr>
            <a:t>Peak</a:t>
          </a:r>
        </a:p>
      </xdr:txBody>
    </xdr:sp>
    <xdr:clientData/>
  </xdr:twoCellAnchor>
  <xdr:twoCellAnchor>
    <xdr:from>
      <xdr:col>29</xdr:col>
      <xdr:colOff>334842</xdr:colOff>
      <xdr:row>59</xdr:row>
      <xdr:rowOff>111126</xdr:rowOff>
    </xdr:from>
    <xdr:to>
      <xdr:col>29</xdr:col>
      <xdr:colOff>871417</xdr:colOff>
      <xdr:row>60</xdr:row>
      <xdr:rowOff>55685</xdr:rowOff>
    </xdr:to>
    <xdr:sp macro="" textlink="">
      <xdr:nvSpPr>
        <xdr:cNvPr id="26" name="Text 12">
          <a:extLst>
            <a:ext uri="{FF2B5EF4-FFF2-40B4-BE49-F238E27FC236}">
              <a16:creationId xmlns:a16="http://schemas.microsoft.com/office/drawing/2014/main" id="{DE82BBCB-7671-4E00-9637-9102231E8B8F}"/>
            </a:ext>
          </a:extLst>
        </xdr:cNvPr>
        <xdr:cNvSpPr txBox="1">
          <a:spLocks noChangeArrowheads="1"/>
        </xdr:cNvSpPr>
      </xdr:nvSpPr>
      <xdr:spPr bwMode="auto">
        <a:xfrm>
          <a:off x="8650900" y="11746280"/>
          <a:ext cx="536575" cy="1936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900" b="1" i="0" u="none" strike="noStrike" baseline="0">
              <a:solidFill>
                <a:srgbClr val="000000"/>
              </a:solidFill>
              <a:latin typeface="Aptos" panose="020B0004020202020204" pitchFamily="34" charset="0"/>
              <a:cs typeface="Arial"/>
            </a:rPr>
            <a:t>Residual</a:t>
          </a:r>
        </a:p>
      </xdr:txBody>
    </xdr:sp>
    <xdr:clientData/>
  </xdr:twoCellAnchor>
  <xdr:twoCellAnchor editAs="oneCell">
    <xdr:from>
      <xdr:col>3</xdr:col>
      <xdr:colOff>63500</xdr:colOff>
      <xdr:row>76</xdr:row>
      <xdr:rowOff>155575</xdr:rowOff>
    </xdr:from>
    <xdr:to>
      <xdr:col>6</xdr:col>
      <xdr:colOff>69047</xdr:colOff>
      <xdr:row>80</xdr:row>
      <xdr:rowOff>95250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EE964A5-238B-409F-94B2-EB5168163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" y="16357600"/>
          <a:ext cx="748497" cy="730250"/>
        </a:xfrm>
        <a:prstGeom prst="rect">
          <a:avLst/>
        </a:prstGeom>
      </xdr:spPr>
    </xdr:pic>
    <xdr:clientData/>
  </xdr:twoCellAnchor>
  <xdr:twoCellAnchor>
    <xdr:from>
      <xdr:col>15</xdr:col>
      <xdr:colOff>276226</xdr:colOff>
      <xdr:row>112</xdr:row>
      <xdr:rowOff>101600</xdr:rowOff>
    </xdr:from>
    <xdr:to>
      <xdr:col>21</xdr:col>
      <xdr:colOff>162826</xdr:colOff>
      <xdr:row>127</xdr:row>
      <xdr:rowOff>75050</xdr:rowOff>
    </xdr:to>
    <xdr:sp macro="" textlink="">
      <xdr:nvSpPr>
        <xdr:cNvPr id="28" name="Rectangle 33">
          <a:extLst>
            <a:ext uri="{FF2B5EF4-FFF2-40B4-BE49-F238E27FC236}">
              <a16:creationId xmlns:a16="http://schemas.microsoft.com/office/drawing/2014/main" id="{1B74B175-8573-4BCE-8F20-9399B2988E66}"/>
            </a:ext>
          </a:extLst>
        </xdr:cNvPr>
        <xdr:cNvSpPr>
          <a:spLocks noChangeArrowheads="1"/>
        </xdr:cNvSpPr>
      </xdr:nvSpPr>
      <xdr:spPr bwMode="auto">
        <a:xfrm>
          <a:off x="3438526" y="24809450"/>
          <a:ext cx="1944000" cy="2545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266701</xdr:colOff>
      <xdr:row>112</xdr:row>
      <xdr:rowOff>92075</xdr:rowOff>
    </xdr:from>
    <xdr:to>
      <xdr:col>28</xdr:col>
      <xdr:colOff>400951</xdr:colOff>
      <xdr:row>127</xdr:row>
      <xdr:rowOff>65525</xdr:rowOff>
    </xdr:to>
    <xdr:sp macro="" textlink="">
      <xdr:nvSpPr>
        <xdr:cNvPr id="31" name="Rectangle 33">
          <a:extLst>
            <a:ext uri="{FF2B5EF4-FFF2-40B4-BE49-F238E27FC236}">
              <a16:creationId xmlns:a16="http://schemas.microsoft.com/office/drawing/2014/main" id="{77CCC5DA-F7D1-43AC-BB2B-6A365828932A}"/>
            </a:ext>
          </a:extLst>
        </xdr:cNvPr>
        <xdr:cNvSpPr>
          <a:spLocks noChangeArrowheads="1"/>
        </xdr:cNvSpPr>
      </xdr:nvSpPr>
      <xdr:spPr bwMode="auto">
        <a:xfrm>
          <a:off x="5829301" y="24799925"/>
          <a:ext cx="1944000" cy="2545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15</xdr:col>
      <xdr:colOff>124557</xdr:colOff>
      <xdr:row>55</xdr:row>
      <xdr:rowOff>88656</xdr:rowOff>
    </xdr:from>
    <xdr:to>
      <xdr:col>16</xdr:col>
      <xdr:colOff>280621</xdr:colOff>
      <xdr:row>57</xdr:row>
      <xdr:rowOff>219807</xdr:rowOff>
    </xdr:to>
    <xdr:sp macro="" textlink="">
      <xdr:nvSpPr>
        <xdr:cNvPr id="33" name="Line 40">
          <a:extLst>
            <a:ext uri="{FF2B5EF4-FFF2-40B4-BE49-F238E27FC236}">
              <a16:creationId xmlns:a16="http://schemas.microsoft.com/office/drawing/2014/main" id="{725AF43E-9CA2-4076-B3C2-059AE523B17C}"/>
            </a:ext>
          </a:extLst>
        </xdr:cNvPr>
        <xdr:cNvSpPr>
          <a:spLocks noChangeShapeType="1"/>
        </xdr:cNvSpPr>
      </xdr:nvSpPr>
      <xdr:spPr bwMode="auto">
        <a:xfrm flipH="1">
          <a:off x="3297115" y="10815271"/>
          <a:ext cx="500429" cy="570767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3246</xdr:colOff>
      <xdr:row>23</xdr:row>
      <xdr:rowOff>116081</xdr:rowOff>
    </xdr:from>
    <xdr:to>
      <xdr:col>30</xdr:col>
      <xdr:colOff>71033</xdr:colOff>
      <xdr:row>32</xdr:row>
      <xdr:rowOff>38520</xdr:rowOff>
    </xdr:to>
    <xdr:graphicFrame macro="">
      <xdr:nvGraphicFramePr>
        <xdr:cNvPr id="23" name="Chart 60">
          <a:extLst>
            <a:ext uri="{FF2B5EF4-FFF2-40B4-BE49-F238E27FC236}">
              <a16:creationId xmlns:a16="http://schemas.microsoft.com/office/drawing/2014/main" id="{B828C76B-486C-4973-9B0B-5BA7F0BD2C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207645</xdr:colOff>
      <xdr:row>1</xdr:row>
      <xdr:rowOff>66675</xdr:rowOff>
    </xdr:from>
    <xdr:ext cx="609141" cy="132665"/>
    <xdr:sp macro="" textlink="">
      <xdr:nvSpPr>
        <xdr:cNvPr id="2" name="Rectangle 22">
          <a:extLst>
            <a:ext uri="{FF2B5EF4-FFF2-40B4-BE49-F238E27FC236}">
              <a16:creationId xmlns:a16="http://schemas.microsoft.com/office/drawing/2014/main" id="{AB2E434F-243E-44D7-A1E6-CC4C6AA4A906}"/>
            </a:ext>
          </a:extLst>
        </xdr:cNvPr>
        <xdr:cNvSpPr>
          <a:spLocks noChangeArrowheads="1"/>
        </xdr:cNvSpPr>
      </xdr:nvSpPr>
      <xdr:spPr bwMode="auto">
        <a:xfrm>
          <a:off x="521970" y="238125"/>
          <a:ext cx="609141" cy="132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</a:p>
      </xdr:txBody>
    </xdr:sp>
    <xdr:clientData/>
  </xdr:oneCellAnchor>
  <xdr:oneCellAnchor>
    <xdr:from>
      <xdr:col>1</xdr:col>
      <xdr:colOff>207645</xdr:colOff>
      <xdr:row>2</xdr:row>
      <xdr:rowOff>66675</xdr:rowOff>
    </xdr:from>
    <xdr:ext cx="256480" cy="132665"/>
    <xdr:sp macro="" textlink="">
      <xdr:nvSpPr>
        <xdr:cNvPr id="3" name="Rectangle 23">
          <a:extLst>
            <a:ext uri="{FF2B5EF4-FFF2-40B4-BE49-F238E27FC236}">
              <a16:creationId xmlns:a16="http://schemas.microsoft.com/office/drawing/2014/main" id="{5F57F235-B23A-4F5E-8583-EA19A5B1B719}"/>
            </a:ext>
          </a:extLst>
        </xdr:cNvPr>
        <xdr:cNvSpPr>
          <a:spLocks noChangeArrowheads="1"/>
        </xdr:cNvSpPr>
      </xdr:nvSpPr>
      <xdr:spPr bwMode="auto">
        <a:xfrm>
          <a:off x="521970" y="428625"/>
          <a:ext cx="256480" cy="132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9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</xdr:txBody>
    </xdr:sp>
    <xdr:clientData/>
  </xdr:oneCellAnchor>
  <xdr:oneCellAnchor>
    <xdr:from>
      <xdr:col>4</xdr:col>
      <xdr:colOff>312420</xdr:colOff>
      <xdr:row>1</xdr:row>
      <xdr:rowOff>161925</xdr:rowOff>
    </xdr:from>
    <xdr:ext cx="49309" cy="266098"/>
    <xdr:sp macro="" textlink="">
      <xdr:nvSpPr>
        <xdr:cNvPr id="4" name="Rectangle 25">
          <a:extLst>
            <a:ext uri="{FF2B5EF4-FFF2-40B4-BE49-F238E27FC236}">
              <a16:creationId xmlns:a16="http://schemas.microsoft.com/office/drawing/2014/main" id="{38A70EAA-7C2E-43AB-B56E-E33ED13CB3A0}"/>
            </a:ext>
          </a:extLst>
        </xdr:cNvPr>
        <xdr:cNvSpPr>
          <a:spLocks noChangeArrowheads="1"/>
        </xdr:cNvSpPr>
      </xdr:nvSpPr>
      <xdr:spPr bwMode="auto">
        <a:xfrm>
          <a:off x="2207895" y="333375"/>
          <a:ext cx="49309" cy="2660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700" b="0" i="0" u="none" strike="noStrike" baseline="0">
              <a:solidFill>
                <a:srgbClr val="000000"/>
              </a:solidFill>
              <a:latin typeface="Benguiat Frisky ATT"/>
            </a:rPr>
            <a:t> </a:t>
          </a:r>
        </a:p>
      </xdr:txBody>
    </xdr:sp>
    <xdr:clientData/>
  </xdr:oneCellAnchor>
  <xdr:oneCellAnchor>
    <xdr:from>
      <xdr:col>5</xdr:col>
      <xdr:colOff>236220</xdr:colOff>
      <xdr:row>1</xdr:row>
      <xdr:rowOff>182880</xdr:rowOff>
    </xdr:from>
    <xdr:ext cx="0" cy="167640"/>
    <xdr:sp macro="" textlink="">
      <xdr:nvSpPr>
        <xdr:cNvPr id="5" name="Rectangle 27">
          <a:extLst>
            <a:ext uri="{FF2B5EF4-FFF2-40B4-BE49-F238E27FC236}">
              <a16:creationId xmlns:a16="http://schemas.microsoft.com/office/drawing/2014/main" id="{31F818CA-32D6-416E-A2FC-E492F085D977}"/>
            </a:ext>
          </a:extLst>
        </xdr:cNvPr>
        <xdr:cNvSpPr>
          <a:spLocks noChangeArrowheads="1"/>
        </xdr:cNvSpPr>
      </xdr:nvSpPr>
      <xdr:spPr bwMode="auto">
        <a:xfrm>
          <a:off x="2779395" y="354330"/>
          <a:ext cx="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207645</xdr:colOff>
      <xdr:row>2</xdr:row>
      <xdr:rowOff>180975</xdr:rowOff>
    </xdr:from>
    <xdr:ext cx="254942" cy="172227"/>
    <xdr:sp macro="" textlink="">
      <xdr:nvSpPr>
        <xdr:cNvPr id="6" name="Rectangle 28">
          <a:extLst>
            <a:ext uri="{FF2B5EF4-FFF2-40B4-BE49-F238E27FC236}">
              <a16:creationId xmlns:a16="http://schemas.microsoft.com/office/drawing/2014/main" id="{9982C43E-E7D5-499F-8205-B1B29123E9F2}"/>
            </a:ext>
          </a:extLst>
        </xdr:cNvPr>
        <xdr:cNvSpPr>
          <a:spLocks noChangeArrowheads="1"/>
        </xdr:cNvSpPr>
      </xdr:nvSpPr>
      <xdr:spPr bwMode="auto">
        <a:xfrm>
          <a:off x="521970" y="542925"/>
          <a:ext cx="254942" cy="1722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100" b="0" i="0" u="none" strike="noStrike" baseline="0">
              <a:solidFill>
                <a:srgbClr val="FF0000"/>
              </a:solidFill>
              <a:latin typeface="Benguiat Frisky ATT"/>
            </a:rPr>
            <a:t>        </a:t>
          </a:r>
        </a:p>
      </xdr:txBody>
    </xdr:sp>
    <xdr:clientData/>
  </xdr:oneCellAnchor>
  <xdr:oneCellAnchor>
    <xdr:from>
      <xdr:col>0</xdr:col>
      <xdr:colOff>38100</xdr:colOff>
      <xdr:row>3</xdr:row>
      <xdr:rowOff>150495</xdr:rowOff>
    </xdr:from>
    <xdr:ext cx="64057" cy="88422"/>
    <xdr:sp macro="" textlink="">
      <xdr:nvSpPr>
        <xdr:cNvPr id="7" name="Rectangle 30">
          <a:extLst>
            <a:ext uri="{FF2B5EF4-FFF2-40B4-BE49-F238E27FC236}">
              <a16:creationId xmlns:a16="http://schemas.microsoft.com/office/drawing/2014/main" id="{2B69046C-2575-4702-B6AB-F18F546E5E93}"/>
            </a:ext>
          </a:extLst>
        </xdr:cNvPr>
        <xdr:cNvSpPr>
          <a:spLocks noChangeArrowheads="1"/>
        </xdr:cNvSpPr>
      </xdr:nvSpPr>
      <xdr:spPr bwMode="auto">
        <a:xfrm>
          <a:off x="38100" y="702945"/>
          <a:ext cx="64057" cy="884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600" b="0" i="1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</a:p>
      </xdr:txBody>
    </xdr:sp>
    <xdr:clientData/>
  </xdr:oneCellAnchor>
  <xdr:twoCellAnchor>
    <xdr:from>
      <xdr:col>0</xdr:col>
      <xdr:colOff>0</xdr:colOff>
      <xdr:row>90</xdr:row>
      <xdr:rowOff>0</xdr:rowOff>
    </xdr:from>
    <xdr:to>
      <xdr:col>0</xdr:col>
      <xdr:colOff>7620</xdr:colOff>
      <xdr:row>90</xdr:row>
      <xdr:rowOff>0</xdr:rowOff>
    </xdr:to>
    <xdr:pic>
      <xdr:nvPicPr>
        <xdr:cNvPr id="8" name="Picture 13">
          <a:extLst>
            <a:ext uri="{FF2B5EF4-FFF2-40B4-BE49-F238E27FC236}">
              <a16:creationId xmlns:a16="http://schemas.microsoft.com/office/drawing/2014/main" id="{C9AC2B7E-DF6F-49D9-9E6D-B29432B4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831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9" name="Rectangle 3">
          <a:extLst>
            <a:ext uri="{FF2B5EF4-FFF2-40B4-BE49-F238E27FC236}">
              <a16:creationId xmlns:a16="http://schemas.microsoft.com/office/drawing/2014/main" id="{9AC15544-6B92-4A4C-9A7C-EC506A4526F8}"/>
            </a:ext>
          </a:extLst>
        </xdr:cNvPr>
        <xdr:cNvSpPr>
          <a:spLocks noChangeArrowheads="1"/>
        </xdr:cNvSpPr>
      </xdr:nvSpPr>
      <xdr:spPr bwMode="auto">
        <a:xfrm>
          <a:off x="0" y="175831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90</xdr:row>
      <xdr:rowOff>0</xdr:rowOff>
    </xdr:from>
    <xdr:to>
      <xdr:col>0</xdr:col>
      <xdr:colOff>7620</xdr:colOff>
      <xdr:row>90</xdr:row>
      <xdr:rowOff>0</xdr:rowOff>
    </xdr:to>
    <xdr:pic>
      <xdr:nvPicPr>
        <xdr:cNvPr id="10" name="Picture 15">
          <a:extLst>
            <a:ext uri="{FF2B5EF4-FFF2-40B4-BE49-F238E27FC236}">
              <a16:creationId xmlns:a16="http://schemas.microsoft.com/office/drawing/2014/main" id="{948BAF26-77D3-48E0-BA78-695BBEBB0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831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0</xdr:colOff>
      <xdr:row>90</xdr:row>
      <xdr:rowOff>0</xdr:rowOff>
    </xdr:to>
    <xdr:sp macro="" textlink="">
      <xdr:nvSpPr>
        <xdr:cNvPr id="11" name="Rectangle 5">
          <a:extLst>
            <a:ext uri="{FF2B5EF4-FFF2-40B4-BE49-F238E27FC236}">
              <a16:creationId xmlns:a16="http://schemas.microsoft.com/office/drawing/2014/main" id="{1D96044E-E5E1-465A-9949-F65F3B84B034}"/>
            </a:ext>
          </a:extLst>
        </xdr:cNvPr>
        <xdr:cNvSpPr>
          <a:spLocks noChangeArrowheads="1"/>
        </xdr:cNvSpPr>
      </xdr:nvSpPr>
      <xdr:spPr bwMode="auto">
        <a:xfrm>
          <a:off x="0" y="175831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49</xdr:row>
      <xdr:rowOff>76200</xdr:rowOff>
    </xdr:from>
    <xdr:to>
      <xdr:col>16</xdr:col>
      <xdr:colOff>22860</xdr:colOff>
      <xdr:row>72</xdr:row>
      <xdr:rowOff>167640</xdr:rowOff>
    </xdr:to>
    <xdr:graphicFrame macro="">
      <xdr:nvGraphicFramePr>
        <xdr:cNvPr id="12" name="Chart 14">
          <a:extLst>
            <a:ext uri="{FF2B5EF4-FFF2-40B4-BE49-F238E27FC236}">
              <a16:creationId xmlns:a16="http://schemas.microsoft.com/office/drawing/2014/main" id="{6264D546-9CF3-452E-9F53-FA058DDEBA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twoCellAnchor>
  <xdr:twoCellAnchor>
    <xdr:from>
      <xdr:col>1</xdr:col>
      <xdr:colOff>0</xdr:colOff>
      <xdr:row>126</xdr:row>
      <xdr:rowOff>76200</xdr:rowOff>
    </xdr:from>
    <xdr:to>
      <xdr:col>16</xdr:col>
      <xdr:colOff>22860</xdr:colOff>
      <xdr:row>149</xdr:row>
      <xdr:rowOff>167640</xdr:rowOff>
    </xdr:to>
    <xdr:graphicFrame macro="">
      <xdr:nvGraphicFramePr>
        <xdr:cNvPr id="13" name="Chart 16">
          <a:extLst>
            <a:ext uri="{FF2B5EF4-FFF2-40B4-BE49-F238E27FC236}">
              <a16:creationId xmlns:a16="http://schemas.microsoft.com/office/drawing/2014/main" id="{3718E760-9E61-4463-9212-00CAE907D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1</xdr:col>
      <xdr:colOff>0</xdr:colOff>
      <xdr:row>203</xdr:row>
      <xdr:rowOff>76200</xdr:rowOff>
    </xdr:from>
    <xdr:to>
      <xdr:col>16</xdr:col>
      <xdr:colOff>22860</xdr:colOff>
      <xdr:row>226</xdr:row>
      <xdr:rowOff>167640</xdr:rowOff>
    </xdr:to>
    <xdr:graphicFrame macro="">
      <xdr:nvGraphicFramePr>
        <xdr:cNvPr id="14" name="Chart 18">
          <a:extLst>
            <a:ext uri="{FF2B5EF4-FFF2-40B4-BE49-F238E27FC236}">
              <a16:creationId xmlns:a16="http://schemas.microsoft.com/office/drawing/2014/main" id="{F56B8506-487D-4A22-99F9-9F64F012A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oneCellAnchor>
    <xdr:from>
      <xdr:col>0</xdr:col>
      <xdr:colOff>145472</xdr:colOff>
      <xdr:row>1</xdr:row>
      <xdr:rowOff>76201</xdr:rowOff>
    </xdr:from>
    <xdr:ext cx="4307032" cy="633846"/>
    <xdr:pic>
      <xdr:nvPicPr>
        <xdr:cNvPr id="15" name="Picture 14">
          <a:extLst>
            <a:ext uri="{FF2B5EF4-FFF2-40B4-BE49-F238E27FC236}">
              <a16:creationId xmlns:a16="http://schemas.microsoft.com/office/drawing/2014/main" id="{A7F9FB3F-A454-450E-8382-6F693E824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145472" y="247651"/>
          <a:ext cx="4307032" cy="633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103908</xdr:colOff>
      <xdr:row>78</xdr:row>
      <xdr:rowOff>62346</xdr:rowOff>
    </xdr:from>
    <xdr:ext cx="4307032" cy="633845"/>
    <xdr:pic>
      <xdr:nvPicPr>
        <xdr:cNvPr id="16" name="Picture 15">
          <a:extLst>
            <a:ext uri="{FF2B5EF4-FFF2-40B4-BE49-F238E27FC236}">
              <a16:creationId xmlns:a16="http://schemas.microsoft.com/office/drawing/2014/main" id="{59CA6D4D-48AD-4475-A5F1-72B5CF2FE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103908" y="15359496"/>
          <a:ext cx="4307032" cy="633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214746</xdr:colOff>
      <xdr:row>155</xdr:row>
      <xdr:rowOff>76200</xdr:rowOff>
    </xdr:from>
    <xdr:ext cx="4291446" cy="633845"/>
    <xdr:pic>
      <xdr:nvPicPr>
        <xdr:cNvPr id="17" name="Picture 16">
          <a:extLst>
            <a:ext uri="{FF2B5EF4-FFF2-40B4-BE49-F238E27FC236}">
              <a16:creationId xmlns:a16="http://schemas.microsoft.com/office/drawing/2014/main" id="{879F125C-B760-41DD-BD28-22892FC3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214746" y="30499050"/>
          <a:ext cx="4291446" cy="6338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18</xdr:col>
      <xdr:colOff>511528</xdr:colOff>
      <xdr:row>51</xdr:row>
      <xdr:rowOff>123472</xdr:rowOff>
    </xdr:from>
    <xdr:to>
      <xdr:col>26</xdr:col>
      <xdr:colOff>370417</xdr:colOff>
      <xdr:row>82</xdr:row>
      <xdr:rowOff>141111</xdr:rowOff>
    </xdr:to>
    <xdr:graphicFrame macro="">
      <xdr:nvGraphicFramePr>
        <xdr:cNvPr id="18" name="Chart 14">
          <a:extLst>
            <a:ext uri="{FF2B5EF4-FFF2-40B4-BE49-F238E27FC236}">
              <a16:creationId xmlns:a16="http://schemas.microsoft.com/office/drawing/2014/main" id="{689A19B3-0587-4197-AD05-4C6700301E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 fLocksWithSheet="0"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64</xdr:row>
      <xdr:rowOff>0</xdr:rowOff>
    </xdr:from>
    <xdr:to>
      <xdr:col>0</xdr:col>
      <xdr:colOff>7620</xdr:colOff>
      <xdr:row>64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542A513E-2971-4B7E-87B6-0F0AF411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7310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0</xdr:colOff>
      <xdr:row>64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7738B0AA-F472-4511-AB9F-95C813FDBA85}"/>
            </a:ext>
          </a:extLst>
        </xdr:cNvPr>
        <xdr:cNvSpPr>
          <a:spLocks noChangeArrowheads="1"/>
        </xdr:cNvSpPr>
      </xdr:nvSpPr>
      <xdr:spPr bwMode="auto">
        <a:xfrm>
          <a:off x="0" y="1337310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0</xdr:col>
      <xdr:colOff>0</xdr:colOff>
      <xdr:row>64</xdr:row>
      <xdr:rowOff>0</xdr:rowOff>
    </xdr:from>
    <xdr:to>
      <xdr:col>0</xdr:col>
      <xdr:colOff>7620</xdr:colOff>
      <xdr:row>64</xdr:row>
      <xdr:rowOff>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BBE132CA-5147-4277-AD6C-BC19BEE00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7310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0</xdr:colOff>
      <xdr:row>64</xdr:row>
      <xdr:rowOff>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1CBB0408-51F5-4647-AE04-C51632A9B864}"/>
            </a:ext>
          </a:extLst>
        </xdr:cNvPr>
        <xdr:cNvSpPr>
          <a:spLocks noChangeArrowheads="1"/>
        </xdr:cNvSpPr>
      </xdr:nvSpPr>
      <xdr:spPr bwMode="auto">
        <a:xfrm>
          <a:off x="0" y="1337310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6</xdr:col>
      <xdr:colOff>167640</xdr:colOff>
      <xdr:row>22</xdr:row>
      <xdr:rowOff>30480</xdr:rowOff>
    </xdr:from>
    <xdr:to>
      <xdr:col>6</xdr:col>
      <xdr:colOff>411480</xdr:colOff>
      <xdr:row>22</xdr:row>
      <xdr:rowOff>190500</xdr:rowOff>
    </xdr:to>
    <xdr:grpSp>
      <xdr:nvGrpSpPr>
        <xdr:cNvPr id="6" name="Group 39">
          <a:extLst>
            <a:ext uri="{FF2B5EF4-FFF2-40B4-BE49-F238E27FC236}">
              <a16:creationId xmlns:a16="http://schemas.microsoft.com/office/drawing/2014/main" id="{B8258A24-D7BA-4E59-96A8-1DC1B5904EC5}"/>
            </a:ext>
          </a:extLst>
        </xdr:cNvPr>
        <xdr:cNvGrpSpPr>
          <a:grpSpLocks/>
        </xdr:cNvGrpSpPr>
      </xdr:nvGrpSpPr>
      <xdr:grpSpPr bwMode="auto">
        <a:xfrm>
          <a:off x="3378314" y="4696660"/>
          <a:ext cx="243840" cy="160020"/>
          <a:chOff x="334" y="483"/>
          <a:chExt cx="25" cy="17"/>
        </a:xfrm>
      </xdr:grpSpPr>
      <xdr:sp macro="" textlink="">
        <xdr:nvSpPr>
          <xdr:cNvPr id="7" name="Line 13">
            <a:extLst>
              <a:ext uri="{FF2B5EF4-FFF2-40B4-BE49-F238E27FC236}">
                <a16:creationId xmlns:a16="http://schemas.microsoft.com/office/drawing/2014/main" id="{D7AA66DD-74A3-F11A-BCA7-A60B07125E2D}"/>
              </a:ext>
            </a:extLst>
          </xdr:cNvPr>
          <xdr:cNvSpPr>
            <a:spLocks noChangeShapeType="1"/>
          </xdr:cNvSpPr>
        </xdr:nvSpPr>
        <xdr:spPr bwMode="auto">
          <a:xfrm>
            <a:off x="344" y="483"/>
            <a:ext cx="1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14">
            <a:extLst>
              <a:ext uri="{FF2B5EF4-FFF2-40B4-BE49-F238E27FC236}">
                <a16:creationId xmlns:a16="http://schemas.microsoft.com/office/drawing/2014/main" id="{8875D186-7AA5-A3EB-8A54-987013973FD5}"/>
              </a:ext>
            </a:extLst>
          </xdr:cNvPr>
          <xdr:cNvSpPr>
            <a:spLocks noChangeShapeType="1"/>
          </xdr:cNvSpPr>
        </xdr:nvSpPr>
        <xdr:spPr bwMode="auto">
          <a:xfrm flipH="1">
            <a:off x="335" y="484"/>
            <a:ext cx="9" cy="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15">
            <a:extLst>
              <a:ext uri="{FF2B5EF4-FFF2-40B4-BE49-F238E27FC236}">
                <a16:creationId xmlns:a16="http://schemas.microsoft.com/office/drawing/2014/main" id="{98718129-ABEE-A4BE-6171-A16ADEEA0D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34" y="493"/>
            <a:ext cx="1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40</xdr:row>
      <xdr:rowOff>15240</xdr:rowOff>
    </xdr:from>
    <xdr:to>
      <xdr:col>12</xdr:col>
      <xdr:colOff>914400</xdr:colOff>
      <xdr:row>56</xdr:row>
      <xdr:rowOff>7620</xdr:rowOff>
    </xdr:to>
    <xdr:graphicFrame macro="">
      <xdr:nvGraphicFramePr>
        <xdr:cNvPr id="10" name="Chart 16">
          <a:extLst>
            <a:ext uri="{FF2B5EF4-FFF2-40B4-BE49-F238E27FC236}">
              <a16:creationId xmlns:a16="http://schemas.microsoft.com/office/drawing/2014/main" id="{09C7ECC4-9D15-46BE-80CB-2187FBB777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104</xdr:row>
      <xdr:rowOff>15240</xdr:rowOff>
    </xdr:from>
    <xdr:to>
      <xdr:col>12</xdr:col>
      <xdr:colOff>914400</xdr:colOff>
      <xdr:row>120</xdr:row>
      <xdr:rowOff>7620</xdr:rowOff>
    </xdr:to>
    <xdr:graphicFrame macro="">
      <xdr:nvGraphicFramePr>
        <xdr:cNvPr id="11" name="Chart 24">
          <a:extLst>
            <a:ext uri="{FF2B5EF4-FFF2-40B4-BE49-F238E27FC236}">
              <a16:creationId xmlns:a16="http://schemas.microsoft.com/office/drawing/2014/main" id="{BEE5AFC3-5289-4FCC-933B-054209158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168</xdr:row>
      <xdr:rowOff>15240</xdr:rowOff>
    </xdr:from>
    <xdr:to>
      <xdr:col>12</xdr:col>
      <xdr:colOff>914400</xdr:colOff>
      <xdr:row>184</xdr:row>
      <xdr:rowOff>7620</xdr:rowOff>
    </xdr:to>
    <xdr:graphicFrame macro="">
      <xdr:nvGraphicFramePr>
        <xdr:cNvPr id="12" name="Chart 31">
          <a:extLst>
            <a:ext uri="{FF2B5EF4-FFF2-40B4-BE49-F238E27FC236}">
              <a16:creationId xmlns:a16="http://schemas.microsoft.com/office/drawing/2014/main" id="{4DCF5A10-C29F-47FE-B654-7F364419F1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45720</xdr:colOff>
      <xdr:row>56</xdr:row>
      <xdr:rowOff>190500</xdr:rowOff>
    </xdr:from>
    <xdr:to>
      <xdr:col>3</xdr:col>
      <xdr:colOff>525780</xdr:colOff>
      <xdr:row>57</xdr:row>
      <xdr:rowOff>182880</xdr:rowOff>
    </xdr:to>
    <xdr:grpSp>
      <xdr:nvGrpSpPr>
        <xdr:cNvPr id="13" name="Group 38">
          <a:extLst>
            <a:ext uri="{FF2B5EF4-FFF2-40B4-BE49-F238E27FC236}">
              <a16:creationId xmlns:a16="http://schemas.microsoft.com/office/drawing/2014/main" id="{54AA1B23-4DDF-4945-BE1C-4A8681A9E1BA}"/>
            </a:ext>
          </a:extLst>
        </xdr:cNvPr>
        <xdr:cNvGrpSpPr>
          <a:grpSpLocks/>
        </xdr:cNvGrpSpPr>
      </xdr:nvGrpSpPr>
      <xdr:grpSpPr bwMode="auto">
        <a:xfrm>
          <a:off x="1394203" y="12134208"/>
          <a:ext cx="480060" cy="206425"/>
          <a:chOff x="147" y="1248"/>
          <a:chExt cx="49" cy="21"/>
        </a:xfrm>
      </xdr:grpSpPr>
      <xdr:sp macro="" textlink="">
        <xdr:nvSpPr>
          <xdr:cNvPr id="14" name="Line 35">
            <a:extLst>
              <a:ext uri="{FF2B5EF4-FFF2-40B4-BE49-F238E27FC236}">
                <a16:creationId xmlns:a16="http://schemas.microsoft.com/office/drawing/2014/main" id="{ADE32874-45D4-56C7-93BD-2A3AEB3CA266}"/>
              </a:ext>
            </a:extLst>
          </xdr:cNvPr>
          <xdr:cNvSpPr>
            <a:spLocks noChangeShapeType="1"/>
          </xdr:cNvSpPr>
        </xdr:nvSpPr>
        <xdr:spPr bwMode="auto">
          <a:xfrm>
            <a:off x="167" y="1248"/>
            <a:ext cx="2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36">
            <a:extLst>
              <a:ext uri="{FF2B5EF4-FFF2-40B4-BE49-F238E27FC236}">
                <a16:creationId xmlns:a16="http://schemas.microsoft.com/office/drawing/2014/main" id="{8F3E2A7C-4DA0-F719-E1CF-E6FB14CF023C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1248"/>
            <a:ext cx="18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37">
            <a:extLst>
              <a:ext uri="{FF2B5EF4-FFF2-40B4-BE49-F238E27FC236}">
                <a16:creationId xmlns:a16="http://schemas.microsoft.com/office/drawing/2014/main" id="{1388CEAD-EAD7-1FE6-9CBD-FDBA4752896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1258"/>
            <a:ext cx="2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167640</xdr:colOff>
      <xdr:row>86</xdr:row>
      <xdr:rowOff>30480</xdr:rowOff>
    </xdr:from>
    <xdr:to>
      <xdr:col>6</xdr:col>
      <xdr:colOff>411480</xdr:colOff>
      <xdr:row>86</xdr:row>
      <xdr:rowOff>190500</xdr:rowOff>
    </xdr:to>
    <xdr:grpSp>
      <xdr:nvGrpSpPr>
        <xdr:cNvPr id="17" name="Group 41">
          <a:extLst>
            <a:ext uri="{FF2B5EF4-FFF2-40B4-BE49-F238E27FC236}">
              <a16:creationId xmlns:a16="http://schemas.microsoft.com/office/drawing/2014/main" id="{A15638E7-7BE8-464D-B1D2-0D110D71ED3F}"/>
            </a:ext>
          </a:extLst>
        </xdr:cNvPr>
        <xdr:cNvGrpSpPr>
          <a:grpSpLocks/>
        </xdr:cNvGrpSpPr>
      </xdr:nvGrpSpPr>
      <xdr:grpSpPr bwMode="auto">
        <a:xfrm>
          <a:off x="3378314" y="18352727"/>
          <a:ext cx="243840" cy="160020"/>
          <a:chOff x="334" y="483"/>
          <a:chExt cx="25" cy="17"/>
        </a:xfrm>
      </xdr:grpSpPr>
      <xdr:sp macro="" textlink="">
        <xdr:nvSpPr>
          <xdr:cNvPr id="18" name="Line 42">
            <a:extLst>
              <a:ext uri="{FF2B5EF4-FFF2-40B4-BE49-F238E27FC236}">
                <a16:creationId xmlns:a16="http://schemas.microsoft.com/office/drawing/2014/main" id="{29606795-764C-CC2D-1379-DDD19874C91C}"/>
              </a:ext>
            </a:extLst>
          </xdr:cNvPr>
          <xdr:cNvSpPr>
            <a:spLocks noChangeShapeType="1"/>
          </xdr:cNvSpPr>
        </xdr:nvSpPr>
        <xdr:spPr bwMode="auto">
          <a:xfrm>
            <a:off x="344" y="483"/>
            <a:ext cx="1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43">
            <a:extLst>
              <a:ext uri="{FF2B5EF4-FFF2-40B4-BE49-F238E27FC236}">
                <a16:creationId xmlns:a16="http://schemas.microsoft.com/office/drawing/2014/main" id="{D146EA36-E1CE-BF05-6B15-51257C2B1DE2}"/>
              </a:ext>
            </a:extLst>
          </xdr:cNvPr>
          <xdr:cNvSpPr>
            <a:spLocks noChangeShapeType="1"/>
          </xdr:cNvSpPr>
        </xdr:nvSpPr>
        <xdr:spPr bwMode="auto">
          <a:xfrm flipH="1">
            <a:off x="335" y="484"/>
            <a:ext cx="9" cy="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44">
            <a:extLst>
              <a:ext uri="{FF2B5EF4-FFF2-40B4-BE49-F238E27FC236}">
                <a16:creationId xmlns:a16="http://schemas.microsoft.com/office/drawing/2014/main" id="{CB976823-9F46-71BA-39D6-92E0404AE5E2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34" y="493"/>
            <a:ext cx="1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45720</xdr:colOff>
      <xdr:row>121</xdr:row>
      <xdr:rowOff>0</xdr:rowOff>
    </xdr:from>
    <xdr:to>
      <xdr:col>3</xdr:col>
      <xdr:colOff>525780</xdr:colOff>
      <xdr:row>121</xdr:row>
      <xdr:rowOff>198120</xdr:rowOff>
    </xdr:to>
    <xdr:grpSp>
      <xdr:nvGrpSpPr>
        <xdr:cNvPr id="21" name="Group 45">
          <a:extLst>
            <a:ext uri="{FF2B5EF4-FFF2-40B4-BE49-F238E27FC236}">
              <a16:creationId xmlns:a16="http://schemas.microsoft.com/office/drawing/2014/main" id="{C69E2389-C701-4AA0-A296-57AD21DFC446}"/>
            </a:ext>
          </a:extLst>
        </xdr:cNvPr>
        <xdr:cNvGrpSpPr>
          <a:grpSpLocks/>
        </xdr:cNvGrpSpPr>
      </xdr:nvGrpSpPr>
      <xdr:grpSpPr bwMode="auto">
        <a:xfrm>
          <a:off x="1394203" y="25813820"/>
          <a:ext cx="480060" cy="198120"/>
          <a:chOff x="147" y="1248"/>
          <a:chExt cx="49" cy="21"/>
        </a:xfrm>
      </xdr:grpSpPr>
      <xdr:sp macro="" textlink="">
        <xdr:nvSpPr>
          <xdr:cNvPr id="22" name="Line 46">
            <a:extLst>
              <a:ext uri="{FF2B5EF4-FFF2-40B4-BE49-F238E27FC236}">
                <a16:creationId xmlns:a16="http://schemas.microsoft.com/office/drawing/2014/main" id="{252869CC-B48E-F88E-3CA0-BBA7BD564FBB}"/>
              </a:ext>
            </a:extLst>
          </xdr:cNvPr>
          <xdr:cNvSpPr>
            <a:spLocks noChangeShapeType="1"/>
          </xdr:cNvSpPr>
        </xdr:nvSpPr>
        <xdr:spPr bwMode="auto">
          <a:xfrm>
            <a:off x="167" y="1248"/>
            <a:ext cx="2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3" name="Line 47">
            <a:extLst>
              <a:ext uri="{FF2B5EF4-FFF2-40B4-BE49-F238E27FC236}">
                <a16:creationId xmlns:a16="http://schemas.microsoft.com/office/drawing/2014/main" id="{8C415B8B-3EE6-2B91-AACE-5CE8F8247DF4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1248"/>
            <a:ext cx="18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4" name="Line 48">
            <a:extLst>
              <a:ext uri="{FF2B5EF4-FFF2-40B4-BE49-F238E27FC236}">
                <a16:creationId xmlns:a16="http://schemas.microsoft.com/office/drawing/2014/main" id="{0C71DC6B-6531-7603-8C2A-C6CAC1BA1F5B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1258"/>
            <a:ext cx="2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167640</xdr:colOff>
      <xdr:row>150</xdr:row>
      <xdr:rowOff>30480</xdr:rowOff>
    </xdr:from>
    <xdr:to>
      <xdr:col>6</xdr:col>
      <xdr:colOff>411480</xdr:colOff>
      <xdr:row>150</xdr:row>
      <xdr:rowOff>190500</xdr:rowOff>
    </xdr:to>
    <xdr:grpSp>
      <xdr:nvGrpSpPr>
        <xdr:cNvPr id="25" name="Group 50">
          <a:extLst>
            <a:ext uri="{FF2B5EF4-FFF2-40B4-BE49-F238E27FC236}">
              <a16:creationId xmlns:a16="http://schemas.microsoft.com/office/drawing/2014/main" id="{0896CBB4-44A0-40BA-9F5B-0DE63FA31156}"/>
            </a:ext>
          </a:extLst>
        </xdr:cNvPr>
        <xdr:cNvGrpSpPr>
          <a:grpSpLocks/>
        </xdr:cNvGrpSpPr>
      </xdr:nvGrpSpPr>
      <xdr:grpSpPr bwMode="auto">
        <a:xfrm>
          <a:off x="3378314" y="32008795"/>
          <a:ext cx="243840" cy="160020"/>
          <a:chOff x="334" y="483"/>
          <a:chExt cx="25" cy="17"/>
        </a:xfrm>
      </xdr:grpSpPr>
      <xdr:sp macro="" textlink="">
        <xdr:nvSpPr>
          <xdr:cNvPr id="26" name="Line 51">
            <a:extLst>
              <a:ext uri="{FF2B5EF4-FFF2-40B4-BE49-F238E27FC236}">
                <a16:creationId xmlns:a16="http://schemas.microsoft.com/office/drawing/2014/main" id="{62D29C96-0AD1-ACD2-6F6B-3792D1B71008}"/>
              </a:ext>
            </a:extLst>
          </xdr:cNvPr>
          <xdr:cNvSpPr>
            <a:spLocks noChangeShapeType="1"/>
          </xdr:cNvSpPr>
        </xdr:nvSpPr>
        <xdr:spPr bwMode="auto">
          <a:xfrm>
            <a:off x="344" y="483"/>
            <a:ext cx="15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7" name="Line 52">
            <a:extLst>
              <a:ext uri="{FF2B5EF4-FFF2-40B4-BE49-F238E27FC236}">
                <a16:creationId xmlns:a16="http://schemas.microsoft.com/office/drawing/2014/main" id="{0460F0E0-94B5-1B61-0089-3AC7DDB11FFD}"/>
              </a:ext>
            </a:extLst>
          </xdr:cNvPr>
          <xdr:cNvSpPr>
            <a:spLocks noChangeShapeType="1"/>
          </xdr:cNvSpPr>
        </xdr:nvSpPr>
        <xdr:spPr bwMode="auto">
          <a:xfrm flipH="1">
            <a:off x="335" y="484"/>
            <a:ext cx="9" cy="1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53">
            <a:extLst>
              <a:ext uri="{FF2B5EF4-FFF2-40B4-BE49-F238E27FC236}">
                <a16:creationId xmlns:a16="http://schemas.microsoft.com/office/drawing/2014/main" id="{F65C9A0B-112D-C7D3-21E4-4FE42E39034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334" y="493"/>
            <a:ext cx="1" cy="7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45720</xdr:colOff>
      <xdr:row>185</xdr:row>
      <xdr:rowOff>0</xdr:rowOff>
    </xdr:from>
    <xdr:to>
      <xdr:col>3</xdr:col>
      <xdr:colOff>525780</xdr:colOff>
      <xdr:row>185</xdr:row>
      <xdr:rowOff>198120</xdr:rowOff>
    </xdr:to>
    <xdr:grpSp>
      <xdr:nvGrpSpPr>
        <xdr:cNvPr id="29" name="Group 54">
          <a:extLst>
            <a:ext uri="{FF2B5EF4-FFF2-40B4-BE49-F238E27FC236}">
              <a16:creationId xmlns:a16="http://schemas.microsoft.com/office/drawing/2014/main" id="{C198C3A6-0B6F-4107-ACBA-F3765CEC69DD}"/>
            </a:ext>
          </a:extLst>
        </xdr:cNvPr>
        <xdr:cNvGrpSpPr>
          <a:grpSpLocks/>
        </xdr:cNvGrpSpPr>
      </xdr:nvGrpSpPr>
      <xdr:grpSpPr bwMode="auto">
        <a:xfrm>
          <a:off x="1394203" y="39469888"/>
          <a:ext cx="480060" cy="198120"/>
          <a:chOff x="147" y="1248"/>
          <a:chExt cx="49" cy="21"/>
        </a:xfrm>
      </xdr:grpSpPr>
      <xdr:sp macro="" textlink="">
        <xdr:nvSpPr>
          <xdr:cNvPr id="30" name="Line 55">
            <a:extLst>
              <a:ext uri="{FF2B5EF4-FFF2-40B4-BE49-F238E27FC236}">
                <a16:creationId xmlns:a16="http://schemas.microsoft.com/office/drawing/2014/main" id="{7DF030E3-420F-AC9E-BE0F-43DD81C16564}"/>
              </a:ext>
            </a:extLst>
          </xdr:cNvPr>
          <xdr:cNvSpPr>
            <a:spLocks noChangeShapeType="1"/>
          </xdr:cNvSpPr>
        </xdr:nvSpPr>
        <xdr:spPr bwMode="auto">
          <a:xfrm>
            <a:off x="167" y="1248"/>
            <a:ext cx="2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56">
            <a:extLst>
              <a:ext uri="{FF2B5EF4-FFF2-40B4-BE49-F238E27FC236}">
                <a16:creationId xmlns:a16="http://schemas.microsoft.com/office/drawing/2014/main" id="{E476C151-2E02-A23C-9E55-85EB16649334}"/>
              </a:ext>
            </a:extLst>
          </xdr:cNvPr>
          <xdr:cNvSpPr>
            <a:spLocks noChangeShapeType="1"/>
          </xdr:cNvSpPr>
        </xdr:nvSpPr>
        <xdr:spPr bwMode="auto">
          <a:xfrm flipH="1">
            <a:off x="149" y="1248"/>
            <a:ext cx="18" cy="2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2" name="Line 57">
            <a:extLst>
              <a:ext uri="{FF2B5EF4-FFF2-40B4-BE49-F238E27FC236}">
                <a16:creationId xmlns:a16="http://schemas.microsoft.com/office/drawing/2014/main" id="{A0A8C90D-75BE-153A-3FFD-E7002FEF913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7" y="1258"/>
            <a:ext cx="2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16</xdr:col>
      <xdr:colOff>518160</xdr:colOff>
      <xdr:row>60</xdr:row>
      <xdr:rowOff>68580</xdr:rowOff>
    </xdr:from>
    <xdr:to>
      <xdr:col>20</xdr:col>
      <xdr:colOff>571500</xdr:colOff>
      <xdr:row>63</xdr:row>
      <xdr:rowOff>152400</xdr:rowOff>
    </xdr:to>
    <xdr:grpSp>
      <xdr:nvGrpSpPr>
        <xdr:cNvPr id="33" name="Group 60">
          <a:extLst>
            <a:ext uri="{FF2B5EF4-FFF2-40B4-BE49-F238E27FC236}">
              <a16:creationId xmlns:a16="http://schemas.microsoft.com/office/drawing/2014/main" id="{5F296194-2801-40FA-9EBD-6ACB3C457DEE}"/>
            </a:ext>
          </a:extLst>
        </xdr:cNvPr>
        <xdr:cNvGrpSpPr>
          <a:grpSpLocks/>
        </xdr:cNvGrpSpPr>
      </xdr:nvGrpSpPr>
      <xdr:grpSpPr bwMode="auto">
        <a:xfrm>
          <a:off x="9807711" y="12868468"/>
          <a:ext cx="2407834" cy="725954"/>
          <a:chOff x="1031" y="1323"/>
          <a:chExt cx="259" cy="75"/>
        </a:xfrm>
      </xdr:grpSpPr>
      <xdr:sp macro="" textlink="">
        <xdr:nvSpPr>
          <xdr:cNvPr id="34" name="Text Box 58">
            <a:extLst>
              <a:ext uri="{FF2B5EF4-FFF2-40B4-BE49-F238E27FC236}">
                <a16:creationId xmlns:a16="http://schemas.microsoft.com/office/drawing/2014/main" id="{6A96A7E1-4F1A-DB43-CE16-FD837EA846DA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51" y="1323"/>
            <a:ext cx="239" cy="75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id-ID" sz="10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DIISI DENGAN ANGKA KERCEPATAN MESIN YANG MENDEKATI  RATE OF STRAIN  BERDASARKAN HITUNGAN (K60)</a:t>
            </a:r>
          </a:p>
          <a:p>
            <a:pPr algn="l" rtl="0">
              <a:defRPr sz="1000"/>
            </a:pPr>
            <a:endParaRPr lang="id-ID" sz="1000" b="0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xdr:txBody>
      </xdr:sp>
      <xdr:sp macro="" textlink="">
        <xdr:nvSpPr>
          <xdr:cNvPr id="35" name="Line 59">
            <a:extLst>
              <a:ext uri="{FF2B5EF4-FFF2-40B4-BE49-F238E27FC236}">
                <a16:creationId xmlns:a16="http://schemas.microsoft.com/office/drawing/2014/main" id="{E6A35EBE-2104-73B7-4D63-8724FFC7A55E}"/>
              </a:ext>
            </a:extLst>
          </xdr:cNvPr>
          <xdr:cNvSpPr>
            <a:spLocks noChangeShapeType="1"/>
          </xdr:cNvSpPr>
        </xdr:nvSpPr>
        <xdr:spPr bwMode="auto">
          <a:xfrm flipH="1">
            <a:off x="1031" y="1350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19</xdr:col>
      <xdr:colOff>214045</xdr:colOff>
      <xdr:row>24</xdr:row>
      <xdr:rowOff>28540</xdr:rowOff>
    </xdr:from>
    <xdr:to>
      <xdr:col>31</xdr:col>
      <xdr:colOff>429231</xdr:colOff>
      <xdr:row>40</xdr:row>
      <xdr:rowOff>20919</xdr:rowOff>
    </xdr:to>
    <xdr:graphicFrame macro="">
      <xdr:nvGraphicFramePr>
        <xdr:cNvPr id="36" name="Chart 16">
          <a:extLst>
            <a:ext uri="{FF2B5EF4-FFF2-40B4-BE49-F238E27FC236}">
              <a16:creationId xmlns:a16="http://schemas.microsoft.com/office/drawing/2014/main" id="{35A92AD6-862C-4FD3-9380-89008C08F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63</xdr:row>
      <xdr:rowOff>0</xdr:rowOff>
    </xdr:from>
    <xdr:to>
      <xdr:col>1</xdr:col>
      <xdr:colOff>7620</xdr:colOff>
      <xdr:row>63</xdr:row>
      <xdr:rowOff>0</xdr:rowOff>
    </xdr:to>
    <xdr:pic>
      <xdr:nvPicPr>
        <xdr:cNvPr id="2" name="Picture 13">
          <a:extLst>
            <a:ext uri="{FF2B5EF4-FFF2-40B4-BE49-F238E27FC236}">
              <a16:creationId xmlns:a16="http://schemas.microsoft.com/office/drawing/2014/main" id="{A94154E4-CE91-448E-90E8-D1E1BE72A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3921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57717A6F-E800-4F20-BA62-750219765583}"/>
            </a:ext>
          </a:extLst>
        </xdr:cNvPr>
        <xdr:cNvSpPr>
          <a:spLocks noChangeArrowheads="1"/>
        </xdr:cNvSpPr>
      </xdr:nvSpPr>
      <xdr:spPr bwMode="auto">
        <a:xfrm>
          <a:off x="0" y="133921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63</xdr:row>
      <xdr:rowOff>0</xdr:rowOff>
    </xdr:from>
    <xdr:to>
      <xdr:col>1</xdr:col>
      <xdr:colOff>7620</xdr:colOff>
      <xdr:row>63</xdr:row>
      <xdr:rowOff>0</xdr:rowOff>
    </xdr:to>
    <xdr:pic>
      <xdr:nvPicPr>
        <xdr:cNvPr id="4" name="Picture 15">
          <a:extLst>
            <a:ext uri="{FF2B5EF4-FFF2-40B4-BE49-F238E27FC236}">
              <a16:creationId xmlns:a16="http://schemas.microsoft.com/office/drawing/2014/main" id="{2131B097-9D68-4A6F-B3FC-50B9D1CE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33921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0</xdr:colOff>
      <xdr:row>63</xdr:row>
      <xdr:rowOff>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A5FAC467-AF9D-40BD-AB72-3354C99AE648}"/>
            </a:ext>
          </a:extLst>
        </xdr:cNvPr>
        <xdr:cNvSpPr>
          <a:spLocks noChangeArrowheads="1"/>
        </xdr:cNvSpPr>
      </xdr:nvSpPr>
      <xdr:spPr bwMode="auto">
        <a:xfrm>
          <a:off x="0" y="133921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7620</xdr:colOff>
      <xdr:row>129</xdr:row>
      <xdr:rowOff>0</xdr:rowOff>
    </xdr:to>
    <xdr:pic>
      <xdr:nvPicPr>
        <xdr:cNvPr id="6" name="Picture 13">
          <a:extLst>
            <a:ext uri="{FF2B5EF4-FFF2-40B4-BE49-F238E27FC236}">
              <a16:creationId xmlns:a16="http://schemas.microsoft.com/office/drawing/2014/main" id="{A443E5AB-DEED-4BBE-BB8C-41ED9801D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73748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129</xdr:row>
      <xdr:rowOff>0</xdr:rowOff>
    </xdr:from>
    <xdr:to>
      <xdr:col>1</xdr:col>
      <xdr:colOff>7620</xdr:colOff>
      <xdr:row>129</xdr:row>
      <xdr:rowOff>0</xdr:rowOff>
    </xdr:to>
    <xdr:pic>
      <xdr:nvPicPr>
        <xdr:cNvPr id="7" name="Picture 15">
          <a:extLst>
            <a:ext uri="{FF2B5EF4-FFF2-40B4-BE49-F238E27FC236}">
              <a16:creationId xmlns:a16="http://schemas.microsoft.com/office/drawing/2014/main" id="{4E608CE7-7C67-4D3E-9486-F0F231629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273748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7620</xdr:colOff>
      <xdr:row>197</xdr:row>
      <xdr:rowOff>0</xdr:rowOff>
    </xdr:to>
    <xdr:pic>
      <xdr:nvPicPr>
        <xdr:cNvPr id="8" name="Picture 13">
          <a:extLst>
            <a:ext uri="{FF2B5EF4-FFF2-40B4-BE49-F238E27FC236}">
              <a16:creationId xmlns:a16="http://schemas.microsoft.com/office/drawing/2014/main" id="{4CBF070F-4DA4-4D59-81FC-3290CA7B4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18147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1</xdr:col>
      <xdr:colOff>0</xdr:colOff>
      <xdr:row>197</xdr:row>
      <xdr:rowOff>0</xdr:rowOff>
    </xdr:from>
    <xdr:to>
      <xdr:col>1</xdr:col>
      <xdr:colOff>7620</xdr:colOff>
      <xdr:row>197</xdr:row>
      <xdr:rowOff>0</xdr:rowOff>
    </xdr:to>
    <xdr:pic>
      <xdr:nvPicPr>
        <xdr:cNvPr id="9" name="Picture 15">
          <a:extLst>
            <a:ext uri="{FF2B5EF4-FFF2-40B4-BE49-F238E27FC236}">
              <a16:creationId xmlns:a16="http://schemas.microsoft.com/office/drawing/2014/main" id="{1B97AF3B-334E-46A8-86AD-783D5A2DF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1814750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oneCellAnchor>
    <xdr:from>
      <xdr:col>1</xdr:col>
      <xdr:colOff>424815</xdr:colOff>
      <xdr:row>1</xdr:row>
      <xdr:rowOff>28575</xdr:rowOff>
    </xdr:from>
    <xdr:ext cx="744371" cy="162224"/>
    <xdr:sp macro="" textlink="">
      <xdr:nvSpPr>
        <xdr:cNvPr id="10" name="Rectangle 22">
          <a:extLst>
            <a:ext uri="{FF2B5EF4-FFF2-40B4-BE49-F238E27FC236}">
              <a16:creationId xmlns:a16="http://schemas.microsoft.com/office/drawing/2014/main" id="{CBAC9307-6E01-4C3E-8AFE-D370B6CEDDF1}"/>
            </a:ext>
          </a:extLst>
        </xdr:cNvPr>
        <xdr:cNvSpPr>
          <a:spLocks noChangeArrowheads="1"/>
        </xdr:cNvSpPr>
      </xdr:nvSpPr>
      <xdr:spPr bwMode="auto">
        <a:xfrm>
          <a:off x="539115" y="200025"/>
          <a:ext cx="744371" cy="16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           </a:t>
          </a:r>
        </a:p>
      </xdr:txBody>
    </xdr:sp>
    <xdr:clientData/>
  </xdr:oneCellAnchor>
  <xdr:oneCellAnchor>
    <xdr:from>
      <xdr:col>1</xdr:col>
      <xdr:colOff>424815</xdr:colOff>
      <xdr:row>2</xdr:row>
      <xdr:rowOff>76200</xdr:rowOff>
    </xdr:from>
    <xdr:ext cx="313419" cy="162224"/>
    <xdr:sp macro="" textlink="">
      <xdr:nvSpPr>
        <xdr:cNvPr id="11" name="Rectangle 23">
          <a:extLst>
            <a:ext uri="{FF2B5EF4-FFF2-40B4-BE49-F238E27FC236}">
              <a16:creationId xmlns:a16="http://schemas.microsoft.com/office/drawing/2014/main" id="{0296F21D-CA05-4892-8C08-7CB1073494E9}"/>
            </a:ext>
          </a:extLst>
        </xdr:cNvPr>
        <xdr:cNvSpPr>
          <a:spLocks noChangeArrowheads="1"/>
        </xdr:cNvSpPr>
      </xdr:nvSpPr>
      <xdr:spPr bwMode="auto">
        <a:xfrm>
          <a:off x="539115" y="457200"/>
          <a:ext cx="313419" cy="1622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1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   </a:t>
          </a:r>
        </a:p>
      </xdr:txBody>
    </xdr:sp>
    <xdr:clientData/>
  </xdr:oneCellAnchor>
  <xdr:oneCellAnchor>
    <xdr:from>
      <xdr:col>5</xdr:col>
      <xdr:colOff>66675</xdr:colOff>
      <xdr:row>1</xdr:row>
      <xdr:rowOff>171450</xdr:rowOff>
    </xdr:from>
    <xdr:ext cx="60914" cy="328744"/>
    <xdr:sp macro="" textlink="">
      <xdr:nvSpPr>
        <xdr:cNvPr id="12" name="Rectangle 25">
          <a:extLst>
            <a:ext uri="{FF2B5EF4-FFF2-40B4-BE49-F238E27FC236}">
              <a16:creationId xmlns:a16="http://schemas.microsoft.com/office/drawing/2014/main" id="{65F1D750-8E81-4764-9F05-B5A79AA135FA}"/>
            </a:ext>
          </a:extLst>
        </xdr:cNvPr>
        <xdr:cNvSpPr>
          <a:spLocks noChangeArrowheads="1"/>
        </xdr:cNvSpPr>
      </xdr:nvSpPr>
      <xdr:spPr bwMode="auto">
        <a:xfrm>
          <a:off x="2219325" y="342900"/>
          <a:ext cx="60914" cy="328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2100" b="0" i="0" u="none" strike="noStrike" baseline="0">
              <a:solidFill>
                <a:srgbClr val="000000"/>
              </a:solidFill>
              <a:latin typeface="Benguiat Frisky ATT"/>
            </a:rPr>
            <a:t> </a:t>
          </a:r>
        </a:p>
      </xdr:txBody>
    </xdr:sp>
    <xdr:clientData/>
  </xdr:oneCellAnchor>
  <xdr:oneCellAnchor>
    <xdr:from>
      <xdr:col>6</xdr:col>
      <xdr:colOff>617220</xdr:colOff>
      <xdr:row>2</xdr:row>
      <xdr:rowOff>0</xdr:rowOff>
    </xdr:from>
    <xdr:ext cx="0" cy="232410"/>
    <xdr:sp macro="" textlink="">
      <xdr:nvSpPr>
        <xdr:cNvPr id="13" name="Rectangle 27">
          <a:extLst>
            <a:ext uri="{FF2B5EF4-FFF2-40B4-BE49-F238E27FC236}">
              <a16:creationId xmlns:a16="http://schemas.microsoft.com/office/drawing/2014/main" id="{4A2BD3E6-8D2C-43CD-A03C-EA90B4D47484}"/>
            </a:ext>
          </a:extLst>
        </xdr:cNvPr>
        <xdr:cNvSpPr>
          <a:spLocks noChangeArrowheads="1"/>
        </xdr:cNvSpPr>
      </xdr:nvSpPr>
      <xdr:spPr bwMode="auto">
        <a:xfrm>
          <a:off x="2855595" y="381000"/>
          <a:ext cx="0" cy="232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424815</xdr:colOff>
      <xdr:row>3</xdr:row>
      <xdr:rowOff>0</xdr:rowOff>
    </xdr:from>
    <xdr:ext cx="301621" cy="203517"/>
    <xdr:sp macro="" textlink="">
      <xdr:nvSpPr>
        <xdr:cNvPr id="14" name="Rectangle 28">
          <a:extLst>
            <a:ext uri="{FF2B5EF4-FFF2-40B4-BE49-F238E27FC236}">
              <a16:creationId xmlns:a16="http://schemas.microsoft.com/office/drawing/2014/main" id="{569FE77C-1999-4D67-8F50-7124E43B165B}"/>
            </a:ext>
          </a:extLst>
        </xdr:cNvPr>
        <xdr:cNvSpPr>
          <a:spLocks noChangeArrowheads="1"/>
        </xdr:cNvSpPr>
      </xdr:nvSpPr>
      <xdr:spPr bwMode="auto">
        <a:xfrm>
          <a:off x="539115" y="590550"/>
          <a:ext cx="301621" cy="2035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1300" b="0" i="0" u="none" strike="noStrike" baseline="0">
              <a:solidFill>
                <a:srgbClr val="FF0000"/>
              </a:solidFill>
              <a:latin typeface="Benguiat Frisky ATT"/>
            </a:rPr>
            <a:t>        </a:t>
          </a:r>
        </a:p>
      </xdr:txBody>
    </xdr:sp>
    <xdr:clientData/>
  </xdr:oneCellAnchor>
  <xdr:oneCellAnchor>
    <xdr:from>
      <xdr:col>0</xdr:col>
      <xdr:colOff>0</xdr:colOff>
      <xdr:row>3</xdr:row>
      <xdr:rowOff>171450</xdr:rowOff>
    </xdr:from>
    <xdr:ext cx="74829" cy="103233"/>
    <xdr:sp macro="" textlink="">
      <xdr:nvSpPr>
        <xdr:cNvPr id="15" name="Rectangle 30">
          <a:extLst>
            <a:ext uri="{FF2B5EF4-FFF2-40B4-BE49-F238E27FC236}">
              <a16:creationId xmlns:a16="http://schemas.microsoft.com/office/drawing/2014/main" id="{E134F551-35EB-4E79-A59D-8C2BA7883B03}"/>
            </a:ext>
          </a:extLst>
        </xdr:cNvPr>
        <xdr:cNvSpPr>
          <a:spLocks noChangeArrowheads="1"/>
        </xdr:cNvSpPr>
      </xdr:nvSpPr>
      <xdr:spPr bwMode="auto">
        <a:xfrm>
          <a:off x="0" y="762000"/>
          <a:ext cx="74829" cy="1032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spAutoFit/>
        </a:bodyPr>
        <a:lstStyle/>
        <a:p>
          <a:pPr algn="l" rtl="0">
            <a:defRPr sz="1000"/>
          </a:pPr>
          <a:r>
            <a:rPr lang="id-ID" sz="700" b="0" i="1" u="none" strike="noStrike" baseline="0">
              <a:solidFill>
                <a:srgbClr val="000000"/>
              </a:solidFill>
              <a:latin typeface="Arial"/>
              <a:cs typeface="Arial"/>
            </a:rPr>
            <a:t>   </a:t>
          </a:r>
        </a:p>
      </xdr:txBody>
    </xdr:sp>
    <xdr:clientData/>
  </xdr:oneCellAnchor>
  <xdr:oneCellAnchor>
    <xdr:from>
      <xdr:col>0</xdr:col>
      <xdr:colOff>0</xdr:colOff>
      <xdr:row>1</xdr:row>
      <xdr:rowOff>60960</xdr:rowOff>
    </xdr:from>
    <xdr:ext cx="4289541" cy="670906"/>
    <xdr:pic>
      <xdr:nvPicPr>
        <xdr:cNvPr id="16" name="Picture 15">
          <a:extLst>
            <a:ext uri="{FF2B5EF4-FFF2-40B4-BE49-F238E27FC236}">
              <a16:creationId xmlns:a16="http://schemas.microsoft.com/office/drawing/2014/main" id="{D423E6CA-31D0-4ED8-978B-57F072371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0" y="232410"/>
          <a:ext cx="4289541" cy="6709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0</xdr:colOff>
      <xdr:row>68</xdr:row>
      <xdr:rowOff>30480</xdr:rowOff>
    </xdr:from>
    <xdr:ext cx="4289541" cy="758190"/>
    <xdr:pic>
      <xdr:nvPicPr>
        <xdr:cNvPr id="17" name="Picture 16">
          <a:extLst>
            <a:ext uri="{FF2B5EF4-FFF2-40B4-BE49-F238E27FC236}">
              <a16:creationId xmlns:a16="http://schemas.microsoft.com/office/drawing/2014/main" id="{7EA968F8-FCBC-4803-A4AD-14E08B432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0" y="14394180"/>
          <a:ext cx="4289541" cy="758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7620</xdr:colOff>
      <xdr:row>135</xdr:row>
      <xdr:rowOff>45720</xdr:rowOff>
    </xdr:from>
    <xdr:ext cx="4289541" cy="735330"/>
    <xdr:pic>
      <xdr:nvPicPr>
        <xdr:cNvPr id="18" name="Picture 17">
          <a:extLst>
            <a:ext uri="{FF2B5EF4-FFF2-40B4-BE49-F238E27FC236}">
              <a16:creationId xmlns:a16="http://schemas.microsoft.com/office/drawing/2014/main" id="{45BFC7DF-83C0-45BD-9F18-B9B9ED41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7620" y="28639770"/>
          <a:ext cx="4289541" cy="7353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1398</xdr:colOff>
      <xdr:row>17</xdr:row>
      <xdr:rowOff>12383</xdr:rowOff>
    </xdr:from>
    <xdr:to>
      <xdr:col>12</xdr:col>
      <xdr:colOff>516048</xdr:colOff>
      <xdr:row>42</xdr:row>
      <xdr:rowOff>232587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57CC25FB-C821-4CF9-A810-1C8CF9D422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3</xdr:col>
      <xdr:colOff>0</xdr:colOff>
      <xdr:row>75</xdr:row>
      <xdr:rowOff>0</xdr:rowOff>
    </xdr:from>
    <xdr:to>
      <xdr:col>3</xdr:col>
      <xdr:colOff>7620</xdr:colOff>
      <xdr:row>75</xdr:row>
      <xdr:rowOff>0</xdr:rowOff>
    </xdr:to>
    <xdr:pic>
      <xdr:nvPicPr>
        <xdr:cNvPr id="3" name="Picture 13">
          <a:extLst>
            <a:ext uri="{FF2B5EF4-FFF2-40B4-BE49-F238E27FC236}">
              <a16:creationId xmlns:a16="http://schemas.microsoft.com/office/drawing/2014/main" id="{11A62C3C-ABD5-41D9-9047-176822FBF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7878425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0</xdr:colOff>
      <xdr:row>75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BBF6584-B5EF-4491-A15E-CB5AA8DFC01C}"/>
            </a:ext>
          </a:extLst>
        </xdr:cNvPr>
        <xdr:cNvSpPr>
          <a:spLocks noChangeArrowheads="1"/>
        </xdr:cNvSpPr>
      </xdr:nvSpPr>
      <xdr:spPr bwMode="auto">
        <a:xfrm>
          <a:off x="685800" y="17878425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0</xdr:colOff>
      <xdr:row>75</xdr:row>
      <xdr:rowOff>0</xdr:rowOff>
    </xdr:from>
    <xdr:to>
      <xdr:col>3</xdr:col>
      <xdr:colOff>7620</xdr:colOff>
      <xdr:row>75</xdr:row>
      <xdr:rowOff>0</xdr:rowOff>
    </xdr:to>
    <xdr:pic>
      <xdr:nvPicPr>
        <xdr:cNvPr id="5" name="Picture 15">
          <a:extLst>
            <a:ext uri="{FF2B5EF4-FFF2-40B4-BE49-F238E27FC236}">
              <a16:creationId xmlns:a16="http://schemas.microsoft.com/office/drawing/2014/main" id="{08D71740-934E-4B32-9FC1-C31AA3E389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2475" y="17878425"/>
          <a:ext cx="7620" cy="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2</xdr:col>
      <xdr:colOff>0</xdr:colOff>
      <xdr:row>75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8B82A3EA-1957-48DD-BAC3-C175A691C2D0}"/>
            </a:ext>
          </a:extLst>
        </xdr:cNvPr>
        <xdr:cNvSpPr>
          <a:spLocks noChangeArrowheads="1"/>
        </xdr:cNvSpPr>
      </xdr:nvSpPr>
      <xdr:spPr bwMode="auto">
        <a:xfrm>
          <a:off x="685800" y="17878425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4</xdr:col>
      <xdr:colOff>9525</xdr:colOff>
      <xdr:row>25</xdr:row>
      <xdr:rowOff>189405</xdr:rowOff>
    </xdr:from>
    <xdr:to>
      <xdr:col>12</xdr:col>
      <xdr:colOff>524175</xdr:colOff>
      <xdr:row>34</xdr:row>
      <xdr:rowOff>120555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0C06E909-B29F-4847-AAF4-A5A7081EAB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twoCellAnchor>
  <xdr:twoCellAnchor>
    <xdr:from>
      <xdr:col>4</xdr:col>
      <xdr:colOff>31529</xdr:colOff>
      <xdr:row>34</xdr:row>
      <xdr:rowOff>57231</xdr:rowOff>
    </xdr:from>
    <xdr:to>
      <xdr:col>12</xdr:col>
      <xdr:colOff>546179</xdr:colOff>
      <xdr:row>42</xdr:row>
      <xdr:rowOff>236031</xdr:rowOff>
    </xdr:to>
    <xdr:graphicFrame macro="">
      <xdr:nvGraphicFramePr>
        <xdr:cNvPr id="8" name="Chart 9">
          <a:extLst>
            <a:ext uri="{FF2B5EF4-FFF2-40B4-BE49-F238E27FC236}">
              <a16:creationId xmlns:a16="http://schemas.microsoft.com/office/drawing/2014/main" id="{9D23A5AE-E704-49A8-842A-D090970851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twoCellAnchor>
  <xdr:twoCellAnchor>
    <xdr:from>
      <xdr:col>3</xdr:col>
      <xdr:colOff>139145</xdr:colOff>
      <xdr:row>54</xdr:row>
      <xdr:rowOff>99698</xdr:rowOff>
    </xdr:from>
    <xdr:to>
      <xdr:col>12</xdr:col>
      <xdr:colOff>514349</xdr:colOff>
      <xdr:row>67</xdr:row>
      <xdr:rowOff>164648</xdr:rowOff>
    </xdr:to>
    <xdr:graphicFrame macro="">
      <xdr:nvGraphicFramePr>
        <xdr:cNvPr id="9" name="Chart 30">
          <a:extLst>
            <a:ext uri="{FF2B5EF4-FFF2-40B4-BE49-F238E27FC236}">
              <a16:creationId xmlns:a16="http://schemas.microsoft.com/office/drawing/2014/main" id="{60DEA736-6DFD-4F2C-B837-801EF8AFE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 fLocksWithSheet="0"/>
  </xdr:twoCellAnchor>
  <xdr:twoCellAnchor>
    <xdr:from>
      <xdr:col>11</xdr:col>
      <xdr:colOff>345021</xdr:colOff>
      <xdr:row>21</xdr:row>
      <xdr:rowOff>172156</xdr:rowOff>
    </xdr:from>
    <xdr:to>
      <xdr:col>11</xdr:col>
      <xdr:colOff>483814</xdr:colOff>
      <xdr:row>22</xdr:row>
      <xdr:rowOff>88376</xdr:rowOff>
    </xdr:to>
    <xdr:sp macro="" textlink="">
      <xdr:nvSpPr>
        <xdr:cNvPr id="10" name="Text Box 45">
          <a:extLst>
            <a:ext uri="{FF2B5EF4-FFF2-40B4-BE49-F238E27FC236}">
              <a16:creationId xmlns:a16="http://schemas.microsoft.com/office/drawing/2014/main" id="{2735C9F1-3EFD-4518-B7A8-05D9B0487DF2}"/>
            </a:ext>
          </a:extLst>
        </xdr:cNvPr>
        <xdr:cNvSpPr txBox="1">
          <a:spLocks noChangeArrowheads="1"/>
        </xdr:cNvSpPr>
      </xdr:nvSpPr>
      <xdr:spPr bwMode="auto">
        <a:xfrm>
          <a:off x="5383746" y="4829881"/>
          <a:ext cx="138793" cy="163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11</xdr:col>
      <xdr:colOff>271503</xdr:colOff>
      <xdr:row>28</xdr:row>
      <xdr:rowOff>107261</xdr:rowOff>
    </xdr:from>
    <xdr:to>
      <xdr:col>11</xdr:col>
      <xdr:colOff>409330</xdr:colOff>
      <xdr:row>29</xdr:row>
      <xdr:rowOff>83225</xdr:rowOff>
    </xdr:to>
    <xdr:sp macro="" textlink="">
      <xdr:nvSpPr>
        <xdr:cNvPr id="11" name="Text Box 50">
          <a:extLst>
            <a:ext uri="{FF2B5EF4-FFF2-40B4-BE49-F238E27FC236}">
              <a16:creationId xmlns:a16="http://schemas.microsoft.com/office/drawing/2014/main" id="{6B1CA2DB-AD36-4EC1-A202-A944AFA01957}"/>
            </a:ext>
          </a:extLst>
        </xdr:cNvPr>
        <xdr:cNvSpPr txBox="1">
          <a:spLocks noChangeArrowheads="1"/>
        </xdr:cNvSpPr>
      </xdr:nvSpPr>
      <xdr:spPr bwMode="auto">
        <a:xfrm>
          <a:off x="5310228" y="6498536"/>
          <a:ext cx="137827" cy="2236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11</xdr:col>
      <xdr:colOff>368092</xdr:colOff>
      <xdr:row>36</xdr:row>
      <xdr:rowOff>43412</xdr:rowOff>
    </xdr:from>
    <xdr:to>
      <xdr:col>12</xdr:col>
      <xdr:colOff>16833</xdr:colOff>
      <xdr:row>37</xdr:row>
      <xdr:rowOff>24362</xdr:rowOff>
    </xdr:to>
    <xdr:sp macro="" textlink="">
      <xdr:nvSpPr>
        <xdr:cNvPr id="12" name="Text Box 51">
          <a:extLst>
            <a:ext uri="{FF2B5EF4-FFF2-40B4-BE49-F238E27FC236}">
              <a16:creationId xmlns:a16="http://schemas.microsoft.com/office/drawing/2014/main" id="{F17583AD-566A-4A6D-9D82-267AD1F4D128}"/>
            </a:ext>
          </a:extLst>
        </xdr:cNvPr>
        <xdr:cNvSpPr txBox="1">
          <a:spLocks noChangeArrowheads="1"/>
        </xdr:cNvSpPr>
      </xdr:nvSpPr>
      <xdr:spPr bwMode="auto">
        <a:xfrm>
          <a:off x="5406817" y="8415887"/>
          <a:ext cx="210716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</a:t>
          </a:r>
        </a:p>
      </xdr:txBody>
    </xdr:sp>
    <xdr:clientData/>
  </xdr:twoCellAnchor>
  <xdr:twoCellAnchor>
    <xdr:from>
      <xdr:col>10</xdr:col>
      <xdr:colOff>125650</xdr:colOff>
      <xdr:row>39</xdr:row>
      <xdr:rowOff>205165</xdr:rowOff>
    </xdr:from>
    <xdr:to>
      <xdr:col>10</xdr:col>
      <xdr:colOff>361206</xdr:colOff>
      <xdr:row>40</xdr:row>
      <xdr:rowOff>112798</xdr:rowOff>
    </xdr:to>
    <xdr:sp macro="" textlink="">
      <xdr:nvSpPr>
        <xdr:cNvPr id="13" name="Text Box 52">
          <a:extLst>
            <a:ext uri="{FF2B5EF4-FFF2-40B4-BE49-F238E27FC236}">
              <a16:creationId xmlns:a16="http://schemas.microsoft.com/office/drawing/2014/main" id="{EBA0099C-7696-4CA2-AAF4-1DC5C3297C3C}"/>
            </a:ext>
          </a:extLst>
        </xdr:cNvPr>
        <xdr:cNvSpPr txBox="1">
          <a:spLocks noChangeArrowheads="1"/>
        </xdr:cNvSpPr>
      </xdr:nvSpPr>
      <xdr:spPr bwMode="auto">
        <a:xfrm>
          <a:off x="4488100" y="9320590"/>
          <a:ext cx="235556" cy="1552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10</xdr:col>
      <xdr:colOff>39981</xdr:colOff>
      <xdr:row>21</xdr:row>
      <xdr:rowOff>115268</xdr:rowOff>
    </xdr:from>
    <xdr:to>
      <xdr:col>10</xdr:col>
      <xdr:colOff>288925</xdr:colOff>
      <xdr:row>22</xdr:row>
      <xdr:rowOff>158749</xdr:rowOff>
    </xdr:to>
    <xdr:sp macro="" textlink="">
      <xdr:nvSpPr>
        <xdr:cNvPr id="14" name="Text Box 54">
          <a:extLst>
            <a:ext uri="{FF2B5EF4-FFF2-40B4-BE49-F238E27FC236}">
              <a16:creationId xmlns:a16="http://schemas.microsoft.com/office/drawing/2014/main" id="{1BFDAE05-9DA5-49B3-81F8-6E1C69437054}"/>
            </a:ext>
          </a:extLst>
        </xdr:cNvPr>
        <xdr:cNvSpPr txBox="1">
          <a:spLocks noChangeArrowheads="1"/>
        </xdr:cNvSpPr>
      </xdr:nvSpPr>
      <xdr:spPr bwMode="auto">
        <a:xfrm>
          <a:off x="4402431" y="4772993"/>
          <a:ext cx="248944" cy="2911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9</xdr:col>
      <xdr:colOff>27300</xdr:colOff>
      <xdr:row>31</xdr:row>
      <xdr:rowOff>127356</xdr:rowOff>
    </xdr:from>
    <xdr:to>
      <xdr:col>9</xdr:col>
      <xdr:colOff>151247</xdr:colOff>
      <xdr:row>32</xdr:row>
      <xdr:rowOff>70374</xdr:rowOff>
    </xdr:to>
    <xdr:sp macro="" textlink="">
      <xdr:nvSpPr>
        <xdr:cNvPr id="15" name="Text Box 55">
          <a:extLst>
            <a:ext uri="{FF2B5EF4-FFF2-40B4-BE49-F238E27FC236}">
              <a16:creationId xmlns:a16="http://schemas.microsoft.com/office/drawing/2014/main" id="{8457F3C4-659E-46F2-83DB-730B7D61DE21}"/>
            </a:ext>
          </a:extLst>
        </xdr:cNvPr>
        <xdr:cNvSpPr txBox="1">
          <a:spLocks noChangeArrowheads="1"/>
        </xdr:cNvSpPr>
      </xdr:nvSpPr>
      <xdr:spPr bwMode="auto">
        <a:xfrm>
          <a:off x="4027800" y="7261581"/>
          <a:ext cx="123947" cy="190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id-ID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</a:t>
          </a:r>
        </a:p>
      </xdr:txBody>
    </xdr:sp>
    <xdr:clientData/>
  </xdr:twoCellAnchor>
  <xdr:twoCellAnchor>
    <xdr:from>
      <xdr:col>13</xdr:col>
      <xdr:colOff>1256360</xdr:colOff>
      <xdr:row>49</xdr:row>
      <xdr:rowOff>231169</xdr:rowOff>
    </xdr:from>
    <xdr:to>
      <xdr:col>16</xdr:col>
      <xdr:colOff>299285</xdr:colOff>
      <xdr:row>57</xdr:row>
      <xdr:rowOff>236205</xdr:rowOff>
    </xdr:to>
    <xdr:sp macro="" textlink="">
      <xdr:nvSpPr>
        <xdr:cNvPr id="16" name="Rectangle 33">
          <a:extLst>
            <a:ext uri="{FF2B5EF4-FFF2-40B4-BE49-F238E27FC236}">
              <a16:creationId xmlns:a16="http://schemas.microsoft.com/office/drawing/2014/main" id="{7E3DD00C-CA8F-4A62-A342-A672C1A23B18}"/>
            </a:ext>
          </a:extLst>
        </xdr:cNvPr>
        <xdr:cNvSpPr>
          <a:spLocks noChangeArrowheads="1"/>
        </xdr:cNvSpPr>
      </xdr:nvSpPr>
      <xdr:spPr bwMode="auto">
        <a:xfrm>
          <a:off x="7533335" y="11823094"/>
          <a:ext cx="1548000" cy="1986236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4</xdr:col>
      <xdr:colOff>133351</xdr:colOff>
      <xdr:row>1</xdr:row>
      <xdr:rowOff>87109</xdr:rowOff>
    </xdr:from>
    <xdr:to>
      <xdr:col>4</xdr:col>
      <xdr:colOff>1057275</xdr:colOff>
      <xdr:row>5</xdr:row>
      <xdr:rowOff>152400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FB1B863-5CF9-478C-B17B-E4A8D9808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1" y="220459"/>
          <a:ext cx="923924" cy="922541"/>
        </a:xfrm>
        <a:prstGeom prst="rect">
          <a:avLst/>
        </a:prstGeom>
      </xdr:spPr>
    </xdr:pic>
    <xdr:clientData/>
  </xdr:twoCellAnchor>
  <xdr:twoCellAnchor>
    <xdr:from>
      <xdr:col>8</xdr:col>
      <xdr:colOff>204109</xdr:colOff>
      <xdr:row>43</xdr:row>
      <xdr:rowOff>80341</xdr:rowOff>
    </xdr:from>
    <xdr:to>
      <xdr:col>12</xdr:col>
      <xdr:colOff>510109</xdr:colOff>
      <xdr:row>54</xdr:row>
      <xdr:rowOff>20191</xdr:rowOff>
    </xdr:to>
    <xdr:graphicFrame macro="">
      <xdr:nvGraphicFramePr>
        <xdr:cNvPr id="18" name="Chart 14">
          <a:extLst>
            <a:ext uri="{FF2B5EF4-FFF2-40B4-BE49-F238E27FC236}">
              <a16:creationId xmlns:a16="http://schemas.microsoft.com/office/drawing/2014/main" id="{BC31BA5E-DE84-4B19-91F7-9DB0135CF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 fLocksWithSheet="0"/>
  </xdr:twoCellAnchor>
  <xdr:twoCellAnchor>
    <xdr:from>
      <xdr:col>3</xdr:col>
      <xdr:colOff>135205</xdr:colOff>
      <xdr:row>43</xdr:row>
      <xdr:rowOff>76200</xdr:rowOff>
    </xdr:from>
    <xdr:to>
      <xdr:col>8</xdr:col>
      <xdr:colOff>164980</xdr:colOff>
      <xdr:row>54</xdr:row>
      <xdr:rowOff>16050</xdr:rowOff>
    </xdr:to>
    <xdr:graphicFrame macro="">
      <xdr:nvGraphicFramePr>
        <xdr:cNvPr id="19" name="Chart 16">
          <a:extLst>
            <a:ext uri="{FF2B5EF4-FFF2-40B4-BE49-F238E27FC236}">
              <a16:creationId xmlns:a16="http://schemas.microsoft.com/office/drawing/2014/main" id="{F5979E07-B863-4890-A698-440CFB95B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14</xdr:col>
      <xdr:colOff>46686</xdr:colOff>
      <xdr:row>50</xdr:row>
      <xdr:rowOff>21619</xdr:rowOff>
    </xdr:from>
    <xdr:to>
      <xdr:col>16</xdr:col>
      <xdr:colOff>248436</xdr:colOff>
      <xdr:row>57</xdr:row>
      <xdr:rowOff>212003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187086B-687B-4E3B-8E96-CF9923A5A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590486" y="11861194"/>
          <a:ext cx="1440000" cy="1923934"/>
        </a:xfrm>
        <a:prstGeom prst="rect">
          <a:avLst/>
        </a:prstGeom>
      </xdr:spPr>
    </xdr:pic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</cdr:x>
      <cdr:y>0.11866</cdr:y>
    </cdr:from>
    <cdr:to>
      <cdr:x>0.03531</cdr:x>
      <cdr:y>0.18649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TextBox 9">
              <a:extLst xmlns:a="http://schemas.openxmlformats.org/drawingml/2006/main">
                <a:ext uri="{FF2B5EF4-FFF2-40B4-BE49-F238E27FC236}">
                  <a16:creationId xmlns:a16="http://schemas.microsoft.com/office/drawing/2014/main" id="{0EE83649-4093-C347-A37E-C9BEAB167AEF}"/>
                </a:ext>
              </a:extLst>
            </cdr:cNvPr>
            <cdr:cNvSpPr txBox="1"/>
          </cdr:nvSpPr>
          <cdr:spPr>
            <a:xfrm xmlns:a="http://schemas.openxmlformats.org/drawingml/2006/main" rot="14292199">
              <a:off x="-125284" y="886062"/>
              <a:ext cx="434888" cy="18431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f>
                      <m:fPr>
                        <m:type m:val="skw"/>
                        <m:ctrlPr>
                          <a:rPr lang="en-US" sz="8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n-US" sz="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</m:t>
                            </m:r>
                          </m:e>
                          <m:sub>
                            <m:r>
                              <a:rPr lang="en-US" sz="800" b="0" i="1">
                                <a:latin typeface="Cambria Math" panose="02040503050406030204" pitchFamily="18" charset="0"/>
                              </a:rPr>
                              <m:t>1</m:t>
                            </m:r>
                            <m:r>
                              <a:rPr lang="en-US" sz="800" b="0" i="1" baseline="30000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b>
                        </m:sSub>
                      </m:num>
                      <m:den>
                        <m:sSub>
                          <m:sSubPr>
                            <m:ctrlPr>
                              <a:rPr lang="en-US" sz="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80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𝜕</m:t>
                            </m:r>
                          </m:e>
                          <m:sub>
                            <m:r>
                              <a:rPr lang="en-US" sz="800" b="0" i="1">
                                <a:latin typeface="Cambria Math" panose="02040503050406030204" pitchFamily="18" charset="0"/>
                              </a:rPr>
                              <m:t>3</m:t>
                            </m:r>
                            <m:r>
                              <a:rPr lang="en-US" sz="800" b="0" i="1" baseline="30000">
                                <a:latin typeface="Cambria Math" panose="02040503050406030204" pitchFamily="18" charset="0"/>
                              </a:rPr>
                              <m:t>′</m:t>
                            </m:r>
                          </m:sub>
                        </m:sSub>
                      </m:den>
                    </m:f>
                  </m:oMath>
                </m:oMathPara>
              </a14:m>
              <a:endParaRPr lang="en-US" sz="800"/>
            </a:p>
          </cdr:txBody>
        </cdr:sp>
      </mc:Choice>
      <mc:Fallback xmlns="">
        <cdr:sp macro="" textlink="">
          <cdr:nvSpPr>
            <cdr:cNvPr id="2" name="TextBox 9">
              <a:extLst xmlns:a="http://schemas.openxmlformats.org/drawingml/2006/main">
                <a:ext uri="{FF2B5EF4-FFF2-40B4-BE49-F238E27FC236}">
                  <a16:creationId xmlns:a16="http://schemas.microsoft.com/office/drawing/2014/main" id="{0EE83649-4093-C347-A37E-C9BEAB167AEF}"/>
                </a:ext>
              </a:extLst>
            </cdr:cNvPr>
            <cdr:cNvSpPr txBox="1"/>
          </cdr:nvSpPr>
          <cdr:spPr>
            <a:xfrm xmlns:a="http://schemas.openxmlformats.org/drawingml/2006/main" rot="14292199">
              <a:off x="-125284" y="886062"/>
              <a:ext cx="434888" cy="184319"/>
            </a:xfrm>
            <a:prstGeom xmlns:a="http://schemas.openxmlformats.org/drawingml/2006/main" prst="rect">
              <a:avLst/>
            </a:prstGeom>
            <a:noFill xmlns:a="http://schemas.openxmlformats.org/drawingml/2006/main"/>
          </cdr:spPr>
          <cdr:style>
            <a:lnRef xmlns:a="http://schemas.openxmlformats.org/drawingml/2006/main" idx="0">
              <a:scrgbClr r="0" g="0" b="0"/>
            </a:lnRef>
            <a:fillRef xmlns:a="http://schemas.openxmlformats.org/drawingml/2006/main" idx="0">
              <a:scrgbClr r="0" g="0" b="0"/>
            </a:fillRef>
            <a:effectRef xmlns:a="http://schemas.openxmlformats.org/drawingml/2006/main" idx="0">
              <a:scrgbClr r="0" g="0" b="0"/>
            </a:effectRef>
            <a:fontRef xmlns:a="http://schemas.openxmlformats.org/drawingml/2006/main" idx="minor">
              <a:schemeClr val="tx1"/>
            </a:fontRef>
          </cdr:style>
          <cdr:txBody>
            <a:bodyPr xmlns:a="http://schemas.openxmlformats.org/drawingml/2006/main" wrap="square" lIns="0" tIns="0" rIns="0" bIns="0" rtlCol="0" anchor="t">
              <a:spAutoFit/>
            </a:bodyPr>
            <a:lstStyle xmlns:a="http://schemas.openxmlformats.org/drawingml/2006/main">
              <a:lvl1pPr marL="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sz="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𝜕_</a:t>
              </a:r>
              <a:r>
                <a:rPr lang="en-US" sz="800" b="0" i="0">
                  <a:latin typeface="Cambria Math" panose="02040503050406030204" pitchFamily="18" charset="0"/>
                </a:rPr>
                <a:t>1</a:t>
              </a:r>
              <a:r>
                <a:rPr lang="en-US" sz="800" b="0" i="0" baseline="30000">
                  <a:latin typeface="Cambria Math" panose="02040503050406030204" pitchFamily="18" charset="0"/>
                </a:rPr>
                <a:t>′⁄</a:t>
              </a:r>
              <a:r>
                <a:rPr lang="en-US" sz="80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𝜕_</a:t>
              </a:r>
              <a:r>
                <a:rPr lang="en-US" sz="800" b="0" i="0">
                  <a:latin typeface="Cambria Math" panose="02040503050406030204" pitchFamily="18" charset="0"/>
                </a:rPr>
                <a:t>3</a:t>
              </a:r>
              <a:r>
                <a:rPr lang="en-US" sz="800" b="0" i="0" baseline="30000">
                  <a:latin typeface="Cambria Math" panose="02040503050406030204" pitchFamily="18" charset="0"/>
                </a:rPr>
                <a:t>′ </a:t>
              </a:r>
              <a:endParaRPr lang="en-US" sz="800"/>
            </a:p>
          </cdr:txBody>
        </cdr:sp>
      </mc:Fallback>
    </mc:AlternateContent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182032</xdr:colOff>
      <xdr:row>19</xdr:row>
      <xdr:rowOff>91017</xdr:rowOff>
    </xdr:from>
    <xdr:to>
      <xdr:col>17</xdr:col>
      <xdr:colOff>107107</xdr:colOff>
      <xdr:row>61</xdr:row>
      <xdr:rowOff>90117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FB139E6C-A458-445D-955E-8F4F12571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22</xdr:col>
      <xdr:colOff>142875</xdr:colOff>
      <xdr:row>1</xdr:row>
      <xdr:rowOff>57151</xdr:rowOff>
    </xdr:from>
    <xdr:ext cx="3593042" cy="635000"/>
    <xdr:pic>
      <xdr:nvPicPr>
        <xdr:cNvPr id="3" name="Picture 2">
          <a:extLst>
            <a:ext uri="{FF2B5EF4-FFF2-40B4-BE49-F238E27FC236}">
              <a16:creationId xmlns:a16="http://schemas.microsoft.com/office/drawing/2014/main" id="{47D4791C-2228-45B4-BF89-A5B98BC92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10534650" y="180976"/>
          <a:ext cx="3593042" cy="63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276225</xdr:colOff>
      <xdr:row>1</xdr:row>
      <xdr:rowOff>95250</xdr:rowOff>
    </xdr:from>
    <xdr:to>
      <xdr:col>2</xdr:col>
      <xdr:colOff>492125</xdr:colOff>
      <xdr:row>5</xdr:row>
      <xdr:rowOff>87842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04CB03-D054-4A0C-B6DE-9BFB7B1B7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50" y="219075"/>
          <a:ext cx="825500" cy="792692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485775</xdr:colOff>
      <xdr:row>19</xdr:row>
      <xdr:rowOff>165100</xdr:rowOff>
    </xdr:from>
    <xdr:to>
      <xdr:col>16</xdr:col>
      <xdr:colOff>401325</xdr:colOff>
      <xdr:row>61</xdr:row>
      <xdr:rowOff>164200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25298-E5AC-4EAC-AC5E-D87BC6EB6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20</xdr:col>
      <xdr:colOff>133350</xdr:colOff>
      <xdr:row>1</xdr:row>
      <xdr:rowOff>47626</xdr:rowOff>
    </xdr:from>
    <xdr:to>
      <xdr:col>26</xdr:col>
      <xdr:colOff>142875</xdr:colOff>
      <xdr:row>4</xdr:row>
      <xdr:rowOff>28576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23C54F-1789-49A5-A467-AEAC68260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9467850" y="114301"/>
          <a:ext cx="32289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247650</xdr:colOff>
      <xdr:row>1</xdr:row>
      <xdr:rowOff>133350</xdr:rowOff>
    </xdr:from>
    <xdr:to>
      <xdr:col>2</xdr:col>
      <xdr:colOff>463550</xdr:colOff>
      <xdr:row>5</xdr:row>
      <xdr:rowOff>97367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7C42C15-67A6-43CC-8375-0B85B984D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" y="200025"/>
          <a:ext cx="825500" cy="792692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393700</xdr:colOff>
      <xdr:row>19</xdr:row>
      <xdr:rowOff>88899</xdr:rowOff>
    </xdr:from>
    <xdr:to>
      <xdr:col>16</xdr:col>
      <xdr:colOff>509275</xdr:colOff>
      <xdr:row>61</xdr:row>
      <xdr:rowOff>97524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541DFF-4758-431C-8560-3490CC8883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40</xdr:col>
      <xdr:colOff>422825</xdr:colOff>
      <xdr:row>41</xdr:row>
      <xdr:rowOff>107950</xdr:rowOff>
    </xdr:from>
    <xdr:to>
      <xdr:col>42</xdr:col>
      <xdr:colOff>318294</xdr:colOff>
      <xdr:row>60</xdr:row>
      <xdr:rowOff>55194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0E5C8E0A-7D4C-4D91-B1BD-69AB09A12029}"/>
            </a:ext>
          </a:extLst>
        </xdr:cNvPr>
        <xdr:cNvGrpSpPr/>
      </xdr:nvGrpSpPr>
      <xdr:grpSpPr>
        <a:xfrm>
          <a:off x="18910850" y="7232650"/>
          <a:ext cx="1114669" cy="3204794"/>
          <a:chOff x="3902625" y="6775450"/>
          <a:chExt cx="1114669" cy="3325444"/>
        </a:xfrm>
      </xdr:grpSpPr>
      <xdr:cxnSp macro="">
        <xdr:nvCxnSpPr>
          <xdr:cNvPr id="4" name="Straight Connector 3">
            <a:extLst>
              <a:ext uri="{FF2B5EF4-FFF2-40B4-BE49-F238E27FC236}">
                <a16:creationId xmlns:a16="http://schemas.microsoft.com/office/drawing/2014/main" id="{13E98D16-C9F9-1E22-A536-BF9F8116BD6E}"/>
              </a:ext>
            </a:extLst>
          </xdr:cNvPr>
          <xdr:cNvCxnSpPr/>
        </xdr:nvCxnSpPr>
        <xdr:spPr>
          <a:xfrm rot="5400000" flipH="1" flipV="1">
            <a:off x="3354175" y="8437775"/>
            <a:ext cx="3324650" cy="1588"/>
          </a:xfrm>
          <a:prstGeom prst="line">
            <a:avLst/>
          </a:prstGeom>
          <a:ln w="15875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Connector 4">
            <a:extLst>
              <a:ext uri="{FF2B5EF4-FFF2-40B4-BE49-F238E27FC236}">
                <a16:creationId xmlns:a16="http://schemas.microsoft.com/office/drawing/2014/main" id="{FAFA03CE-6107-166A-178A-37811A8EA859}"/>
              </a:ext>
            </a:extLst>
          </xdr:cNvPr>
          <xdr:cNvCxnSpPr/>
        </xdr:nvCxnSpPr>
        <xdr:spPr>
          <a:xfrm rot="10800000">
            <a:off x="3902625" y="6775450"/>
            <a:ext cx="1104350" cy="1588"/>
          </a:xfrm>
          <a:prstGeom prst="line">
            <a:avLst/>
          </a:prstGeom>
          <a:ln w="15875">
            <a:solidFill>
              <a:srgbClr val="FF0000"/>
            </a:solidFill>
            <a:prstDash val="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oneCellAnchor>
    <xdr:from>
      <xdr:col>20</xdr:col>
      <xdr:colOff>104775</xdr:colOff>
      <xdr:row>1</xdr:row>
      <xdr:rowOff>85726</xdr:rowOff>
    </xdr:from>
    <xdr:ext cx="3667125" cy="590550"/>
    <xdr:pic>
      <xdr:nvPicPr>
        <xdr:cNvPr id="6" name="Picture 5">
          <a:extLst>
            <a:ext uri="{FF2B5EF4-FFF2-40B4-BE49-F238E27FC236}">
              <a16:creationId xmlns:a16="http://schemas.microsoft.com/office/drawing/2014/main" id="{2323BC27-5D7A-433C-B003-F4483A8A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982" b="39636"/>
        <a:stretch>
          <a:fillRect/>
        </a:stretch>
      </xdr:blipFill>
      <xdr:spPr bwMode="auto">
        <a:xfrm>
          <a:off x="9296400" y="200026"/>
          <a:ext cx="36671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304800</xdr:colOff>
      <xdr:row>1</xdr:row>
      <xdr:rowOff>76200</xdr:rowOff>
    </xdr:from>
    <xdr:to>
      <xdr:col>2</xdr:col>
      <xdr:colOff>520700</xdr:colOff>
      <xdr:row>5</xdr:row>
      <xdr:rowOff>154517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BE7B0E-ABE8-4714-8830-E9A5BA86D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7675" y="190500"/>
          <a:ext cx="825500" cy="792692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230333</xdr:colOff>
      <xdr:row>37</xdr:row>
      <xdr:rowOff>0</xdr:rowOff>
    </xdr:from>
    <xdr:to>
      <xdr:col>19</xdr:col>
      <xdr:colOff>0</xdr:colOff>
      <xdr:row>54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B9EAA4-04F7-4A83-9685-0809B227F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  <xdr:twoCellAnchor>
    <xdr:from>
      <xdr:col>66</xdr:col>
      <xdr:colOff>19051</xdr:colOff>
      <xdr:row>50</xdr:row>
      <xdr:rowOff>161925</xdr:rowOff>
    </xdr:from>
    <xdr:to>
      <xdr:col>69</xdr:col>
      <xdr:colOff>19051</xdr:colOff>
      <xdr:row>51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4A545BB-B778-4C88-B94A-498B129ADE90}"/>
            </a:ext>
          </a:extLst>
        </xdr:cNvPr>
        <xdr:cNvSpPr txBox="1"/>
      </xdr:nvSpPr>
      <xdr:spPr>
        <a:xfrm>
          <a:off x="16354426" y="10229850"/>
          <a:ext cx="1771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id-ID" sz="1000" b="1"/>
            <a:t>100%</a:t>
          </a:r>
          <a:r>
            <a:rPr lang="id-ID" sz="1000" b="1" baseline="0"/>
            <a:t> Maximum dry density</a:t>
          </a:r>
          <a:endParaRPr lang="id-ID" sz="1000" b="1"/>
        </a:p>
      </xdr:txBody>
    </xdr:sp>
    <xdr:clientData/>
  </xdr:twoCellAnchor>
  <xdr:twoCellAnchor>
    <xdr:from>
      <xdr:col>62</xdr:col>
      <xdr:colOff>476251</xdr:colOff>
      <xdr:row>53</xdr:row>
      <xdr:rowOff>228600</xdr:rowOff>
    </xdr:from>
    <xdr:to>
      <xdr:col>65</xdr:col>
      <xdr:colOff>247651</xdr:colOff>
      <xdr:row>55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DA91DD-8A02-4018-ACD1-C7967CDF5A8F}"/>
            </a:ext>
          </a:extLst>
        </xdr:cNvPr>
        <xdr:cNvSpPr txBox="1"/>
      </xdr:nvSpPr>
      <xdr:spPr>
        <a:xfrm>
          <a:off x="14192251" y="11039475"/>
          <a:ext cx="1800225" cy="2667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id-ID" sz="1000" b="1"/>
            <a:t>95%</a:t>
          </a:r>
          <a:r>
            <a:rPr lang="id-ID" sz="1000" b="1" baseline="0"/>
            <a:t> Maximum dry density</a:t>
          </a:r>
          <a:endParaRPr lang="id-ID" sz="1000" b="1"/>
        </a:p>
      </xdr:txBody>
    </xdr:sp>
    <xdr:clientData/>
  </xdr:twoCellAnchor>
  <xdr:twoCellAnchor>
    <xdr:from>
      <xdr:col>72</xdr:col>
      <xdr:colOff>133673</xdr:colOff>
      <xdr:row>39</xdr:row>
      <xdr:rowOff>218026</xdr:rowOff>
    </xdr:from>
    <xdr:to>
      <xdr:col>72</xdr:col>
      <xdr:colOff>387653</xdr:colOff>
      <xdr:row>43</xdr:row>
      <xdr:rowOff>197996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467EED4-89E5-4F80-ADB1-AB46B25DA319}"/>
            </a:ext>
          </a:extLst>
        </xdr:cNvPr>
        <xdr:cNvSpPr txBox="1"/>
      </xdr:nvSpPr>
      <xdr:spPr>
        <a:xfrm rot="2853770">
          <a:off x="19654053" y="7920096"/>
          <a:ext cx="970570" cy="253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id-ID" sz="1000" b="1"/>
            <a:t>0%</a:t>
          </a:r>
          <a:r>
            <a:rPr lang="id-ID" sz="1000" b="1" baseline="0"/>
            <a:t> air void</a:t>
          </a:r>
          <a:endParaRPr lang="id-ID" sz="1000" b="1"/>
        </a:p>
      </xdr:txBody>
    </xdr:sp>
    <xdr:clientData/>
  </xdr:twoCellAnchor>
  <xdr:twoCellAnchor>
    <xdr:from>
      <xdr:col>66</xdr:col>
      <xdr:colOff>457201</xdr:colOff>
      <xdr:row>52</xdr:row>
      <xdr:rowOff>238125</xdr:rowOff>
    </xdr:from>
    <xdr:to>
      <xdr:col>67</xdr:col>
      <xdr:colOff>57151</xdr:colOff>
      <xdr:row>61</xdr:row>
      <xdr:rowOff>66675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29FBA1A-F9BA-4973-80E8-E9CBB009A853}"/>
            </a:ext>
          </a:extLst>
        </xdr:cNvPr>
        <xdr:cNvSpPr txBox="1"/>
      </xdr:nvSpPr>
      <xdr:spPr>
        <a:xfrm rot="16200000">
          <a:off x="15968663" y="11625263"/>
          <a:ext cx="1838325" cy="190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id-ID" sz="1000" b="1"/>
            <a:t>optimum moisture content</a:t>
          </a:r>
        </a:p>
      </xdr:txBody>
    </xdr:sp>
    <xdr:clientData/>
  </xdr:twoCellAnchor>
  <xdr:twoCellAnchor>
    <xdr:from>
      <xdr:col>74</xdr:col>
      <xdr:colOff>333376</xdr:colOff>
      <xdr:row>43</xdr:row>
      <xdr:rowOff>114300</xdr:rowOff>
    </xdr:from>
    <xdr:to>
      <xdr:col>74</xdr:col>
      <xdr:colOff>542926</xdr:colOff>
      <xdr:row>50</xdr:row>
      <xdr:rowOff>209550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29AEE23-8441-4646-B292-D46E66AE5CDD}"/>
            </a:ext>
          </a:extLst>
        </xdr:cNvPr>
        <xdr:cNvSpPr txBox="1"/>
      </xdr:nvSpPr>
      <xdr:spPr>
        <a:xfrm rot="16200000">
          <a:off x="20583526" y="9258300"/>
          <a:ext cx="1828800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id-ID" sz="1000" b="1">
              <a:solidFill>
                <a:srgbClr val="FF0000"/>
              </a:solidFill>
            </a:rPr>
            <a:t>natural</a:t>
          </a:r>
          <a:r>
            <a:rPr lang="id-ID" sz="1000" b="1" baseline="0">
              <a:solidFill>
                <a:srgbClr val="FF0000"/>
              </a:solidFill>
            </a:rPr>
            <a:t> </a:t>
          </a:r>
          <a:r>
            <a:rPr lang="id-ID" sz="1000" b="1">
              <a:solidFill>
                <a:srgbClr val="FF0000"/>
              </a:solidFill>
            </a:rPr>
            <a:t>moisture content</a:t>
          </a:r>
        </a:p>
      </xdr:txBody>
    </xdr:sp>
    <xdr:clientData/>
  </xdr:twoCellAnchor>
  <xdr:twoCellAnchor>
    <xdr:from>
      <xdr:col>50</xdr:col>
      <xdr:colOff>590550</xdr:colOff>
      <xdr:row>55</xdr:row>
      <xdr:rowOff>142874</xdr:rowOff>
    </xdr:from>
    <xdr:to>
      <xdr:col>51</xdr:col>
      <xdr:colOff>28575</xdr:colOff>
      <xdr:row>56</xdr:row>
      <xdr:rowOff>95249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B9BBEE6C-E23B-4FF0-9E41-DC0448ECCCE7}"/>
            </a:ext>
          </a:extLst>
        </xdr:cNvPr>
        <xdr:cNvSpPr/>
      </xdr:nvSpPr>
      <xdr:spPr>
        <a:xfrm>
          <a:off x="10763250" y="11449049"/>
          <a:ext cx="0" cy="200025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id-ID" sz="1100"/>
        </a:p>
      </xdr:txBody>
    </xdr:sp>
    <xdr:clientData/>
  </xdr:twoCellAnchor>
  <xdr:twoCellAnchor>
    <xdr:from>
      <xdr:col>2</xdr:col>
      <xdr:colOff>0</xdr:colOff>
      <xdr:row>57</xdr:row>
      <xdr:rowOff>0</xdr:rowOff>
    </xdr:from>
    <xdr:to>
      <xdr:col>2</xdr:col>
      <xdr:colOff>0</xdr:colOff>
      <xdr:row>57</xdr:row>
      <xdr:rowOff>0</xdr:rowOff>
    </xdr:to>
    <xdr:sp macro="" textlink="">
      <xdr:nvSpPr>
        <xdr:cNvPr id="10" name="Rectangle 3">
          <a:extLst>
            <a:ext uri="{FF2B5EF4-FFF2-40B4-BE49-F238E27FC236}">
              <a16:creationId xmlns:a16="http://schemas.microsoft.com/office/drawing/2014/main" id="{37C01986-3087-4863-86DE-03BC13F7920C}"/>
            </a:ext>
          </a:extLst>
        </xdr:cNvPr>
        <xdr:cNvSpPr>
          <a:spLocks noChangeArrowheads="1"/>
        </xdr:cNvSpPr>
      </xdr:nvSpPr>
      <xdr:spPr bwMode="auto">
        <a:xfrm>
          <a:off x="695325" y="133540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57</xdr:row>
      <xdr:rowOff>0</xdr:rowOff>
    </xdr:from>
    <xdr:to>
      <xdr:col>2</xdr:col>
      <xdr:colOff>0</xdr:colOff>
      <xdr:row>57</xdr:row>
      <xdr:rowOff>0</xdr:rowOff>
    </xdr:to>
    <xdr:sp macro="" textlink="">
      <xdr:nvSpPr>
        <xdr:cNvPr id="11" name="Rectangle 5">
          <a:extLst>
            <a:ext uri="{FF2B5EF4-FFF2-40B4-BE49-F238E27FC236}">
              <a16:creationId xmlns:a16="http://schemas.microsoft.com/office/drawing/2014/main" id="{C6369B6B-FBBE-46D4-BFA1-C0704F2854FF}"/>
            </a:ext>
          </a:extLst>
        </xdr:cNvPr>
        <xdr:cNvSpPr>
          <a:spLocks noChangeArrowheads="1"/>
        </xdr:cNvSpPr>
      </xdr:nvSpPr>
      <xdr:spPr bwMode="auto">
        <a:xfrm>
          <a:off x="695325" y="13354050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3</xdr:col>
      <xdr:colOff>300470</xdr:colOff>
      <xdr:row>38</xdr:row>
      <xdr:rowOff>38964</xdr:rowOff>
    </xdr:from>
    <xdr:to>
      <xdr:col>13</xdr:col>
      <xdr:colOff>420256</xdr:colOff>
      <xdr:row>55</xdr:row>
      <xdr:rowOff>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B0417E06-815F-4591-B898-54441F75CD08}"/>
            </a:ext>
          </a:extLst>
        </xdr:cNvPr>
        <xdr:cNvGrpSpPr/>
      </xdr:nvGrpSpPr>
      <xdr:grpSpPr>
        <a:xfrm>
          <a:off x="1052945" y="7249389"/>
          <a:ext cx="5663336" cy="3971061"/>
          <a:chOff x="1567295" y="7192239"/>
          <a:chExt cx="5904059" cy="6062230"/>
        </a:xfrm>
      </xdr:grpSpPr>
      <xdr:graphicFrame macro="">
        <xdr:nvGraphicFramePr>
          <xdr:cNvPr id="14" name="Chart 12">
            <a:extLst>
              <a:ext uri="{FF2B5EF4-FFF2-40B4-BE49-F238E27FC236}">
                <a16:creationId xmlns:a16="http://schemas.microsoft.com/office/drawing/2014/main" id="{6E744D7C-470C-009F-1ABB-113BD4A28075}"/>
              </a:ext>
            </a:extLst>
          </xdr:cNvPr>
          <xdr:cNvGraphicFramePr>
            <a:graphicFrameLocks/>
          </xdr:cNvGraphicFramePr>
        </xdr:nvGraphicFramePr>
        <xdr:xfrm>
          <a:off x="1567295" y="7192239"/>
          <a:ext cx="5904059" cy="606223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E9F6DFF8-62E8-FF9C-4DCD-C2E4640FAA6C}"/>
              </a:ext>
            </a:extLst>
          </xdr:cNvPr>
          <xdr:cNvSpPr txBox="1"/>
        </xdr:nvSpPr>
        <xdr:spPr>
          <a:xfrm rot="1738882">
            <a:off x="4237807" y="9092651"/>
            <a:ext cx="1146463" cy="3648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800" b="1">
                <a:latin typeface="Aptos" panose="020B0004020202020204" pitchFamily="34" charset="0"/>
              </a:rPr>
              <a:t>ZERO AIR VOID</a:t>
            </a: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51C110F0-23F5-D027-D82C-16528CC62F7E}"/>
              </a:ext>
            </a:extLst>
          </xdr:cNvPr>
          <xdr:cNvSpPr txBox="1"/>
        </xdr:nvSpPr>
        <xdr:spPr>
          <a:xfrm>
            <a:off x="5821791" y="9665334"/>
            <a:ext cx="1495583" cy="3126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800" b="1">
                <a:latin typeface="Aptos" panose="020B0004020202020204" pitchFamily="34" charset="0"/>
              </a:rPr>
              <a:t>MAXIMUM</a:t>
            </a:r>
            <a:r>
              <a:rPr lang="en-US" sz="800" b="1" baseline="0">
                <a:latin typeface="Aptos" panose="020B0004020202020204" pitchFamily="34" charset="0"/>
              </a:rPr>
              <a:t> DENSITY</a:t>
            </a:r>
            <a:endParaRPr lang="en-US" sz="900" b="1">
              <a:latin typeface="Aptos" panose="020B0004020202020204" pitchFamily="34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E2443D91-DFB5-ED96-DE08-225139C46F29}"/>
              </a:ext>
            </a:extLst>
          </xdr:cNvPr>
          <xdr:cNvSpPr txBox="1"/>
        </xdr:nvSpPr>
        <xdr:spPr>
          <a:xfrm rot="16200000">
            <a:off x="3666444" y="11048808"/>
            <a:ext cx="2486262" cy="3175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800" b="1">
                <a:latin typeface="Aptos" panose="020B0004020202020204" pitchFamily="34" charset="0"/>
              </a:rPr>
              <a:t>OPTIMUM MOISTURE CONTENT</a:t>
            </a:r>
          </a:p>
        </xdr:txBody>
      </xdr:sp>
    </xdr:grpSp>
    <xdr:clientData/>
  </xdr:twoCellAnchor>
  <xdr:twoCellAnchor editAs="oneCell">
    <xdr:from>
      <xdr:col>3</xdr:col>
      <xdr:colOff>285750</xdr:colOff>
      <xdr:row>2</xdr:row>
      <xdr:rowOff>133350</xdr:rowOff>
    </xdr:from>
    <xdr:to>
      <xdr:col>4</xdr:col>
      <xdr:colOff>425450</xdr:colOff>
      <xdr:row>6</xdr:row>
      <xdr:rowOff>106892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C1502EC-F8D7-4911-8A97-B1F69C70C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5" y="485775"/>
          <a:ext cx="825500" cy="792692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746125</xdr:colOff>
      <xdr:row>35</xdr:row>
      <xdr:rowOff>100542</xdr:rowOff>
    </xdr:from>
    <xdr:to>
      <xdr:col>15</xdr:col>
      <xdr:colOff>340311</xdr:colOff>
      <xdr:row>49</xdr:row>
      <xdr:rowOff>152400</xdr:rowOff>
    </xdr:to>
    <xdr:graphicFrame macro="">
      <xdr:nvGraphicFramePr>
        <xdr:cNvPr id="5" name="Chart 16">
          <a:extLst>
            <a:ext uri="{FF2B5EF4-FFF2-40B4-BE49-F238E27FC236}">
              <a16:creationId xmlns:a16="http://schemas.microsoft.com/office/drawing/2014/main" id="{C4441D9B-097C-474A-95D4-ECBA177F0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1</xdr:col>
      <xdr:colOff>0</xdr:colOff>
      <xdr:row>67</xdr:row>
      <xdr:rowOff>0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6A9B2AAC-69DE-433B-BA91-8EB05D83DE90}"/>
            </a:ext>
          </a:extLst>
        </xdr:cNvPr>
        <xdr:cNvSpPr>
          <a:spLocks noChangeArrowheads="1"/>
        </xdr:cNvSpPr>
      </xdr:nvSpPr>
      <xdr:spPr bwMode="auto">
        <a:xfrm>
          <a:off x="533400" y="15363825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67</xdr:row>
      <xdr:rowOff>0</xdr:rowOff>
    </xdr:from>
    <xdr:to>
      <xdr:col>1</xdr:col>
      <xdr:colOff>0</xdr:colOff>
      <xdr:row>67</xdr:row>
      <xdr:rowOff>0</xdr:rowOff>
    </xdr:to>
    <xdr:sp macro="" textlink="">
      <xdr:nvSpPr>
        <xdr:cNvPr id="3" name="Rectangle 5">
          <a:extLst>
            <a:ext uri="{FF2B5EF4-FFF2-40B4-BE49-F238E27FC236}">
              <a16:creationId xmlns:a16="http://schemas.microsoft.com/office/drawing/2014/main" id="{7F923E68-47C8-44C5-A3B7-4EEB9296E322}"/>
            </a:ext>
          </a:extLst>
        </xdr:cNvPr>
        <xdr:cNvSpPr>
          <a:spLocks noChangeArrowheads="1"/>
        </xdr:cNvSpPr>
      </xdr:nvSpPr>
      <xdr:spPr bwMode="auto">
        <a:xfrm>
          <a:off x="533400" y="15363825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2</xdr:row>
      <xdr:rowOff>123825</xdr:rowOff>
    </xdr:from>
    <xdr:to>
      <xdr:col>2</xdr:col>
      <xdr:colOff>969439</xdr:colOff>
      <xdr:row>6</xdr:row>
      <xdr:rowOff>101412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2EA8A7-495B-48B1-B923-DD42B741F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371475"/>
          <a:ext cx="836089" cy="834837"/>
        </a:xfrm>
        <a:prstGeom prst="rect">
          <a:avLst/>
        </a:prstGeom>
      </xdr:spPr>
    </xdr:pic>
    <xdr:clientData/>
  </xdr:twoCellAnchor>
  <xdr:twoCellAnchor>
    <xdr:from>
      <xdr:col>10</xdr:col>
      <xdr:colOff>5292</xdr:colOff>
      <xdr:row>41</xdr:row>
      <xdr:rowOff>125945</xdr:rowOff>
    </xdr:from>
    <xdr:to>
      <xdr:col>12</xdr:col>
      <xdr:colOff>43393</xdr:colOff>
      <xdr:row>42</xdr:row>
      <xdr:rowOff>47628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53B7916-5956-4A95-84EB-6CE21601C168}"/>
            </a:ext>
          </a:extLst>
        </xdr:cNvPr>
        <xdr:cNvSpPr txBox="1"/>
      </xdr:nvSpPr>
      <xdr:spPr>
        <a:xfrm rot="1675540">
          <a:off x="4852459" y="9111195"/>
          <a:ext cx="1138767" cy="1651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latin typeface="Aptos" panose="020B0004020202020204" pitchFamily="34" charset="0"/>
            </a:rPr>
            <a:t>ZERO AIR VOID</a:t>
          </a:r>
        </a:p>
      </xdr:txBody>
    </xdr:sp>
    <xdr:clientData/>
  </xdr:twoCellAnchor>
  <xdr:twoCellAnchor>
    <xdr:from>
      <xdr:col>6</xdr:col>
      <xdr:colOff>502709</xdr:colOff>
      <xdr:row>42</xdr:row>
      <xdr:rowOff>57151</xdr:rowOff>
    </xdr:from>
    <xdr:to>
      <xdr:col>9</xdr:col>
      <xdr:colOff>293159</xdr:colOff>
      <xdr:row>43</xdr:row>
      <xdr:rowOff>6351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ADDAA8-FCE4-4BF8-884F-1E0DE41E8054}"/>
            </a:ext>
          </a:extLst>
        </xdr:cNvPr>
        <xdr:cNvSpPr txBox="1"/>
      </xdr:nvSpPr>
      <xdr:spPr>
        <a:xfrm>
          <a:off x="3160184" y="9667876"/>
          <a:ext cx="1447800" cy="196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latin typeface="Aptos" panose="020B0004020202020204" pitchFamily="34" charset="0"/>
            </a:rPr>
            <a:t>KEPADATAN MAKSIMUM </a:t>
          </a:r>
          <a:endParaRPr lang="en-US" sz="900" b="1">
            <a:latin typeface="Aptos" panose="020B0004020202020204" pitchFamily="34" charset="0"/>
          </a:endParaRPr>
        </a:p>
      </xdr:txBody>
    </xdr:sp>
    <xdr:clientData/>
  </xdr:twoCellAnchor>
  <xdr:twoCellAnchor>
    <xdr:from>
      <xdr:col>9</xdr:col>
      <xdr:colOff>351368</xdr:colOff>
      <xdr:row>42</xdr:row>
      <xdr:rowOff>121709</xdr:rowOff>
    </xdr:from>
    <xdr:to>
      <xdr:col>10</xdr:col>
      <xdr:colOff>2</xdr:colOff>
      <xdr:row>48</xdr:row>
      <xdr:rowOff>214842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6300700-5089-4887-895A-67477ADAB31F}"/>
            </a:ext>
          </a:extLst>
        </xdr:cNvPr>
        <xdr:cNvSpPr txBox="1"/>
      </xdr:nvSpPr>
      <xdr:spPr>
        <a:xfrm rot="16200000">
          <a:off x="3977218" y="10421409"/>
          <a:ext cx="1579033" cy="2010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>
              <a:latin typeface="Aptos" panose="020B0004020202020204" pitchFamily="34" charset="0"/>
            </a:rPr>
            <a:t>KADAR AIR OPTIMUM/OMC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65</xdr:row>
      <xdr:rowOff>0</xdr:rowOff>
    </xdr:from>
    <xdr:to>
      <xdr:col>1</xdr:col>
      <xdr:colOff>0</xdr:colOff>
      <xdr:row>65</xdr:row>
      <xdr:rowOff>0</xdr:rowOff>
    </xdr:to>
    <xdr:sp macro="" textlink="">
      <xdr:nvSpPr>
        <xdr:cNvPr id="3" name="Rectangle 3">
          <a:extLst>
            <a:ext uri="{FF2B5EF4-FFF2-40B4-BE49-F238E27FC236}">
              <a16:creationId xmlns:a16="http://schemas.microsoft.com/office/drawing/2014/main" id="{5FE93907-B327-437B-BB2C-F3E15A28A59B}"/>
            </a:ext>
          </a:extLst>
        </xdr:cNvPr>
        <xdr:cNvSpPr>
          <a:spLocks noChangeArrowheads="1"/>
        </xdr:cNvSpPr>
      </xdr:nvSpPr>
      <xdr:spPr bwMode="auto">
        <a:xfrm>
          <a:off x="685800" y="17802225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65</xdr:row>
      <xdr:rowOff>0</xdr:rowOff>
    </xdr:from>
    <xdr:to>
      <xdr:col>1</xdr:col>
      <xdr:colOff>0</xdr:colOff>
      <xdr:row>65</xdr:row>
      <xdr:rowOff>0</xdr:rowOff>
    </xdr:to>
    <xdr:sp macro="" textlink="">
      <xdr:nvSpPr>
        <xdr:cNvPr id="5" name="Rectangle 5">
          <a:extLst>
            <a:ext uri="{FF2B5EF4-FFF2-40B4-BE49-F238E27FC236}">
              <a16:creationId xmlns:a16="http://schemas.microsoft.com/office/drawing/2014/main" id="{A163697F-C39E-41B3-B71F-59C9C49ED4F8}"/>
            </a:ext>
          </a:extLst>
        </xdr:cNvPr>
        <xdr:cNvSpPr>
          <a:spLocks noChangeArrowheads="1"/>
        </xdr:cNvSpPr>
      </xdr:nvSpPr>
      <xdr:spPr bwMode="auto">
        <a:xfrm>
          <a:off x="685800" y="17802225"/>
          <a:ext cx="0" cy="0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</a:extLst>
      </xdr:spPr>
    </xdr:sp>
    <xdr:clientData/>
  </xdr:twoCellAnchor>
  <xdr:twoCellAnchor editAs="oneCell">
    <xdr:from>
      <xdr:col>2</xdr:col>
      <xdr:colOff>133350</xdr:colOff>
      <xdr:row>2</xdr:row>
      <xdr:rowOff>123825</xdr:rowOff>
    </xdr:from>
    <xdr:to>
      <xdr:col>2</xdr:col>
      <xdr:colOff>969439</xdr:colOff>
      <xdr:row>6</xdr:row>
      <xdr:rowOff>101412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2FE4090-BC24-4E7E-BDFC-E36477F98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219075"/>
          <a:ext cx="836089" cy="8348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0F23B82-36E4-425F-B6A3-060FAD4A7582}">
  <we:reference id="wa104051163" version="1.2.0.3" store="en-US" storeType="OMEX"/>
  <we:alternateReferences>
    <we:reference id="WA104051163" version="1.2.0.3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2.bin"/><Relationship Id="rId4" Type="http://schemas.openxmlformats.org/officeDocument/2006/relationships/comments" Target="../comments3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3.bin"/><Relationship Id="rId4" Type="http://schemas.openxmlformats.org/officeDocument/2006/relationships/comments" Target="../comments4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4.bin"/><Relationship Id="rId4" Type="http://schemas.openxmlformats.org/officeDocument/2006/relationships/comments" Target="../comments5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E9BBB-FCAE-4282-821A-BD4814C9D600}">
  <dimension ref="A1:AB37"/>
  <sheetViews>
    <sheetView showGridLines="0" topLeftCell="A19" workbookViewId="0">
      <selection activeCell="R31" sqref="R31"/>
    </sheetView>
  </sheetViews>
  <sheetFormatPr defaultRowHeight="13.5"/>
  <cols>
    <col min="1" max="3" width="9" style="1405"/>
    <col min="4" max="4" width="2.5" style="1405" customWidth="1"/>
    <col min="5" max="7" width="9" style="1405"/>
    <col min="8" max="8" width="10.375" style="1405" bestFit="1" customWidth="1"/>
    <col min="9" max="16" width="7.375" style="1405" customWidth="1"/>
    <col min="17" max="17" width="3.125" style="1405" customWidth="1"/>
    <col min="18" max="20" width="5.625" style="1405" customWidth="1"/>
    <col min="21" max="21" width="3.125" style="1405" customWidth="1"/>
    <col min="22" max="24" width="5.625" style="1405" customWidth="1"/>
    <col min="25" max="25" width="3.125" style="1405" customWidth="1"/>
    <col min="26" max="28" width="5.625" style="1405" customWidth="1"/>
    <col min="29" max="16384" width="9" style="1405"/>
  </cols>
  <sheetData>
    <row r="1" spans="1:28">
      <c r="A1" s="1404"/>
      <c r="B1" s="1404" t="s">
        <v>1044</v>
      </c>
      <c r="C1" s="1404"/>
      <c r="E1" s="1406" t="s">
        <v>1045</v>
      </c>
      <c r="F1" s="1406"/>
      <c r="G1" s="1406"/>
      <c r="I1" s="1405" t="s">
        <v>1046</v>
      </c>
      <c r="R1" s="1405" t="s">
        <v>1047</v>
      </c>
      <c r="S1" s="1405" t="s">
        <v>852</v>
      </c>
      <c r="T1" s="1405" t="s">
        <v>1048</v>
      </c>
      <c r="V1" s="1405" t="s">
        <v>1049</v>
      </c>
      <c r="Z1" s="1405" t="s">
        <v>1050</v>
      </c>
    </row>
    <row r="2" spans="1:28">
      <c r="A2" s="1407" t="s">
        <v>1051</v>
      </c>
      <c r="B2" s="1407">
        <v>1</v>
      </c>
      <c r="C2" s="1407">
        <v>2</v>
      </c>
      <c r="E2" s="1408">
        <v>0</v>
      </c>
      <c r="F2" s="1409">
        <v>60.1</v>
      </c>
      <c r="G2" s="1410" t="s">
        <v>470</v>
      </c>
      <c r="I2" s="1411">
        <v>0.99450000000000005</v>
      </c>
      <c r="J2" s="1411">
        <v>0.9909</v>
      </c>
      <c r="K2" s="1411">
        <v>0.98</v>
      </c>
      <c r="L2" s="1411">
        <v>0.95399999999999996</v>
      </c>
      <c r="M2" s="1411">
        <v>0.89600000000000002</v>
      </c>
      <c r="N2" s="1411">
        <v>0.81520000000000004</v>
      </c>
      <c r="O2" s="1411">
        <v>0.7</v>
      </c>
      <c r="P2" s="1411">
        <v>0.71819999999999995</v>
      </c>
      <c r="S2" s="1412"/>
      <c r="T2" s="1412"/>
      <c r="V2" s="1413">
        <v>0</v>
      </c>
      <c r="W2" s="1413">
        <v>0</v>
      </c>
      <c r="X2" s="1413">
        <v>0</v>
      </c>
      <c r="Z2" s="1414"/>
      <c r="AA2" s="1414"/>
      <c r="AB2" s="1414"/>
    </row>
    <row r="3" spans="1:28">
      <c r="A3" s="1407"/>
      <c r="B3" s="1415">
        <v>10.454000000000001</v>
      </c>
      <c r="C3" s="1415">
        <v>10.46</v>
      </c>
      <c r="E3" s="1408">
        <v>0</v>
      </c>
      <c r="F3" s="1416">
        <v>20</v>
      </c>
      <c r="G3" s="1416" t="s">
        <v>1052</v>
      </c>
      <c r="I3" s="1411">
        <v>0.99229999999999996</v>
      </c>
      <c r="J3" s="1411">
        <v>0.98729999999999996</v>
      </c>
      <c r="K3" s="1411">
        <v>0.97160000000000002</v>
      </c>
      <c r="L3" s="1411">
        <v>0.94</v>
      </c>
      <c r="M3" s="1411">
        <v>0.88139999999999996</v>
      </c>
      <c r="N3" s="1411">
        <v>0.80120000000000002</v>
      </c>
      <c r="O3" s="1411"/>
      <c r="P3" s="1411"/>
      <c r="S3" s="1412"/>
      <c r="T3" s="1412"/>
      <c r="V3" s="1417">
        <v>6</v>
      </c>
      <c r="W3" s="1417">
        <v>15</v>
      </c>
      <c r="X3" s="1417">
        <v>33</v>
      </c>
      <c r="Z3" s="1414"/>
      <c r="AA3" s="1414"/>
      <c r="AB3" s="1414"/>
    </row>
    <row r="4" spans="1:28">
      <c r="A4" s="1407"/>
      <c r="B4" s="1407">
        <v>25</v>
      </c>
      <c r="C4" s="1407">
        <v>25</v>
      </c>
      <c r="E4" s="1408">
        <v>0</v>
      </c>
      <c r="F4" s="1418">
        <v>55</v>
      </c>
      <c r="I4" s="1411">
        <v>0.99199999999999999</v>
      </c>
      <c r="J4" s="1411">
        <v>0.98680000000000001</v>
      </c>
      <c r="K4" s="1411">
        <v>0.97019999999999995</v>
      </c>
      <c r="L4" s="1411">
        <v>0.93779999999999997</v>
      </c>
      <c r="M4" s="1411">
        <v>0.87919999999999998</v>
      </c>
      <c r="N4" s="1411">
        <v>0.79669999999999996</v>
      </c>
      <c r="O4" s="1411"/>
      <c r="P4" s="1411"/>
      <c r="S4" s="1412"/>
      <c r="T4" s="1412"/>
      <c r="V4" s="1417">
        <v>11</v>
      </c>
      <c r="W4" s="1417">
        <v>25</v>
      </c>
      <c r="X4" s="1417">
        <v>45</v>
      </c>
      <c r="Z4" s="1414"/>
      <c r="AA4" s="1414"/>
      <c r="AB4" s="1414"/>
    </row>
    <row r="5" spans="1:28">
      <c r="A5" s="1407"/>
      <c r="B5" s="1415">
        <v>158.62100000000001</v>
      </c>
      <c r="C5" s="1415">
        <v>159.36799999999999</v>
      </c>
      <c r="E5" s="1408">
        <v>0</v>
      </c>
      <c r="F5" s="1418">
        <v>54</v>
      </c>
      <c r="I5" s="1411">
        <v>0.99170000000000003</v>
      </c>
      <c r="J5" s="1411">
        <v>0.98599999999999999</v>
      </c>
      <c r="K5" s="1411">
        <v>0.96799999999999997</v>
      </c>
      <c r="L5" s="1411">
        <v>0.93559999999999999</v>
      </c>
      <c r="M5" s="1411">
        <v>0.87609999999999999</v>
      </c>
      <c r="N5" s="1411">
        <v>0.79279999999999995</v>
      </c>
      <c r="O5" s="1411"/>
      <c r="P5" s="1411"/>
      <c r="S5" s="1412"/>
      <c r="T5" s="1412"/>
      <c r="V5" s="1417">
        <v>16</v>
      </c>
      <c r="W5" s="1417">
        <v>33</v>
      </c>
      <c r="X5" s="1417">
        <v>55</v>
      </c>
      <c r="Z5" s="1414"/>
      <c r="AA5" s="1414"/>
      <c r="AB5" s="1414"/>
    </row>
    <row r="6" spans="1:28">
      <c r="A6" s="1419" t="s">
        <v>1053</v>
      </c>
      <c r="B6" s="1419">
        <v>137</v>
      </c>
      <c r="C6" s="1419">
        <v>46</v>
      </c>
      <c r="E6" s="1408">
        <v>0</v>
      </c>
      <c r="F6" s="1418">
        <v>53</v>
      </c>
      <c r="I6" s="1411">
        <v>0.99139999999999995</v>
      </c>
      <c r="J6" s="1411">
        <v>0.98529999999999995</v>
      </c>
      <c r="K6" s="1411">
        <v>0.96640000000000004</v>
      </c>
      <c r="L6" s="1411">
        <v>0.93300000000000005</v>
      </c>
      <c r="M6" s="1411">
        <v>0.87209999999999999</v>
      </c>
      <c r="N6" s="1411">
        <v>0.78859999999999997</v>
      </c>
      <c r="O6" s="1411"/>
      <c r="P6" s="1411"/>
      <c r="S6" s="1412"/>
      <c r="T6" s="1412"/>
      <c r="V6" s="1417">
        <v>21</v>
      </c>
      <c r="W6" s="1417">
        <v>38</v>
      </c>
      <c r="X6" s="1417">
        <v>63</v>
      </c>
      <c r="Z6" s="1414"/>
      <c r="AA6" s="1414"/>
      <c r="AB6" s="1414"/>
    </row>
    <row r="7" spans="1:28">
      <c r="A7" s="1419"/>
      <c r="B7" s="1420">
        <v>96.888000000000005</v>
      </c>
      <c r="C7" s="1420">
        <v>105.404</v>
      </c>
      <c r="E7" s="1408">
        <v>0</v>
      </c>
      <c r="F7" s="1418">
        <v>51</v>
      </c>
      <c r="I7" s="1411">
        <v>0.99119999999999997</v>
      </c>
      <c r="J7" s="1411">
        <v>0.98470000000000002</v>
      </c>
      <c r="K7" s="1411">
        <v>0.96479999999999999</v>
      </c>
      <c r="L7" s="1411">
        <v>0.92930000000000001</v>
      </c>
      <c r="M7" s="1411">
        <v>0.86809999999999998</v>
      </c>
      <c r="N7" s="1411">
        <v>0.78139999999999998</v>
      </c>
      <c r="O7" s="1411"/>
      <c r="P7" s="1411"/>
      <c r="S7" s="1412"/>
      <c r="T7" s="1412"/>
      <c r="V7" s="1417">
        <v>25</v>
      </c>
      <c r="W7" s="1417">
        <v>43</v>
      </c>
      <c r="X7" s="1417">
        <v>69</v>
      </c>
      <c r="Z7" s="1414"/>
      <c r="AA7" s="1414"/>
      <c r="AB7" s="1414"/>
    </row>
    <row r="8" spans="1:28">
      <c r="A8" s="1419"/>
      <c r="B8" s="1420">
        <v>70.671000000000006</v>
      </c>
      <c r="C8" s="1420">
        <v>75.590999999999994</v>
      </c>
      <c r="E8" s="1408">
        <v>0</v>
      </c>
      <c r="F8" s="1418">
        <v>48</v>
      </c>
      <c r="I8" s="1411">
        <v>0.99099999999999999</v>
      </c>
      <c r="J8" s="1411">
        <v>0.98399999999999999</v>
      </c>
      <c r="K8" s="1411">
        <v>0.96330000000000005</v>
      </c>
      <c r="L8" s="1411">
        <v>0.92600000000000005</v>
      </c>
      <c r="M8" s="1411">
        <v>0.86140000000000005</v>
      </c>
      <c r="N8" s="1411">
        <v>0.7732</v>
      </c>
      <c r="O8" s="1411"/>
      <c r="P8" s="1411"/>
      <c r="S8" s="1412"/>
      <c r="T8" s="1412"/>
      <c r="V8" s="1417">
        <v>29</v>
      </c>
      <c r="W8" s="1417">
        <v>47</v>
      </c>
      <c r="X8" s="1417">
        <v>75</v>
      </c>
      <c r="Z8" s="1414"/>
      <c r="AA8" s="1414"/>
      <c r="AB8" s="1414"/>
    </row>
    <row r="9" spans="1:28">
      <c r="A9" s="1421" t="s">
        <v>1054</v>
      </c>
      <c r="B9" s="1422">
        <v>1</v>
      </c>
      <c r="E9" s="1408">
        <v>0</v>
      </c>
      <c r="F9" s="1418">
        <v>46</v>
      </c>
      <c r="I9" s="1411">
        <v>0.9909</v>
      </c>
      <c r="J9" s="1411">
        <v>0.98319999999999996</v>
      </c>
      <c r="K9" s="1411">
        <v>0.96160000000000001</v>
      </c>
      <c r="L9" s="1411">
        <v>0.92200000000000004</v>
      </c>
      <c r="M9" s="1411">
        <v>0.85409999999999997</v>
      </c>
      <c r="N9" s="1411">
        <v>0.76539999999999997</v>
      </c>
      <c r="O9" s="1411"/>
      <c r="P9" s="1411"/>
      <c r="S9" s="1412"/>
      <c r="T9" s="1412"/>
      <c r="V9" s="1417">
        <v>31</v>
      </c>
      <c r="W9" s="1417">
        <v>51</v>
      </c>
      <c r="X9" s="1417">
        <v>80</v>
      </c>
      <c r="Z9" s="1414"/>
      <c r="AA9" s="1414"/>
      <c r="AB9" s="1414"/>
    </row>
    <row r="10" spans="1:28">
      <c r="A10" s="1421"/>
      <c r="B10" s="1423">
        <v>94.968999999999994</v>
      </c>
      <c r="E10" s="1408">
        <v>0.95699999999999996</v>
      </c>
      <c r="F10" s="1418">
        <v>44</v>
      </c>
      <c r="I10" s="1411">
        <v>0.9909</v>
      </c>
      <c r="J10" s="1411">
        <v>0.98260000000000003</v>
      </c>
      <c r="K10" s="1411">
        <v>0.95989999999999998</v>
      </c>
      <c r="L10" s="1411">
        <v>0.91700000000000004</v>
      </c>
      <c r="M10" s="1411">
        <v>0.84470000000000001</v>
      </c>
      <c r="N10" s="1411">
        <v>0.75409999999999999</v>
      </c>
      <c r="O10" s="1411"/>
      <c r="P10" s="1411"/>
      <c r="S10" s="1412"/>
      <c r="T10" s="1412"/>
      <c r="V10" s="1417">
        <v>35</v>
      </c>
      <c r="W10" s="1417">
        <v>54</v>
      </c>
      <c r="X10" s="1417">
        <v>85</v>
      </c>
      <c r="Z10" s="1414"/>
      <c r="AA10" s="1414"/>
      <c r="AB10" s="1414"/>
    </row>
    <row r="11" spans="1:28">
      <c r="E11" s="1408">
        <v>1.982</v>
      </c>
      <c r="F11" s="1418">
        <v>37</v>
      </c>
      <c r="I11" s="1411">
        <v>0.9909</v>
      </c>
      <c r="J11" s="1411">
        <v>0.98199999999999998</v>
      </c>
      <c r="K11" s="1411">
        <v>0.95799999999999996</v>
      </c>
      <c r="L11" s="1411">
        <v>0.90980000000000005</v>
      </c>
      <c r="M11" s="1411">
        <v>0.83550000000000002</v>
      </c>
      <c r="N11" s="1411">
        <v>0.74150000000000005</v>
      </c>
      <c r="O11" s="1411"/>
      <c r="P11" s="1411"/>
      <c r="S11" s="1412"/>
      <c r="T11" s="1412"/>
      <c r="V11" s="1417">
        <v>37</v>
      </c>
      <c r="W11" s="1417">
        <v>58</v>
      </c>
      <c r="X11" s="1417">
        <v>89</v>
      </c>
      <c r="Z11" s="1414"/>
      <c r="AA11" s="1414"/>
      <c r="AB11" s="1414"/>
    </row>
    <row r="12" spans="1:28">
      <c r="E12" s="1408">
        <v>2.222</v>
      </c>
      <c r="F12" s="1418">
        <v>25</v>
      </c>
      <c r="I12" s="1411">
        <v>0.9909</v>
      </c>
      <c r="J12" s="1411">
        <v>0.98119999999999996</v>
      </c>
      <c r="K12" s="1411">
        <v>0.95620000000000005</v>
      </c>
      <c r="L12" s="1411">
        <v>0.90410000000000001</v>
      </c>
      <c r="M12" s="1411">
        <v>0.82869999999999999</v>
      </c>
      <c r="N12" s="1411">
        <v>0.72719999999999996</v>
      </c>
      <c r="O12" s="1411"/>
      <c r="P12" s="1411"/>
      <c r="S12" s="1412"/>
      <c r="T12" s="1412"/>
      <c r="V12" s="1417">
        <v>39</v>
      </c>
      <c r="W12" s="1417">
        <v>60</v>
      </c>
      <c r="X12" s="1417">
        <v>94</v>
      </c>
      <c r="Z12" s="1414"/>
      <c r="AA12" s="1414"/>
      <c r="AB12" s="1414"/>
    </row>
    <row r="13" spans="1:28">
      <c r="E13" s="1408">
        <v>1.968</v>
      </c>
      <c r="I13" s="1411">
        <v>0.9909</v>
      </c>
      <c r="J13" s="1411">
        <v>0.98089999999999999</v>
      </c>
      <c r="K13" s="1411">
        <v>0.95479999999999998</v>
      </c>
      <c r="L13" s="1411">
        <v>0.9</v>
      </c>
      <c r="M13" s="1411">
        <v>0.82220000000000004</v>
      </c>
      <c r="N13" s="1411">
        <v>0.71630000000000005</v>
      </c>
      <c r="O13" s="1411"/>
      <c r="P13" s="1411"/>
      <c r="S13" s="1412"/>
      <c r="T13" s="1412"/>
      <c r="V13" s="1417">
        <v>41</v>
      </c>
      <c r="W13" s="1417">
        <v>62</v>
      </c>
      <c r="X13" s="1417">
        <v>100</v>
      </c>
      <c r="Z13" s="1414"/>
      <c r="AA13" s="1414"/>
      <c r="AB13" s="1414"/>
    </row>
    <row r="14" spans="1:28">
      <c r="E14" s="1408">
        <v>0.81799999999999995</v>
      </c>
      <c r="I14" s="1411">
        <v>0.9909</v>
      </c>
      <c r="J14" s="1411">
        <v>0.98060000000000003</v>
      </c>
      <c r="K14" s="1411">
        <v>0.95440000000000003</v>
      </c>
      <c r="L14" s="1411">
        <v>0.89700000000000002</v>
      </c>
      <c r="M14" s="1411">
        <v>0.81930000000000003</v>
      </c>
      <c r="N14" s="1411">
        <v>0.71020000000000005</v>
      </c>
      <c r="O14" s="1411"/>
      <c r="P14" s="1411"/>
      <c r="S14" s="1412"/>
      <c r="T14" s="1412"/>
      <c r="V14" s="1417">
        <v>43</v>
      </c>
      <c r="W14" s="1417">
        <v>64</v>
      </c>
      <c r="X14" s="1417">
        <v>102</v>
      </c>
      <c r="Z14" s="1414"/>
      <c r="AA14" s="1414"/>
      <c r="AB14" s="1414"/>
    </row>
    <row r="15" spans="1:28">
      <c r="E15" s="1408">
        <v>1.1399999999999999</v>
      </c>
      <c r="I15" s="1411">
        <v>0.9909</v>
      </c>
      <c r="J15" s="1411">
        <v>0.98</v>
      </c>
      <c r="K15" s="1411">
        <v>0.95399999999999996</v>
      </c>
      <c r="L15" s="1411">
        <v>0.89600000000000002</v>
      </c>
      <c r="M15" s="1411">
        <v>0.81520000000000004</v>
      </c>
      <c r="N15" s="1411">
        <v>0.7</v>
      </c>
      <c r="O15" s="1411">
        <v>0.71819999999999995</v>
      </c>
      <c r="P15" s="1411">
        <v>0.74360000000000004</v>
      </c>
      <c r="S15" s="1412"/>
      <c r="T15" s="1412"/>
      <c r="V15" s="1417">
        <v>45</v>
      </c>
      <c r="W15" s="1417">
        <v>66</v>
      </c>
      <c r="X15" s="1417">
        <v>105</v>
      </c>
      <c r="Z15" s="1414"/>
      <c r="AA15" s="1414"/>
      <c r="AB15" s="1414"/>
    </row>
    <row r="16" spans="1:28">
      <c r="H16" s="1424" t="s">
        <v>1055</v>
      </c>
      <c r="I16" s="1425">
        <v>47.283936667127378</v>
      </c>
      <c r="K16" s="1865">
        <v>47.283936667127378</v>
      </c>
      <c r="S16" s="1412"/>
      <c r="T16" s="1412"/>
      <c r="V16" s="1417">
        <v>47</v>
      </c>
      <c r="W16" s="1417">
        <v>68</v>
      </c>
      <c r="X16" s="1417">
        <v>110</v>
      </c>
      <c r="Z16" s="1414"/>
      <c r="AA16" s="1414"/>
      <c r="AB16" s="1414"/>
    </row>
    <row r="17" spans="8:28">
      <c r="H17" s="1426" t="s">
        <v>1056</v>
      </c>
      <c r="I17" s="1427">
        <v>1</v>
      </c>
      <c r="K17" s="1865">
        <v>1</v>
      </c>
      <c r="S17" s="1412"/>
      <c r="T17" s="1412"/>
      <c r="V17" s="1417">
        <v>49</v>
      </c>
      <c r="W17" s="1417">
        <v>70</v>
      </c>
      <c r="X17" s="1417">
        <v>113</v>
      </c>
      <c r="Z17" s="1414"/>
      <c r="AA17" s="1414"/>
      <c r="AB17" s="1414"/>
    </row>
    <row r="18" spans="8:28">
      <c r="H18" s="1428" t="s">
        <v>1057</v>
      </c>
      <c r="I18" s="1428">
        <v>75.611000000000004</v>
      </c>
      <c r="K18" s="1865">
        <v>75.611000000000004</v>
      </c>
      <c r="S18" s="1412"/>
      <c r="T18" s="1412"/>
      <c r="V18" s="1417">
        <v>51</v>
      </c>
      <c r="W18" s="1417">
        <v>72</v>
      </c>
      <c r="X18" s="1417">
        <v>115</v>
      </c>
      <c r="Z18" s="1414"/>
      <c r="AA18" s="1414"/>
      <c r="AB18" s="1414"/>
    </row>
    <row r="19" spans="8:28">
      <c r="H19" s="1429" t="s">
        <v>1058</v>
      </c>
      <c r="I19" s="1429">
        <v>8.8339999999999996</v>
      </c>
      <c r="K19" s="1865">
        <v>8.8339999999999996</v>
      </c>
      <c r="S19" s="1412"/>
      <c r="T19" s="1412"/>
      <c r="V19" s="1417">
        <v>53</v>
      </c>
      <c r="W19" s="1417">
        <v>74</v>
      </c>
      <c r="X19" s="1417">
        <v>118</v>
      </c>
      <c r="Z19" s="1414"/>
      <c r="AA19" s="1414"/>
      <c r="AB19" s="1414"/>
    </row>
    <row r="20" spans="8:28">
      <c r="S20" s="1412"/>
      <c r="T20" s="1412"/>
      <c r="V20" s="1417">
        <v>55</v>
      </c>
      <c r="W20" s="1417">
        <v>76</v>
      </c>
      <c r="X20" s="1417">
        <v>120</v>
      </c>
      <c r="Z20" s="1414"/>
      <c r="AA20" s="1414"/>
      <c r="AB20" s="1414"/>
    </row>
    <row r="21" spans="8:28">
      <c r="S21" s="1412"/>
      <c r="T21" s="1412"/>
      <c r="V21" s="1417">
        <v>56</v>
      </c>
      <c r="W21" s="1417">
        <v>77</v>
      </c>
      <c r="X21" s="1417">
        <v>122</v>
      </c>
      <c r="Z21" s="1414"/>
      <c r="AA21" s="1414"/>
      <c r="AB21" s="1414"/>
    </row>
    <row r="22" spans="8:28">
      <c r="S22" s="1412"/>
      <c r="T22" s="1412"/>
      <c r="V22" s="1417">
        <v>58</v>
      </c>
      <c r="W22" s="1417">
        <v>78</v>
      </c>
      <c r="X22" s="1417">
        <v>124</v>
      </c>
      <c r="Z22" s="1414"/>
      <c r="AA22" s="1414"/>
      <c r="AB22" s="1414"/>
    </row>
    <row r="23" spans="8:28">
      <c r="S23" s="1412"/>
      <c r="T23" s="1412"/>
      <c r="V23" s="1417">
        <v>59</v>
      </c>
      <c r="W23" s="1417">
        <v>79</v>
      </c>
      <c r="X23" s="1417">
        <v>126</v>
      </c>
      <c r="Z23" s="1414"/>
      <c r="AA23" s="1414"/>
      <c r="AB23" s="1414"/>
    </row>
    <row r="24" spans="8:28">
      <c r="S24" s="1412"/>
      <c r="T24" s="1412"/>
      <c r="V24" s="1417">
        <v>59</v>
      </c>
      <c r="W24" s="1417">
        <v>79.5</v>
      </c>
      <c r="X24" s="1417">
        <v>128</v>
      </c>
      <c r="Z24" s="1414"/>
      <c r="AA24" s="1414"/>
      <c r="AB24" s="1414"/>
    </row>
    <row r="25" spans="8:28">
      <c r="S25" s="1412"/>
      <c r="T25" s="1412"/>
      <c r="V25" s="1417">
        <v>59</v>
      </c>
      <c r="W25" s="1417">
        <v>80</v>
      </c>
      <c r="X25" s="1417">
        <v>130</v>
      </c>
      <c r="Z25" s="1414"/>
      <c r="AA25" s="1414"/>
      <c r="AB25" s="1414"/>
    </row>
    <row r="26" spans="8:28">
      <c r="S26" s="1430"/>
      <c r="T26" s="1430"/>
      <c r="V26" s="1417">
        <v>59</v>
      </c>
      <c r="W26" s="1417">
        <v>80</v>
      </c>
      <c r="X26" s="1417">
        <v>131</v>
      </c>
      <c r="Z26" s="1414"/>
      <c r="AA26" s="1414"/>
      <c r="AB26" s="1414"/>
    </row>
    <row r="27" spans="8:28">
      <c r="S27" s="1430"/>
      <c r="T27" s="1430"/>
      <c r="V27" s="1417">
        <v>59</v>
      </c>
      <c r="W27" s="1417">
        <v>80</v>
      </c>
      <c r="X27" s="1417">
        <v>131.5</v>
      </c>
      <c r="Z27" s="1414"/>
      <c r="AA27" s="1414"/>
      <c r="AB27" s="1414"/>
    </row>
    <row r="28" spans="8:28">
      <c r="V28" s="1417">
        <v>59</v>
      </c>
      <c r="W28" s="1417">
        <v>80</v>
      </c>
      <c r="X28" s="1417">
        <v>132</v>
      </c>
      <c r="Z28" s="1414"/>
      <c r="AA28" s="1414"/>
      <c r="AB28" s="1414"/>
    </row>
    <row r="29" spans="8:28">
      <c r="R29" s="1431"/>
      <c r="S29" s="1431"/>
      <c r="V29" s="1417"/>
      <c r="W29" s="1417">
        <v>80</v>
      </c>
      <c r="X29" s="1417">
        <v>132</v>
      </c>
      <c r="Z29" s="1414"/>
      <c r="AA29" s="1414"/>
      <c r="AB29" s="1414"/>
    </row>
    <row r="30" spans="8:28">
      <c r="V30" s="1417"/>
      <c r="W30" s="1417">
        <v>80</v>
      </c>
      <c r="X30" s="1417">
        <v>132</v>
      </c>
      <c r="Z30" s="1414"/>
      <c r="AA30" s="1414"/>
      <c r="AB30" s="1414"/>
    </row>
    <row r="31" spans="8:28">
      <c r="V31" s="1417"/>
      <c r="W31" s="1417"/>
      <c r="X31" s="1417">
        <v>132</v>
      </c>
      <c r="Z31" s="1414"/>
      <c r="AA31" s="1414"/>
      <c r="AB31" s="1414"/>
    </row>
    <row r="32" spans="8:28">
      <c r="V32" s="1417"/>
      <c r="W32" s="1417"/>
      <c r="X32" s="1417">
        <v>132</v>
      </c>
      <c r="Z32" s="1414"/>
      <c r="AA32" s="1414"/>
      <c r="AB32" s="1414"/>
    </row>
    <row r="33" spans="22:28">
      <c r="V33" s="1417"/>
      <c r="W33" s="1417"/>
      <c r="X33" s="1417"/>
      <c r="Z33" s="1414"/>
      <c r="AA33" s="1414"/>
      <c r="AB33" s="1414"/>
    </row>
    <row r="34" spans="22:28">
      <c r="V34" s="1417"/>
      <c r="W34" s="1417"/>
      <c r="X34" s="1417"/>
      <c r="Z34" s="1414"/>
      <c r="AA34" s="1414"/>
      <c r="AB34" s="1414"/>
    </row>
    <row r="35" spans="22:28">
      <c r="V35" s="1417"/>
      <c r="W35" s="1417"/>
      <c r="X35" s="1417"/>
      <c r="Z35" s="1432"/>
      <c r="AA35" s="1432"/>
      <c r="AB35" s="1432"/>
    </row>
    <row r="36" spans="22:28">
      <c r="V36" s="1417"/>
      <c r="W36" s="1417"/>
      <c r="X36" s="1417"/>
    </row>
    <row r="37" spans="22:28">
      <c r="V37" s="1432"/>
      <c r="W37" s="1432"/>
      <c r="X37" s="143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3D850-3305-4E7F-B302-C07048502E7C}">
  <sheetPr codeName="Sheet2">
    <tabColor rgb="FFFFFF00"/>
    <pageSetUpPr fitToPage="1"/>
  </sheetPr>
  <dimension ref="A2:X177"/>
  <sheetViews>
    <sheetView showGridLines="0" topLeftCell="A41" zoomScaleNormal="100" workbookViewId="0">
      <selection activeCell="C152" sqref="C152"/>
    </sheetView>
  </sheetViews>
  <sheetFormatPr defaultColWidth="9.125" defaultRowHeight="13.5"/>
  <cols>
    <col min="1" max="1" width="9.125" style="626"/>
    <col min="2" max="2" width="1.625" style="626" customWidth="1"/>
    <col min="3" max="3" width="4" style="626" customWidth="1"/>
    <col min="4" max="4" width="26.125" style="626" customWidth="1"/>
    <col min="5" max="5" width="1.5" style="632" bestFit="1" customWidth="1"/>
    <col min="6" max="6" width="10" style="626" customWidth="1"/>
    <col min="7" max="7" width="23.5" style="626" customWidth="1"/>
    <col min="8" max="8" width="16.625" style="626" customWidth="1"/>
    <col min="9" max="9" width="8.25" style="626" customWidth="1"/>
    <col min="10" max="11" width="8.375" style="626" customWidth="1"/>
    <col min="12" max="12" width="1.375" style="632" customWidth="1"/>
    <col min="13" max="13" width="6.875" style="632" customWidth="1"/>
    <col min="14" max="14" width="29" style="626" customWidth="1"/>
    <col min="15" max="15" width="1.625" style="626" customWidth="1"/>
    <col min="16" max="21" width="9.125" style="1115"/>
    <col min="22" max="16384" width="9.125" style="626"/>
  </cols>
  <sheetData>
    <row r="2" spans="2:24" ht="6" customHeight="1">
      <c r="B2" s="622"/>
      <c r="C2" s="623"/>
      <c r="D2" s="623"/>
      <c r="E2" s="624"/>
      <c r="F2" s="623"/>
      <c r="G2" s="623"/>
      <c r="H2" s="623"/>
      <c r="I2" s="623"/>
      <c r="J2" s="623"/>
      <c r="K2" s="623"/>
      <c r="L2" s="624"/>
      <c r="M2" s="624"/>
      <c r="N2" s="623"/>
      <c r="O2" s="625"/>
      <c r="X2" s="627"/>
    </row>
    <row r="3" spans="2:24" ht="23.25">
      <c r="B3" s="627"/>
      <c r="C3" s="1135"/>
      <c r="D3" s="4157" t="s">
        <v>821</v>
      </c>
      <c r="E3" s="4157"/>
      <c r="F3" s="4157"/>
      <c r="G3" s="4157"/>
      <c r="H3" s="4157"/>
      <c r="I3" s="4157"/>
      <c r="J3" s="4157"/>
      <c r="K3" s="4157"/>
      <c r="L3" s="4157"/>
      <c r="M3" s="4157"/>
      <c r="N3" s="4157"/>
      <c r="O3" s="628"/>
      <c r="X3" s="627"/>
    </row>
    <row r="4" spans="2:24" s="790" customFormat="1" ht="12">
      <c r="B4" s="648"/>
      <c r="C4" s="1138"/>
      <c r="D4" s="4158" t="s">
        <v>819</v>
      </c>
      <c r="E4" s="4158"/>
      <c r="F4" s="4158"/>
      <c r="G4" s="4158"/>
      <c r="H4" s="4158"/>
      <c r="I4" s="4158"/>
      <c r="J4" s="4158"/>
      <c r="K4" s="4158"/>
      <c r="L4" s="4158"/>
      <c r="M4" s="4158"/>
      <c r="N4" s="4158"/>
      <c r="O4" s="1139"/>
      <c r="P4" s="1140"/>
      <c r="Q4" s="1140"/>
      <c r="R4" s="1140"/>
      <c r="S4" s="1140"/>
      <c r="T4" s="1140"/>
      <c r="U4" s="1140"/>
      <c r="X4" s="648"/>
    </row>
    <row r="5" spans="2:24" s="790" customFormat="1" ht="12">
      <c r="B5" s="648"/>
      <c r="C5" s="1138"/>
      <c r="D5" s="4158" t="s">
        <v>820</v>
      </c>
      <c r="E5" s="4158"/>
      <c r="F5" s="4158"/>
      <c r="G5" s="4158"/>
      <c r="H5" s="4158"/>
      <c r="I5" s="4158"/>
      <c r="J5" s="4158"/>
      <c r="K5" s="4158"/>
      <c r="L5" s="4158"/>
      <c r="M5" s="4158"/>
      <c r="N5" s="4158"/>
      <c r="O5" s="1139"/>
      <c r="P5" s="1140"/>
      <c r="Q5" s="1140"/>
      <c r="R5" s="1140"/>
      <c r="S5" s="1140"/>
      <c r="T5" s="1140"/>
      <c r="U5" s="1140"/>
      <c r="X5" s="648"/>
    </row>
    <row r="6" spans="2:24" s="790" customFormat="1" ht="12">
      <c r="B6" s="648"/>
      <c r="C6" s="1141"/>
      <c r="D6" s="4159" t="s">
        <v>830</v>
      </c>
      <c r="E6" s="4159"/>
      <c r="F6" s="4159"/>
      <c r="G6" s="4159"/>
      <c r="H6" s="4159"/>
      <c r="I6" s="4159"/>
      <c r="J6" s="4159"/>
      <c r="K6" s="4159"/>
      <c r="L6" s="4159"/>
      <c r="M6" s="4159"/>
      <c r="N6" s="4159"/>
      <c r="O6" s="1139"/>
      <c r="P6" s="1140"/>
      <c r="Q6" s="1140"/>
      <c r="R6" s="1140"/>
      <c r="S6" s="1140"/>
      <c r="T6" s="1140"/>
      <c r="U6" s="1140"/>
      <c r="X6" s="648"/>
    </row>
    <row r="7" spans="2:24" s="790" customFormat="1" ht="12">
      <c r="B7" s="648"/>
      <c r="D7" s="4158" t="s">
        <v>827</v>
      </c>
      <c r="E7" s="4158"/>
      <c r="F7" s="4158"/>
      <c r="G7" s="4158"/>
      <c r="H7" s="4158"/>
      <c r="I7" s="4158"/>
      <c r="J7" s="4158"/>
      <c r="K7" s="4158"/>
      <c r="L7" s="4158"/>
      <c r="M7" s="4158"/>
      <c r="N7" s="4158"/>
      <c r="O7" s="1139"/>
      <c r="P7" s="1140"/>
      <c r="Q7" s="1140"/>
      <c r="R7" s="1140"/>
      <c r="S7" s="1140"/>
      <c r="T7" s="1140"/>
      <c r="U7" s="1140"/>
      <c r="X7" s="648"/>
    </row>
    <row r="8" spans="2:24" ht="6" customHeight="1" thickBot="1">
      <c r="B8" s="627"/>
      <c r="C8" s="1136"/>
      <c r="D8" s="1137"/>
      <c r="E8" s="1137"/>
      <c r="F8" s="1137"/>
      <c r="G8" s="1137"/>
      <c r="H8" s="1137"/>
      <c r="I8" s="1137"/>
      <c r="J8" s="1137"/>
      <c r="K8" s="1137"/>
      <c r="L8" s="1137"/>
      <c r="M8" s="1137"/>
      <c r="N8" s="1137"/>
      <c r="O8" s="628"/>
      <c r="X8" s="627"/>
    </row>
    <row r="9" spans="2:24" s="631" customFormat="1" ht="24" customHeight="1">
      <c r="B9" s="629"/>
      <c r="C9" s="4169" t="s">
        <v>290</v>
      </c>
      <c r="D9" s="4169"/>
      <c r="E9" s="4169"/>
      <c r="F9" s="4169"/>
      <c r="G9" s="4169"/>
      <c r="H9" s="4169"/>
      <c r="I9" s="4169"/>
      <c r="J9" s="4169"/>
      <c r="K9" s="4169"/>
      <c r="L9" s="4169"/>
      <c r="M9" s="4169"/>
      <c r="N9" s="4169"/>
      <c r="O9" s="630"/>
      <c r="P9" s="1132"/>
      <c r="Q9" s="1115"/>
      <c r="R9" s="1115"/>
      <c r="S9" s="1115"/>
      <c r="T9" s="1115"/>
      <c r="U9" s="1132"/>
      <c r="X9" s="629"/>
    </row>
    <row r="10" spans="2:24" s="631" customFormat="1">
      <c r="B10" s="629"/>
      <c r="C10" s="4193" t="s">
        <v>291</v>
      </c>
      <c r="D10" s="4193"/>
      <c r="E10" s="4193"/>
      <c r="F10" s="4193"/>
      <c r="G10" s="4193"/>
      <c r="H10" s="4193"/>
      <c r="I10" s="4193"/>
      <c r="J10" s="4193"/>
      <c r="K10" s="4193"/>
      <c r="L10" s="4193"/>
      <c r="M10" s="4193"/>
      <c r="N10" s="4193"/>
      <c r="O10" s="630"/>
      <c r="P10" s="1132"/>
      <c r="Q10" s="1115"/>
      <c r="R10" s="1115"/>
      <c r="S10" s="1115"/>
      <c r="T10" s="1115"/>
      <c r="U10" s="1132"/>
    </row>
    <row r="11" spans="2:24" s="631" customFormat="1">
      <c r="B11" s="629"/>
      <c r="C11" s="4160" t="str">
        <f>Details!B2</f>
        <v>MGS/02/VI/2026</v>
      </c>
      <c r="D11" s="4160"/>
      <c r="E11" s="4160"/>
      <c r="F11" s="4160"/>
      <c r="G11" s="4160"/>
      <c r="H11" s="4160"/>
      <c r="I11" s="4160"/>
      <c r="J11" s="4160"/>
      <c r="K11" s="4160"/>
      <c r="L11" s="4160"/>
      <c r="M11" s="4160"/>
      <c r="N11" s="4160"/>
      <c r="O11" s="630"/>
      <c r="P11" s="1132"/>
      <c r="Q11" s="1115"/>
      <c r="R11" s="1115"/>
      <c r="S11" s="1115"/>
      <c r="T11" s="1115"/>
      <c r="U11" s="1132"/>
    </row>
    <row r="12" spans="2:24">
      <c r="B12" s="627"/>
      <c r="C12" s="785" t="s">
        <v>292</v>
      </c>
      <c r="E12" s="786" t="s">
        <v>27</v>
      </c>
      <c r="F12" s="4167" t="str">
        <f>Details!B4</f>
        <v xml:space="preserve">PT Itamatra Nusantara </v>
      </c>
      <c r="G12" s="4167"/>
      <c r="H12" s="4167"/>
      <c r="O12" s="628"/>
    </row>
    <row r="13" spans="2:24">
      <c r="B13" s="627"/>
      <c r="C13" s="789" t="s">
        <v>520</v>
      </c>
      <c r="D13" s="785"/>
      <c r="F13" s="4167"/>
      <c r="G13" s="4167"/>
      <c r="H13" s="4167"/>
      <c r="I13" s="785"/>
      <c r="J13" s="785" t="s">
        <v>1336</v>
      </c>
      <c r="K13" s="626" t="str">
        <f>": "&amp;Details!B7</f>
        <v>: 23-GQT--19-UDS-1-BH-05-0,00-0,50-100726-001</v>
      </c>
      <c r="O13" s="628"/>
    </row>
    <row r="14" spans="2:24" ht="7.5" customHeight="1">
      <c r="B14" s="627"/>
      <c r="D14" s="785"/>
      <c r="E14" s="786"/>
      <c r="F14" s="1881"/>
      <c r="G14" s="1881"/>
      <c r="H14" s="1881"/>
      <c r="I14" s="785"/>
      <c r="J14" s="785"/>
      <c r="N14" s="2869"/>
      <c r="O14" s="628"/>
      <c r="S14" s="4156"/>
      <c r="T14" s="4156"/>
      <c r="U14" s="4156"/>
      <c r="V14" s="4156"/>
    </row>
    <row r="15" spans="2:24" ht="15.75" customHeight="1">
      <c r="B15" s="627"/>
      <c r="C15" s="785" t="s">
        <v>295</v>
      </c>
      <c r="D15" s="785"/>
      <c r="E15" s="786" t="s">
        <v>27</v>
      </c>
      <c r="F15" s="4204" t="str">
        <f>Details!B5</f>
        <v>Ganda Ganda, Petasia, Morowali Regency, Central Sulawesi</v>
      </c>
      <c r="G15" s="4204"/>
      <c r="H15" s="4204"/>
      <c r="I15" s="785"/>
      <c r="J15" s="626" t="s">
        <v>293</v>
      </c>
      <c r="L15" s="632" t="s">
        <v>27</v>
      </c>
      <c r="M15" s="4205" t="str">
        <f>Details!B1</f>
        <v>BH-05_UDS-01</v>
      </c>
      <c r="N15" s="4205"/>
      <c r="O15" s="628"/>
    </row>
    <row r="16" spans="2:24" ht="13.5" customHeight="1">
      <c r="B16" s="627"/>
      <c r="C16" s="789" t="s">
        <v>521</v>
      </c>
      <c r="D16" s="785"/>
      <c r="E16" s="786"/>
      <c r="F16" s="4204"/>
      <c r="G16" s="4204"/>
      <c r="H16" s="4204"/>
      <c r="I16" s="785"/>
      <c r="J16" s="633" t="s">
        <v>294</v>
      </c>
      <c r="M16" s="4205"/>
      <c r="N16" s="4205"/>
      <c r="O16" s="628"/>
    </row>
    <row r="17" spans="2:21" ht="7.5" customHeight="1">
      <c r="B17" s="627"/>
      <c r="D17" s="785"/>
      <c r="E17" s="786"/>
      <c r="F17" s="1880"/>
      <c r="G17" s="2870"/>
      <c r="H17" s="2870"/>
      <c r="I17" s="785"/>
      <c r="J17" s="785"/>
      <c r="M17" s="2868"/>
      <c r="N17" s="2868"/>
      <c r="O17" s="628"/>
    </row>
    <row r="18" spans="2:21" ht="15.75" customHeight="1">
      <c r="B18" s="627"/>
      <c r="C18" s="785" t="s">
        <v>519</v>
      </c>
      <c r="D18" s="785"/>
      <c r="E18" s="786" t="s">
        <v>27</v>
      </c>
      <c r="F18" s="4204" t="str">
        <f>Details!B8</f>
        <v>hidroplogi</v>
      </c>
      <c r="G18" s="4204"/>
      <c r="H18" s="4204"/>
      <c r="I18" s="785"/>
      <c r="J18" s="626" t="s">
        <v>296</v>
      </c>
      <c r="K18" s="633"/>
      <c r="L18" s="632" t="s">
        <v>27</v>
      </c>
      <c r="M18" s="4206" t="str">
        <f>Details!B13&amp;"   m"</f>
        <v>0,00-0,50   m</v>
      </c>
      <c r="N18" s="4206"/>
      <c r="O18" s="628"/>
    </row>
    <row r="19" spans="2:21" ht="13.5" customHeight="1">
      <c r="B19" s="627"/>
      <c r="C19" s="789" t="s">
        <v>522</v>
      </c>
      <c r="D19" s="785"/>
      <c r="E19" s="786"/>
      <c r="F19" s="4204"/>
      <c r="G19" s="4204"/>
      <c r="H19" s="4204"/>
      <c r="I19" s="785"/>
      <c r="J19" s="633" t="s">
        <v>297</v>
      </c>
      <c r="L19" s="785"/>
      <c r="M19" s="4206"/>
      <c r="N19" s="4206"/>
      <c r="O19" s="788"/>
    </row>
    <row r="20" spans="2:21" ht="7.5" customHeight="1">
      <c r="B20" s="627"/>
      <c r="D20" s="785"/>
      <c r="E20" s="786"/>
      <c r="F20" s="1881"/>
      <c r="G20" s="2870"/>
      <c r="H20" s="2870"/>
      <c r="I20" s="785"/>
      <c r="L20" s="626"/>
      <c r="M20" s="626"/>
      <c r="N20" s="632"/>
      <c r="O20" s="628"/>
    </row>
    <row r="21" spans="2:21" ht="15.75" customHeight="1">
      <c r="B21" s="627"/>
      <c r="C21" s="785" t="s">
        <v>357</v>
      </c>
      <c r="D21" s="785"/>
      <c r="E21" s="786" t="s">
        <v>27</v>
      </c>
      <c r="F21" s="4204" t="str">
        <f>Details!B9</f>
        <v>Morowali Utara</v>
      </c>
      <c r="G21" s="4204"/>
      <c r="H21" s="4204"/>
      <c r="I21" s="785"/>
      <c r="J21" s="785" t="s">
        <v>299</v>
      </c>
      <c r="K21" s="633"/>
      <c r="L21" s="632" t="s">
        <v>27</v>
      </c>
      <c r="M21" s="4207">
        <f>Details!B18</f>
        <v>46213</v>
      </c>
      <c r="N21" s="4207"/>
      <c r="O21" s="628"/>
    </row>
    <row r="22" spans="2:21" ht="13.5" customHeight="1">
      <c r="B22" s="627"/>
      <c r="C22" s="789" t="s">
        <v>523</v>
      </c>
      <c r="D22" s="785"/>
      <c r="F22" s="4204"/>
      <c r="G22" s="4204"/>
      <c r="H22" s="4204"/>
      <c r="I22" s="785"/>
      <c r="J22" s="633" t="s">
        <v>524</v>
      </c>
      <c r="M22" s="4207"/>
      <c r="N22" s="4207"/>
      <c r="O22" s="628"/>
    </row>
    <row r="23" spans="2:21" ht="7.5" customHeight="1">
      <c r="B23" s="627"/>
      <c r="D23" s="785"/>
      <c r="E23" s="786"/>
      <c r="F23" s="2870"/>
      <c r="G23" s="2870"/>
      <c r="H23" s="2870"/>
      <c r="I23" s="785"/>
      <c r="J23" s="785"/>
      <c r="N23" s="787"/>
      <c r="O23" s="628"/>
    </row>
    <row r="24" spans="2:21" ht="15.75" customHeight="1">
      <c r="B24" s="627"/>
      <c r="C24" s="785"/>
      <c r="D24" s="785"/>
      <c r="E24" s="786"/>
      <c r="F24" s="1881"/>
      <c r="G24" s="1881"/>
      <c r="H24" s="1881"/>
      <c r="I24" s="785"/>
      <c r="J24" s="626" t="s">
        <v>298</v>
      </c>
      <c r="L24" s="632" t="s">
        <v>27</v>
      </c>
      <c r="M24" s="4208" t="str">
        <f>TEXT(Details!B19, "dd mmmm yyyy") &amp; " - " &amp; TEXT(Details!C18,"dd mmmm yyyy")</f>
        <v>14 July 2026 - 00 January 1900</v>
      </c>
      <c r="N24" s="4208"/>
      <c r="O24" s="628"/>
    </row>
    <row r="25" spans="2:21">
      <c r="B25" s="627"/>
      <c r="C25" s="785"/>
      <c r="D25" s="785"/>
      <c r="E25" s="786"/>
      <c r="F25" s="1882"/>
      <c r="G25" s="1881"/>
      <c r="H25" s="1881"/>
      <c r="I25" s="785"/>
      <c r="J25" s="633" t="s">
        <v>832</v>
      </c>
      <c r="M25" s="4208"/>
      <c r="N25" s="4208"/>
      <c r="O25" s="628"/>
    </row>
    <row r="26" spans="2:21" ht="7.5" customHeight="1">
      <c r="B26" s="627"/>
      <c r="E26" s="626"/>
      <c r="F26" s="785"/>
      <c r="G26" s="785"/>
      <c r="H26" s="785"/>
      <c r="I26" s="785"/>
      <c r="J26" s="785"/>
      <c r="O26" s="628"/>
    </row>
    <row r="27" spans="2:21">
      <c r="B27" s="2867"/>
      <c r="E27" s="626"/>
      <c r="F27" s="785"/>
      <c r="G27" s="785"/>
      <c r="H27" s="785"/>
      <c r="I27" s="785"/>
      <c r="J27" s="626" t="s">
        <v>300</v>
      </c>
      <c r="K27" s="633"/>
      <c r="L27" s="632" t="s">
        <v>27</v>
      </c>
      <c r="M27" s="4168">
        <f>Details!B17</f>
        <v>0</v>
      </c>
      <c r="N27" s="4168"/>
      <c r="O27" s="628"/>
    </row>
    <row r="28" spans="2:21">
      <c r="B28" s="2867"/>
      <c r="E28" s="626"/>
      <c r="F28" s="785"/>
      <c r="G28" s="785"/>
      <c r="H28" s="785"/>
      <c r="I28" s="785"/>
      <c r="J28" s="633" t="s">
        <v>301</v>
      </c>
      <c r="K28" s="633"/>
      <c r="M28" s="4168"/>
      <c r="N28" s="4168"/>
      <c r="O28" s="628"/>
    </row>
    <row r="29" spans="2:21" ht="7.5" customHeight="1">
      <c r="B29" s="627"/>
      <c r="O29" s="628"/>
    </row>
    <row r="30" spans="2:21">
      <c r="B30" s="627"/>
      <c r="C30" s="4194" t="s">
        <v>243</v>
      </c>
      <c r="D30" s="4195" t="s">
        <v>221</v>
      </c>
      <c r="E30" s="4196"/>
      <c r="F30" s="4197"/>
      <c r="G30" s="4201" t="s">
        <v>781</v>
      </c>
      <c r="H30" s="4149" t="s">
        <v>302</v>
      </c>
      <c r="I30" s="4150"/>
      <c r="J30" s="4151"/>
      <c r="K30" s="4149" t="s">
        <v>303</v>
      </c>
      <c r="L30" s="4150"/>
      <c r="M30" s="4150"/>
      <c r="N30" s="4151"/>
      <c r="O30" s="628"/>
    </row>
    <row r="31" spans="2:21" s="632" customFormat="1">
      <c r="B31" s="634"/>
      <c r="C31" s="4194"/>
      <c r="D31" s="4198"/>
      <c r="E31" s="4199"/>
      <c r="F31" s="4200"/>
      <c r="G31" s="4202"/>
      <c r="H31" s="635" t="s">
        <v>173</v>
      </c>
      <c r="I31" s="4130" t="s">
        <v>304</v>
      </c>
      <c r="J31" s="4203"/>
      <c r="K31" s="4130" t="s">
        <v>305</v>
      </c>
      <c r="L31" s="4212"/>
      <c r="M31" s="4203"/>
      <c r="N31" s="635" t="s">
        <v>306</v>
      </c>
      <c r="O31" s="636"/>
      <c r="P31" s="1133"/>
      <c r="Q31" s="1133"/>
      <c r="R31" s="1133"/>
      <c r="S31" s="1133"/>
      <c r="T31" s="1133"/>
      <c r="U31" s="1133"/>
    </row>
    <row r="32" spans="2:21">
      <c r="B32" s="627"/>
      <c r="C32" s="637" t="s">
        <v>836</v>
      </c>
      <c r="D32" s="638"/>
      <c r="E32" s="639"/>
      <c r="F32" s="638"/>
      <c r="G32" s="638"/>
      <c r="H32" s="638"/>
      <c r="I32" s="638"/>
      <c r="J32" s="638"/>
      <c r="K32" s="638"/>
      <c r="L32" s="639"/>
      <c r="M32" s="639"/>
      <c r="N32" s="640"/>
      <c r="O32" s="628"/>
    </row>
    <row r="33" spans="2:21" ht="13.5" customHeight="1">
      <c r="B33" s="627"/>
      <c r="C33" s="4164">
        <v>1</v>
      </c>
      <c r="D33" s="4131" t="s">
        <v>224</v>
      </c>
      <c r="E33" s="4132"/>
      <c r="F33" s="4133"/>
      <c r="G33" s="4134" t="s">
        <v>803</v>
      </c>
      <c r="H33" s="4134" t="s">
        <v>307</v>
      </c>
      <c r="I33" s="4152" t="s">
        <v>308</v>
      </c>
      <c r="J33" s="4153"/>
      <c r="K33" s="4176">
        <f>PP!J39</f>
        <v>1.684979787857789</v>
      </c>
      <c r="L33" s="4177"/>
      <c r="M33" s="4177"/>
      <c r="N33" s="4134" t="s">
        <v>309</v>
      </c>
      <c r="O33" s="628"/>
    </row>
    <row r="34" spans="2:21" s="633" customFormat="1">
      <c r="B34" s="641"/>
      <c r="C34" s="4164"/>
      <c r="D34" s="4138" t="s">
        <v>310</v>
      </c>
      <c r="E34" s="4139"/>
      <c r="F34" s="4140"/>
      <c r="G34" s="4135"/>
      <c r="H34" s="4135"/>
      <c r="I34" s="4154"/>
      <c r="J34" s="4155"/>
      <c r="K34" s="4178"/>
      <c r="L34" s="4179"/>
      <c r="M34" s="4179"/>
      <c r="N34" s="4135"/>
      <c r="O34" s="642"/>
      <c r="P34" s="1134"/>
      <c r="Q34" s="1134"/>
      <c r="R34" s="1134"/>
      <c r="S34" s="1134"/>
      <c r="T34" s="1134"/>
      <c r="U34" s="1134"/>
    </row>
    <row r="35" spans="2:21">
      <c r="B35" s="627"/>
      <c r="C35" s="4130">
        <v>2</v>
      </c>
      <c r="D35" s="4131" t="s">
        <v>223</v>
      </c>
      <c r="E35" s="4132"/>
      <c r="F35" s="4133"/>
      <c r="G35" s="4134" t="s">
        <v>525</v>
      </c>
      <c r="H35" s="4134" t="s">
        <v>311</v>
      </c>
      <c r="I35" s="4152" t="s">
        <v>309</v>
      </c>
      <c r="J35" s="4153"/>
      <c r="K35" s="4176">
        <f>PP!J24</f>
        <v>2.6497359418773012</v>
      </c>
      <c r="L35" s="4177"/>
      <c r="M35" s="4177"/>
      <c r="N35" s="4134" t="s">
        <v>309</v>
      </c>
      <c r="O35" s="628"/>
    </row>
    <row r="36" spans="2:21" s="633" customFormat="1">
      <c r="B36" s="641"/>
      <c r="C36" s="4130"/>
      <c r="D36" s="4138" t="s">
        <v>312</v>
      </c>
      <c r="E36" s="4139"/>
      <c r="F36" s="4140"/>
      <c r="G36" s="4135"/>
      <c r="H36" s="4135"/>
      <c r="I36" s="4154"/>
      <c r="J36" s="4155"/>
      <c r="K36" s="4178"/>
      <c r="L36" s="4179"/>
      <c r="M36" s="4179"/>
      <c r="N36" s="4135"/>
      <c r="O36" s="642"/>
      <c r="P36" s="1134"/>
      <c r="Q36" s="1134"/>
      <c r="R36" s="1134"/>
      <c r="S36" s="1134"/>
      <c r="T36" s="1134"/>
      <c r="U36" s="1134"/>
    </row>
    <row r="37" spans="2:21">
      <c r="B37" s="627"/>
      <c r="C37" s="4130">
        <v>3</v>
      </c>
      <c r="D37" s="4131" t="s">
        <v>313</v>
      </c>
      <c r="E37" s="4132"/>
      <c r="F37" s="4133"/>
      <c r="G37" s="4134" t="s">
        <v>702</v>
      </c>
      <c r="H37" s="4134" t="s">
        <v>314</v>
      </c>
      <c r="I37" s="4152" t="s">
        <v>1</v>
      </c>
      <c r="J37" s="4153"/>
      <c r="K37" s="4176">
        <f>PP!J33</f>
        <v>44.621388989430798</v>
      </c>
      <c r="L37" s="4177"/>
      <c r="M37" s="4177"/>
      <c r="N37" s="4134" t="s">
        <v>309</v>
      </c>
      <c r="O37" s="628"/>
    </row>
    <row r="38" spans="2:21" s="633" customFormat="1">
      <c r="B38" s="641"/>
      <c r="C38" s="4130"/>
      <c r="D38" s="4138" t="s">
        <v>315</v>
      </c>
      <c r="E38" s="4139"/>
      <c r="F38" s="4140"/>
      <c r="G38" s="4135"/>
      <c r="H38" s="4135"/>
      <c r="I38" s="4154"/>
      <c r="J38" s="4155"/>
      <c r="K38" s="4178"/>
      <c r="L38" s="4179"/>
      <c r="M38" s="4179"/>
      <c r="N38" s="4135"/>
      <c r="O38" s="642"/>
      <c r="P38" s="1134"/>
      <c r="Q38" s="1134"/>
      <c r="R38" s="1134"/>
      <c r="S38" s="1134"/>
      <c r="T38" s="1134"/>
      <c r="U38" s="1134"/>
    </row>
    <row r="39" spans="2:21" ht="13.5" customHeight="1">
      <c r="B39" s="627"/>
      <c r="C39" s="4130">
        <v>4</v>
      </c>
      <c r="D39" s="4131" t="s">
        <v>316</v>
      </c>
      <c r="E39" s="4132"/>
      <c r="F39" s="4133"/>
      <c r="G39" s="4134" t="s">
        <v>803</v>
      </c>
      <c r="H39" s="4134" t="s">
        <v>353</v>
      </c>
      <c r="I39" s="4152" t="s">
        <v>308</v>
      </c>
      <c r="J39" s="4153"/>
      <c r="K39" s="4176">
        <f>PP!J41</f>
        <v>1.1650972236070354</v>
      </c>
      <c r="L39" s="4177"/>
      <c r="M39" s="4177"/>
      <c r="N39" s="4134" t="s">
        <v>309</v>
      </c>
      <c r="O39" s="628"/>
    </row>
    <row r="40" spans="2:21">
      <c r="B40" s="627"/>
      <c r="C40" s="4152"/>
      <c r="D40" s="4209" t="s">
        <v>317</v>
      </c>
      <c r="E40" s="4210"/>
      <c r="F40" s="4211"/>
      <c r="G40" s="4135"/>
      <c r="H40" s="4135"/>
      <c r="I40" s="4154"/>
      <c r="J40" s="4155"/>
      <c r="K40" s="4178"/>
      <c r="L40" s="4179"/>
      <c r="M40" s="4179"/>
      <c r="N40" s="4135"/>
      <c r="O40" s="628"/>
    </row>
    <row r="41" spans="2:21">
      <c r="B41" s="627"/>
      <c r="C41" s="4164">
        <v>5</v>
      </c>
      <c r="D41" s="4132" t="s">
        <v>359</v>
      </c>
      <c r="E41" s="4132"/>
      <c r="F41" s="4133"/>
      <c r="G41" s="4134" t="s">
        <v>803</v>
      </c>
      <c r="H41" s="4134" t="s">
        <v>411</v>
      </c>
      <c r="I41" s="4152" t="s">
        <v>309</v>
      </c>
      <c r="J41" s="4153"/>
      <c r="K41" s="4176">
        <f>PP!J43</f>
        <v>0.56029685630426251</v>
      </c>
      <c r="L41" s="4177"/>
      <c r="M41" s="4177"/>
      <c r="N41" s="4134" t="s">
        <v>309</v>
      </c>
      <c r="O41" s="628"/>
    </row>
    <row r="42" spans="2:21">
      <c r="B42" s="627"/>
      <c r="C42" s="4164"/>
      <c r="D42" s="4165" t="s">
        <v>408</v>
      </c>
      <c r="E42" s="4165"/>
      <c r="F42" s="4166"/>
      <c r="G42" s="4135"/>
      <c r="H42" s="4135"/>
      <c r="I42" s="4154"/>
      <c r="J42" s="4155"/>
      <c r="K42" s="4178"/>
      <c r="L42" s="4179"/>
      <c r="M42" s="4179"/>
      <c r="N42" s="4135"/>
      <c r="O42" s="628"/>
    </row>
    <row r="43" spans="2:21" ht="13.5" customHeight="1">
      <c r="B43" s="627"/>
      <c r="C43" s="4164">
        <v>6</v>
      </c>
      <c r="D43" s="4132" t="s">
        <v>508</v>
      </c>
      <c r="E43" s="4132"/>
      <c r="F43" s="4133"/>
      <c r="G43" s="4134" t="s">
        <v>803</v>
      </c>
      <c r="H43" s="4134" t="s">
        <v>410</v>
      </c>
      <c r="I43" s="4152" t="s">
        <v>1</v>
      </c>
      <c r="J43" s="4153"/>
      <c r="K43" s="4176">
        <f>PP!J44</f>
        <v>92.786985756071715</v>
      </c>
      <c r="L43" s="4177"/>
      <c r="M43" s="4177"/>
      <c r="N43" s="4134" t="s">
        <v>309</v>
      </c>
      <c r="O43" s="628"/>
    </row>
    <row r="44" spans="2:21">
      <c r="B44" s="627"/>
      <c r="C44" s="4164"/>
      <c r="D44" s="4165" t="s">
        <v>409</v>
      </c>
      <c r="E44" s="4165"/>
      <c r="F44" s="4166"/>
      <c r="G44" s="4135"/>
      <c r="H44" s="4135"/>
      <c r="I44" s="4154"/>
      <c r="J44" s="4155"/>
      <c r="K44" s="4178"/>
      <c r="L44" s="4179"/>
      <c r="M44" s="4179"/>
      <c r="N44" s="4135"/>
      <c r="O44" s="628"/>
    </row>
    <row r="45" spans="2:21">
      <c r="B45" s="627"/>
      <c r="C45" s="671" t="s">
        <v>837</v>
      </c>
      <c r="G45" s="638"/>
      <c r="H45" s="638"/>
      <c r="I45" s="638"/>
      <c r="J45" s="638"/>
      <c r="K45" s="643"/>
      <c r="L45" s="639"/>
      <c r="M45" s="639"/>
      <c r="N45" s="640"/>
      <c r="O45" s="628"/>
    </row>
    <row r="46" spans="2:21">
      <c r="B46" s="627"/>
      <c r="C46" s="4130">
        <v>7</v>
      </c>
      <c r="D46" s="4131" t="s">
        <v>403</v>
      </c>
      <c r="E46" s="4132"/>
      <c r="F46" s="4133"/>
      <c r="G46" s="4134" t="s">
        <v>319</v>
      </c>
      <c r="H46" s="4134" t="s">
        <v>309</v>
      </c>
      <c r="I46" s="4152" t="s">
        <v>1</v>
      </c>
      <c r="J46" s="4153"/>
      <c r="K46" s="4176">
        <f>'A. GS'!Z3</f>
        <v>65.05</v>
      </c>
      <c r="L46" s="4177"/>
      <c r="M46" s="4177"/>
      <c r="N46" s="4134" t="s">
        <v>309</v>
      </c>
      <c r="O46" s="628"/>
    </row>
    <row r="47" spans="2:21">
      <c r="B47" s="627"/>
      <c r="C47" s="4130"/>
      <c r="D47" s="4138" t="s">
        <v>30</v>
      </c>
      <c r="E47" s="4165"/>
      <c r="F47" s="4166"/>
      <c r="G47" s="4135"/>
      <c r="H47" s="4135"/>
      <c r="I47" s="4154"/>
      <c r="J47" s="4155"/>
      <c r="K47" s="4178"/>
      <c r="L47" s="4179"/>
      <c r="M47" s="4179"/>
      <c r="N47" s="4135"/>
      <c r="O47" s="628"/>
    </row>
    <row r="48" spans="2:21">
      <c r="B48" s="627"/>
      <c r="C48" s="4130">
        <v>8</v>
      </c>
      <c r="D48" s="4131" t="s">
        <v>404</v>
      </c>
      <c r="E48" s="4132"/>
      <c r="F48" s="4133"/>
      <c r="G48" s="4134" t="s">
        <v>319</v>
      </c>
      <c r="H48" s="4134" t="s">
        <v>309</v>
      </c>
      <c r="I48" s="4152" t="s">
        <v>1</v>
      </c>
      <c r="J48" s="4153"/>
      <c r="K48" s="4176">
        <f>'A. GS'!Y3</f>
        <v>20.799999999999997</v>
      </c>
      <c r="L48" s="4177"/>
      <c r="M48" s="4177"/>
      <c r="N48" s="4134" t="s">
        <v>309</v>
      </c>
      <c r="O48" s="628"/>
    </row>
    <row r="49" spans="2:15">
      <c r="B49" s="627"/>
      <c r="C49" s="4130"/>
      <c r="D49" s="4138" t="s">
        <v>40</v>
      </c>
      <c r="E49" s="4165"/>
      <c r="F49" s="4166"/>
      <c r="G49" s="4135"/>
      <c r="H49" s="4135"/>
      <c r="I49" s="4154"/>
      <c r="J49" s="4155"/>
      <c r="K49" s="4178"/>
      <c r="L49" s="4179"/>
      <c r="M49" s="4179"/>
      <c r="N49" s="4135"/>
      <c r="O49" s="628"/>
    </row>
    <row r="50" spans="2:15">
      <c r="B50" s="627"/>
      <c r="C50" s="4134">
        <v>9</v>
      </c>
      <c r="D50" s="4161" t="s">
        <v>405</v>
      </c>
      <c r="E50" s="4162"/>
      <c r="F50" s="4163"/>
      <c r="G50" s="4134" t="s">
        <v>319</v>
      </c>
      <c r="H50" s="4134" t="s">
        <v>309</v>
      </c>
      <c r="I50" s="4152" t="s">
        <v>1</v>
      </c>
      <c r="J50" s="4153"/>
      <c r="K50" s="4176">
        <f>'A. GS'!X3</f>
        <v>14.145469290954836</v>
      </c>
      <c r="L50" s="4177"/>
      <c r="M50" s="4177"/>
      <c r="N50" s="4134" t="s">
        <v>309</v>
      </c>
      <c r="O50" s="628"/>
    </row>
    <row r="51" spans="2:15">
      <c r="B51" s="627"/>
      <c r="C51" s="4135"/>
      <c r="D51" s="4138" t="s">
        <v>41</v>
      </c>
      <c r="E51" s="4165"/>
      <c r="F51" s="4166"/>
      <c r="G51" s="4135"/>
      <c r="H51" s="4135"/>
      <c r="I51" s="4154"/>
      <c r="J51" s="4155"/>
      <c r="K51" s="4178"/>
      <c r="L51" s="4179"/>
      <c r="M51" s="4179"/>
      <c r="N51" s="4135"/>
      <c r="O51" s="628"/>
    </row>
    <row r="52" spans="2:15">
      <c r="B52" s="627"/>
      <c r="C52" s="4134">
        <v>10</v>
      </c>
      <c r="D52" s="4131" t="s">
        <v>318</v>
      </c>
      <c r="E52" s="4132"/>
      <c r="F52" s="4133"/>
      <c r="G52" s="4134" t="s">
        <v>319</v>
      </c>
      <c r="H52" s="4134" t="s">
        <v>309</v>
      </c>
      <c r="I52" s="4152" t="s">
        <v>1</v>
      </c>
      <c r="J52" s="4153"/>
      <c r="K52" s="4176">
        <f>GS!M27</f>
        <v>4.530709045170056E-3</v>
      </c>
      <c r="L52" s="4177"/>
      <c r="M52" s="4177"/>
      <c r="N52" s="4134" t="s">
        <v>309</v>
      </c>
      <c r="O52" s="628"/>
    </row>
    <row r="53" spans="2:15">
      <c r="B53" s="627"/>
      <c r="C53" s="4135"/>
      <c r="D53" s="4138" t="s">
        <v>320</v>
      </c>
      <c r="E53" s="4165"/>
      <c r="F53" s="4166"/>
      <c r="G53" s="4135"/>
      <c r="H53" s="4135"/>
      <c r="I53" s="4154"/>
      <c r="J53" s="4155"/>
      <c r="K53" s="4178"/>
      <c r="L53" s="4179"/>
      <c r="M53" s="4179"/>
      <c r="N53" s="4135"/>
      <c r="O53" s="628"/>
    </row>
    <row r="54" spans="2:15">
      <c r="B54" s="627"/>
      <c r="C54" s="4130">
        <v>11</v>
      </c>
      <c r="D54" s="4131" t="s">
        <v>406</v>
      </c>
      <c r="E54" s="4132"/>
      <c r="F54" s="4133"/>
      <c r="G54" s="4134" t="s">
        <v>319</v>
      </c>
      <c r="H54" s="4192" t="s">
        <v>309</v>
      </c>
      <c r="I54" s="4152" t="s">
        <v>1</v>
      </c>
      <c r="J54" s="4153"/>
      <c r="K54" s="4176">
        <f>GS!P27</f>
        <v>0</v>
      </c>
      <c r="L54" s="4177"/>
      <c r="M54" s="4177"/>
      <c r="N54" s="4134" t="s">
        <v>309</v>
      </c>
      <c r="O54" s="628"/>
    </row>
    <row r="55" spans="2:15">
      <c r="B55" s="627"/>
      <c r="C55" s="4130"/>
      <c r="D55" s="4138" t="s">
        <v>407</v>
      </c>
      <c r="E55" s="4165"/>
      <c r="F55" s="4166"/>
      <c r="G55" s="4135"/>
      <c r="H55" s="4135"/>
      <c r="I55" s="4154"/>
      <c r="J55" s="4155"/>
      <c r="K55" s="4178"/>
      <c r="L55" s="4179"/>
      <c r="M55" s="4179"/>
      <c r="N55" s="4135"/>
      <c r="O55" s="628"/>
    </row>
    <row r="56" spans="2:15">
      <c r="B56" s="627"/>
      <c r="C56" s="637" t="s">
        <v>829</v>
      </c>
      <c r="G56" s="638"/>
      <c r="H56" s="638"/>
      <c r="I56" s="638"/>
      <c r="J56" s="638"/>
      <c r="K56" s="643"/>
      <c r="L56" s="639"/>
      <c r="M56" s="639"/>
      <c r="N56" s="640"/>
      <c r="O56" s="628"/>
    </row>
    <row r="57" spans="2:15">
      <c r="B57" s="627"/>
      <c r="C57" s="4130">
        <v>7</v>
      </c>
      <c r="D57" s="4131" t="s">
        <v>321</v>
      </c>
      <c r="E57" s="4132"/>
      <c r="F57" s="4133"/>
      <c r="G57" s="4134" t="s">
        <v>322</v>
      </c>
      <c r="H57" s="4134" t="s">
        <v>323</v>
      </c>
      <c r="I57" s="4152" t="s">
        <v>1</v>
      </c>
      <c r="J57" s="4153"/>
      <c r="K57" s="4176" t="str">
        <f>ATB!AI32</f>
        <v>NP</v>
      </c>
      <c r="L57" s="4177"/>
      <c r="M57" s="4177"/>
      <c r="N57" s="4134" t="s">
        <v>309</v>
      </c>
      <c r="O57" s="628"/>
    </row>
    <row r="58" spans="2:15">
      <c r="B58" s="627"/>
      <c r="C58" s="4130"/>
      <c r="D58" s="4138" t="s">
        <v>324</v>
      </c>
      <c r="E58" s="4139"/>
      <c r="F58" s="4140"/>
      <c r="G58" s="4135"/>
      <c r="H58" s="4135"/>
      <c r="I58" s="4154"/>
      <c r="J58" s="4155"/>
      <c r="K58" s="4178"/>
      <c r="L58" s="4179"/>
      <c r="M58" s="4179"/>
      <c r="N58" s="4135"/>
      <c r="O58" s="628"/>
    </row>
    <row r="59" spans="2:15">
      <c r="B59" s="627"/>
      <c r="C59" s="4130">
        <v>8</v>
      </c>
      <c r="D59" s="4131" t="s">
        <v>325</v>
      </c>
      <c r="E59" s="4132"/>
      <c r="F59" s="4133"/>
      <c r="G59" s="4134" t="s">
        <v>703</v>
      </c>
      <c r="H59" s="4134" t="s">
        <v>326</v>
      </c>
      <c r="I59" s="4152" t="s">
        <v>1</v>
      </c>
      <c r="J59" s="4153"/>
      <c r="K59" s="4176" t="str">
        <f>ATB!AI33</f>
        <v>NP</v>
      </c>
      <c r="L59" s="4177"/>
      <c r="M59" s="4177"/>
      <c r="N59" s="4134" t="s">
        <v>309</v>
      </c>
      <c r="O59" s="628"/>
    </row>
    <row r="60" spans="2:15">
      <c r="B60" s="627"/>
      <c r="C60" s="4130"/>
      <c r="D60" s="4138" t="s">
        <v>327</v>
      </c>
      <c r="E60" s="4139"/>
      <c r="F60" s="4140"/>
      <c r="G60" s="4135"/>
      <c r="H60" s="4135"/>
      <c r="I60" s="4154"/>
      <c r="J60" s="4155"/>
      <c r="K60" s="4178"/>
      <c r="L60" s="4179"/>
      <c r="M60" s="4179"/>
      <c r="N60" s="4135"/>
      <c r="O60" s="628"/>
    </row>
    <row r="61" spans="2:15">
      <c r="B61" s="627"/>
      <c r="C61" s="4130">
        <v>9</v>
      </c>
      <c r="D61" s="4141" t="s">
        <v>328</v>
      </c>
      <c r="E61" s="4142"/>
      <c r="F61" s="4143"/>
      <c r="G61" s="4134" t="s">
        <v>703</v>
      </c>
      <c r="H61" s="4134" t="s">
        <v>329</v>
      </c>
      <c r="I61" s="4152" t="s">
        <v>1</v>
      </c>
      <c r="J61" s="4153"/>
      <c r="K61" s="4176" t="str">
        <f>ATB!AI34</f>
        <v>NP</v>
      </c>
      <c r="L61" s="4177"/>
      <c r="M61" s="4177"/>
      <c r="N61" s="4134" t="s">
        <v>309</v>
      </c>
      <c r="O61" s="628"/>
    </row>
    <row r="62" spans="2:15">
      <c r="B62" s="627"/>
      <c r="C62" s="4130"/>
      <c r="D62" s="4138" t="s">
        <v>330</v>
      </c>
      <c r="E62" s="4139"/>
      <c r="F62" s="4140"/>
      <c r="G62" s="4135"/>
      <c r="H62" s="4135"/>
      <c r="I62" s="4154"/>
      <c r="J62" s="4155"/>
      <c r="K62" s="4178"/>
      <c r="L62" s="4179"/>
      <c r="M62" s="4179"/>
      <c r="N62" s="4135"/>
      <c r="O62" s="628"/>
    </row>
    <row r="63" spans="2:15">
      <c r="B63" s="627"/>
      <c r="C63" s="4149" t="str">
        <f>ATB!AH78</f>
        <v>Klasifikasi Tanah/Soil Classification (USCS ) :       NP</v>
      </c>
      <c r="D63" s="4150"/>
      <c r="E63" s="4150"/>
      <c r="F63" s="4150"/>
      <c r="G63" s="4150"/>
      <c r="H63" s="4150"/>
      <c r="I63" s="4150"/>
      <c r="J63" s="4150"/>
      <c r="K63" s="4150"/>
      <c r="L63" s="4150"/>
      <c r="M63" s="4150"/>
      <c r="N63" s="4151"/>
      <c r="O63" s="628"/>
    </row>
    <row r="64" spans="2:15" hidden="1">
      <c r="B64" s="627"/>
      <c r="C64" s="637" t="s">
        <v>331</v>
      </c>
      <c r="G64" s="638"/>
      <c r="H64" s="638"/>
      <c r="I64" s="638"/>
      <c r="J64" s="638"/>
      <c r="K64" s="643"/>
      <c r="L64" s="639"/>
      <c r="M64" s="639"/>
      <c r="N64" s="640"/>
      <c r="O64" s="628"/>
    </row>
    <row r="65" spans="2:15" hidden="1">
      <c r="B65" s="627"/>
      <c r="C65" s="4130">
        <v>10</v>
      </c>
      <c r="D65" s="4131" t="s">
        <v>511</v>
      </c>
      <c r="E65" s="4132"/>
      <c r="F65" s="4133"/>
      <c r="G65" s="4134" t="s">
        <v>332</v>
      </c>
      <c r="H65" s="4134" t="s">
        <v>333</v>
      </c>
      <c r="I65" s="4152" t="s">
        <v>309</v>
      </c>
      <c r="J65" s="4153"/>
      <c r="K65" s="4176">
        <f>Consol!J24</f>
        <v>0.4329497333544825</v>
      </c>
      <c r="L65" s="4177"/>
      <c r="M65" s="4177"/>
      <c r="N65" s="4134" t="s">
        <v>309</v>
      </c>
      <c r="O65" s="628"/>
    </row>
    <row r="66" spans="2:15" hidden="1">
      <c r="B66" s="627"/>
      <c r="C66" s="4130"/>
      <c r="D66" s="4138" t="s">
        <v>356</v>
      </c>
      <c r="E66" s="4139"/>
      <c r="F66" s="4140"/>
      <c r="G66" s="4135"/>
      <c r="H66" s="4135"/>
      <c r="I66" s="4154"/>
      <c r="J66" s="4155"/>
      <c r="K66" s="4178"/>
      <c r="L66" s="4179"/>
      <c r="M66" s="4179"/>
      <c r="N66" s="4135"/>
      <c r="O66" s="628"/>
    </row>
    <row r="67" spans="2:15" ht="13.5" hidden="1" customHeight="1">
      <c r="B67" s="627"/>
      <c r="C67" s="4130">
        <v>11</v>
      </c>
      <c r="D67" s="4131" t="s">
        <v>334</v>
      </c>
      <c r="E67" s="4132"/>
      <c r="F67" s="4133"/>
      <c r="G67" s="4134" t="s">
        <v>332</v>
      </c>
      <c r="H67" s="4134" t="s">
        <v>335</v>
      </c>
      <c r="I67" s="4152" t="s">
        <v>859</v>
      </c>
      <c r="J67" s="4153"/>
      <c r="K67" s="4176">
        <f ca="1">Consol!J25</f>
        <v>1.818526782772842E-4</v>
      </c>
      <c r="L67" s="4177"/>
      <c r="M67" s="4177"/>
      <c r="N67" s="4134" t="s">
        <v>309</v>
      </c>
      <c r="O67" s="628"/>
    </row>
    <row r="68" spans="2:15" hidden="1">
      <c r="B68" s="627"/>
      <c r="C68" s="4130"/>
      <c r="D68" s="4138" t="s">
        <v>336</v>
      </c>
      <c r="E68" s="4139"/>
      <c r="F68" s="4140"/>
      <c r="G68" s="4135"/>
      <c r="H68" s="4135"/>
      <c r="I68" s="4154"/>
      <c r="J68" s="4155"/>
      <c r="K68" s="4178"/>
      <c r="L68" s="4179"/>
      <c r="M68" s="4179"/>
      <c r="N68" s="4135"/>
      <c r="O68" s="628"/>
    </row>
    <row r="69" spans="2:15" hidden="1">
      <c r="B69" s="627"/>
      <c r="C69" s="4134">
        <v>12</v>
      </c>
      <c r="D69" s="4141" t="s">
        <v>509</v>
      </c>
      <c r="E69" s="4142"/>
      <c r="F69" s="4143"/>
      <c r="G69" s="4134" t="s">
        <v>332</v>
      </c>
      <c r="H69" s="4134" t="s">
        <v>337</v>
      </c>
      <c r="I69" s="4152" t="s">
        <v>309</v>
      </c>
      <c r="J69" s="4153"/>
      <c r="K69" s="4176">
        <f>Consol!J27</f>
        <v>1.2742616566143372</v>
      </c>
      <c r="L69" s="4177"/>
      <c r="M69" s="4177"/>
      <c r="N69" s="4134" t="s">
        <v>309</v>
      </c>
      <c r="O69" s="628"/>
    </row>
    <row r="70" spans="2:15" hidden="1">
      <c r="B70" s="627"/>
      <c r="C70" s="4135"/>
      <c r="D70" s="4138" t="s">
        <v>510</v>
      </c>
      <c r="E70" s="4139"/>
      <c r="F70" s="4140"/>
      <c r="G70" s="4135"/>
      <c r="H70" s="4135"/>
      <c r="I70" s="4154"/>
      <c r="J70" s="4155"/>
      <c r="K70" s="4178"/>
      <c r="L70" s="4179"/>
      <c r="M70" s="4179"/>
      <c r="N70" s="4135"/>
      <c r="O70" s="628"/>
    </row>
    <row r="71" spans="2:15" ht="17.100000000000001" hidden="1" customHeight="1">
      <c r="B71" s="627"/>
      <c r="C71" s="4152">
        <v>13</v>
      </c>
      <c r="D71" s="4131" t="s">
        <v>512</v>
      </c>
      <c r="E71" s="4132"/>
      <c r="F71" s="4133"/>
      <c r="G71" s="4134" t="s">
        <v>332</v>
      </c>
      <c r="H71" s="4134" t="s">
        <v>515</v>
      </c>
      <c r="I71" s="4152" t="s">
        <v>514</v>
      </c>
      <c r="J71" s="4153"/>
      <c r="K71" s="4176">
        <f ca="1">Consol!J26</f>
        <v>1.6811528398028214E-2</v>
      </c>
      <c r="L71" s="4177"/>
      <c r="M71" s="4177"/>
      <c r="N71" s="4134" t="s">
        <v>309</v>
      </c>
      <c r="O71" s="628"/>
    </row>
    <row r="72" spans="2:15" hidden="1">
      <c r="B72" s="627"/>
      <c r="C72" s="4154"/>
      <c r="D72" s="4138" t="s">
        <v>513</v>
      </c>
      <c r="E72" s="4165"/>
      <c r="F72" s="4166"/>
      <c r="G72" s="4135"/>
      <c r="H72" s="4135"/>
      <c r="I72" s="4154"/>
      <c r="J72" s="4155"/>
      <c r="K72" s="4178"/>
      <c r="L72" s="4179"/>
      <c r="M72" s="4179"/>
      <c r="N72" s="4135"/>
      <c r="O72" s="628"/>
    </row>
    <row r="73" spans="2:15" hidden="1">
      <c r="B73" s="627"/>
      <c r="C73" s="4152">
        <v>14</v>
      </c>
      <c r="D73" s="4131" t="s">
        <v>516</v>
      </c>
      <c r="E73" s="4132"/>
      <c r="F73" s="4133"/>
      <c r="G73" s="4134" t="s">
        <v>332</v>
      </c>
      <c r="H73" s="4134" t="s">
        <v>518</v>
      </c>
      <c r="I73" s="4152" t="s">
        <v>526</v>
      </c>
      <c r="J73" s="4153"/>
      <c r="K73" s="4176">
        <f ca="1">Consol!J23</f>
        <v>3.0572214651160519E-9</v>
      </c>
      <c r="L73" s="4177"/>
      <c r="M73" s="4177"/>
      <c r="N73" s="4134" t="s">
        <v>309</v>
      </c>
      <c r="O73" s="628"/>
    </row>
    <row r="74" spans="2:15" hidden="1">
      <c r="B74" s="627"/>
      <c r="C74" s="4154"/>
      <c r="D74" s="4138" t="s">
        <v>517</v>
      </c>
      <c r="E74" s="4165"/>
      <c r="F74" s="4166"/>
      <c r="G74" s="4135"/>
      <c r="H74" s="4135"/>
      <c r="I74" s="4154"/>
      <c r="J74" s="4155"/>
      <c r="K74" s="4178"/>
      <c r="L74" s="4179"/>
      <c r="M74" s="4179"/>
      <c r="N74" s="4135"/>
      <c r="O74" s="628"/>
    </row>
    <row r="75" spans="2:15" hidden="1">
      <c r="B75" s="627"/>
      <c r="C75" s="637" t="s">
        <v>786</v>
      </c>
      <c r="G75" s="638"/>
      <c r="H75" s="638"/>
      <c r="I75" s="638"/>
      <c r="J75" s="638"/>
      <c r="K75" s="643"/>
      <c r="L75" s="639"/>
      <c r="M75" s="639"/>
      <c r="N75" s="640"/>
      <c r="O75" s="628"/>
    </row>
    <row r="76" spans="2:15" hidden="1">
      <c r="B76" s="627"/>
      <c r="C76" s="4130">
        <v>15</v>
      </c>
      <c r="D76" s="4131" t="s">
        <v>338</v>
      </c>
      <c r="E76" s="4132"/>
      <c r="F76" s="4133"/>
      <c r="G76" s="4144" t="s">
        <v>339</v>
      </c>
      <c r="H76" s="4147" t="s">
        <v>354</v>
      </c>
      <c r="I76" s="4184" t="s">
        <v>340</v>
      </c>
      <c r="J76" s="4185"/>
      <c r="K76" s="4176">
        <f>'TR UU'!N30</f>
        <v>10.991402387102896</v>
      </c>
      <c r="L76" s="4177"/>
      <c r="M76" s="4177"/>
      <c r="N76" s="4134" t="s">
        <v>309</v>
      </c>
      <c r="O76" s="628"/>
    </row>
    <row r="77" spans="2:15" hidden="1">
      <c r="B77" s="627"/>
      <c r="C77" s="4130"/>
      <c r="D77" s="4138" t="s">
        <v>780</v>
      </c>
      <c r="E77" s="4139"/>
      <c r="F77" s="4140"/>
      <c r="G77" s="4135"/>
      <c r="H77" s="4148"/>
      <c r="I77" s="4186"/>
      <c r="J77" s="4187"/>
      <c r="K77" s="4178"/>
      <c r="L77" s="4179"/>
      <c r="M77" s="4179"/>
      <c r="N77" s="4135"/>
      <c r="O77" s="628"/>
    </row>
    <row r="78" spans="2:15" ht="13.5" hidden="1" customHeight="1">
      <c r="B78" s="627"/>
      <c r="C78" s="4130">
        <v>16</v>
      </c>
      <c r="D78" s="4141" t="s">
        <v>341</v>
      </c>
      <c r="E78" s="4142"/>
      <c r="F78" s="4143"/>
      <c r="G78" s="4144" t="s">
        <v>339</v>
      </c>
      <c r="H78" s="4134" t="s">
        <v>163</v>
      </c>
      <c r="I78" s="4152" t="s">
        <v>342</v>
      </c>
      <c r="J78" s="4153"/>
      <c r="K78" s="4176">
        <f>'TR UU'!N35</f>
        <v>0.13122991413231042</v>
      </c>
      <c r="L78" s="4177"/>
      <c r="M78" s="4177"/>
      <c r="N78" s="4134" t="s">
        <v>309</v>
      </c>
      <c r="O78" s="628"/>
    </row>
    <row r="79" spans="2:15" hidden="1">
      <c r="B79" s="627"/>
      <c r="C79" s="4130"/>
      <c r="D79" s="4138" t="s">
        <v>343</v>
      </c>
      <c r="E79" s="4139"/>
      <c r="F79" s="4140"/>
      <c r="G79" s="4135"/>
      <c r="H79" s="4135"/>
      <c r="I79" s="4154"/>
      <c r="J79" s="4155"/>
      <c r="K79" s="4178"/>
      <c r="L79" s="4179"/>
      <c r="M79" s="4179"/>
      <c r="N79" s="4135"/>
      <c r="O79" s="628"/>
    </row>
    <row r="80" spans="2:15">
      <c r="B80" s="627"/>
      <c r="C80" s="637" t="s">
        <v>1059</v>
      </c>
      <c r="G80" s="638"/>
      <c r="H80" s="638"/>
      <c r="I80" s="638"/>
      <c r="J80" s="638"/>
      <c r="K80" s="643"/>
      <c r="L80" s="639"/>
      <c r="M80" s="639"/>
      <c r="N80" s="640"/>
      <c r="O80" s="628"/>
    </row>
    <row r="81" spans="2:15" ht="13.5" customHeight="1">
      <c r="B81" s="627"/>
      <c r="C81" s="4130">
        <v>10</v>
      </c>
      <c r="D81" s="4131" t="s">
        <v>341</v>
      </c>
      <c r="E81" s="4132"/>
      <c r="F81" s="4133"/>
      <c r="G81" s="4144" t="s">
        <v>1060</v>
      </c>
      <c r="H81" s="4145" t="s">
        <v>163</v>
      </c>
      <c r="I81" s="4152" t="s">
        <v>1061</v>
      </c>
      <c r="J81" s="4153"/>
      <c r="K81" s="4176">
        <f>'Cu_Multi Graph'!Q48</f>
        <v>23.163921148917751</v>
      </c>
      <c r="L81" s="4177"/>
      <c r="M81" s="4177"/>
      <c r="N81" s="4134" t="s">
        <v>309</v>
      </c>
      <c r="O81" s="628"/>
    </row>
    <row r="82" spans="2:15">
      <c r="B82" s="627"/>
      <c r="C82" s="4130"/>
      <c r="D82" s="4138" t="s">
        <v>343</v>
      </c>
      <c r="E82" s="4139"/>
      <c r="F82" s="4140"/>
      <c r="G82" s="4135"/>
      <c r="H82" s="4146"/>
      <c r="I82" s="4154"/>
      <c r="J82" s="4155"/>
      <c r="K82" s="4178"/>
      <c r="L82" s="4179"/>
      <c r="M82" s="4179"/>
      <c r="N82" s="4135"/>
      <c r="O82" s="628"/>
    </row>
    <row r="83" spans="2:15">
      <c r="B83" s="627"/>
      <c r="C83" s="4130">
        <v>11</v>
      </c>
      <c r="D83" s="4131" t="s">
        <v>338</v>
      </c>
      <c r="E83" s="4132"/>
      <c r="F83" s="4133"/>
      <c r="G83" s="4144" t="s">
        <v>1060</v>
      </c>
      <c r="H83" s="4145" t="s">
        <v>354</v>
      </c>
      <c r="I83" s="4184" t="s">
        <v>340</v>
      </c>
      <c r="J83" s="4185"/>
      <c r="K83" s="4176">
        <f>'Cu_Multi Graph'!Q49</f>
        <v>27.402041074733912</v>
      </c>
      <c r="L83" s="4177"/>
      <c r="M83" s="4177"/>
      <c r="N83" s="4134" t="s">
        <v>309</v>
      </c>
      <c r="O83" s="628"/>
    </row>
    <row r="84" spans="2:15">
      <c r="B84" s="627"/>
      <c r="C84" s="4130"/>
      <c r="D84" s="4138" t="s">
        <v>780</v>
      </c>
      <c r="E84" s="4139"/>
      <c r="F84" s="4140"/>
      <c r="G84" s="4135"/>
      <c r="H84" s="4146"/>
      <c r="I84" s="4186"/>
      <c r="J84" s="4187"/>
      <c r="K84" s="4178"/>
      <c r="L84" s="4179"/>
      <c r="M84" s="4179"/>
      <c r="N84" s="4135"/>
      <c r="O84" s="628"/>
    </row>
    <row r="85" spans="2:15" ht="13.5" customHeight="1">
      <c r="B85" s="627"/>
      <c r="C85" s="4130">
        <v>12</v>
      </c>
      <c r="D85" s="4141" t="s">
        <v>1062</v>
      </c>
      <c r="E85" s="4142"/>
      <c r="F85" s="4143"/>
      <c r="G85" s="4144" t="s">
        <v>1060</v>
      </c>
      <c r="H85" s="4145" t="s">
        <v>1013</v>
      </c>
      <c r="I85" s="4152" t="s">
        <v>1061</v>
      </c>
      <c r="J85" s="4153"/>
      <c r="K85" s="4176">
        <f>'Cu_Multi Graph'!Q50</f>
        <v>25.377720038568341</v>
      </c>
      <c r="L85" s="4177"/>
      <c r="M85" s="4177"/>
      <c r="N85" s="4134" t="s">
        <v>309</v>
      </c>
      <c r="O85" s="628"/>
    </row>
    <row r="86" spans="2:15">
      <c r="B86" s="627"/>
      <c r="C86" s="4130"/>
      <c r="D86" s="4138" t="s">
        <v>1063</v>
      </c>
      <c r="E86" s="4139"/>
      <c r="F86" s="4140"/>
      <c r="G86" s="4135"/>
      <c r="H86" s="4146"/>
      <c r="I86" s="4154"/>
      <c r="J86" s="4155"/>
      <c r="K86" s="4178"/>
      <c r="L86" s="4179"/>
      <c r="M86" s="4179"/>
      <c r="N86" s="4135"/>
      <c r="O86" s="628"/>
    </row>
    <row r="87" spans="2:15">
      <c r="B87" s="627"/>
      <c r="C87" s="4130">
        <v>13</v>
      </c>
      <c r="D87" s="4131" t="s">
        <v>1064</v>
      </c>
      <c r="E87" s="4132"/>
      <c r="F87" s="4133"/>
      <c r="G87" s="4144" t="s">
        <v>1060</v>
      </c>
      <c r="H87" s="4145" t="s">
        <v>1065</v>
      </c>
      <c r="I87" s="4184" t="s">
        <v>340</v>
      </c>
      <c r="J87" s="4185"/>
      <c r="K87" s="4176">
        <f>'Cu_Multi Graph'!Q51</f>
        <v>31.157704084074311</v>
      </c>
      <c r="L87" s="4177"/>
      <c r="M87" s="4177"/>
      <c r="N87" s="4134" t="s">
        <v>309</v>
      </c>
      <c r="O87" s="628"/>
    </row>
    <row r="88" spans="2:15">
      <c r="B88" s="627"/>
      <c r="C88" s="4130"/>
      <c r="D88" s="4138" t="s">
        <v>1066</v>
      </c>
      <c r="E88" s="4139"/>
      <c r="F88" s="4140"/>
      <c r="G88" s="4135"/>
      <c r="H88" s="4146"/>
      <c r="I88" s="4186"/>
      <c r="J88" s="4187"/>
      <c r="K88" s="4178"/>
      <c r="L88" s="4179"/>
      <c r="M88" s="4179"/>
      <c r="N88" s="4135"/>
      <c r="O88" s="628"/>
    </row>
    <row r="89" spans="2:15">
      <c r="B89" s="627"/>
      <c r="C89" s="637" t="s">
        <v>785</v>
      </c>
      <c r="G89" s="638"/>
      <c r="H89" s="638"/>
      <c r="I89" s="638"/>
      <c r="J89" s="638"/>
      <c r="K89" s="643"/>
      <c r="L89" s="639"/>
      <c r="M89" s="639"/>
      <c r="N89" s="640"/>
      <c r="O89" s="628"/>
    </row>
    <row r="90" spans="2:15" ht="13.5" customHeight="1">
      <c r="B90" s="627"/>
      <c r="C90" s="4134">
        <v>14</v>
      </c>
      <c r="D90" s="4131" t="s">
        <v>610</v>
      </c>
      <c r="E90" s="4132"/>
      <c r="F90" s="4133"/>
      <c r="G90" s="4134" t="s">
        <v>344</v>
      </c>
      <c r="H90" s="4190" t="s">
        <v>620</v>
      </c>
      <c r="I90" s="4152" t="s">
        <v>342</v>
      </c>
      <c r="J90" s="4153"/>
      <c r="K90" s="4176" t="e">
        <f>UCS!$G$27</f>
        <v>#VALUE!</v>
      </c>
      <c r="L90" s="4177"/>
      <c r="M90" s="4177"/>
      <c r="N90" s="4134" t="s">
        <v>309</v>
      </c>
      <c r="O90" s="628"/>
    </row>
    <row r="91" spans="2:15">
      <c r="B91" s="627"/>
      <c r="C91" s="4135"/>
      <c r="D91" s="4138" t="s">
        <v>607</v>
      </c>
      <c r="E91" s="4165"/>
      <c r="F91" s="4166"/>
      <c r="G91" s="4135"/>
      <c r="H91" s="4191"/>
      <c r="I91" s="4154"/>
      <c r="J91" s="4155"/>
      <c r="K91" s="4178"/>
      <c r="L91" s="4179"/>
      <c r="M91" s="4179"/>
      <c r="N91" s="4135"/>
      <c r="O91" s="628"/>
    </row>
    <row r="92" spans="2:15" ht="13.5" customHeight="1">
      <c r="B92" s="627"/>
      <c r="C92" s="4134">
        <v>15</v>
      </c>
      <c r="D92" s="4131" t="s">
        <v>609</v>
      </c>
      <c r="E92" s="4132"/>
      <c r="F92" s="4133"/>
      <c r="G92" s="4134" t="s">
        <v>344</v>
      </c>
      <c r="H92" s="4190" t="s">
        <v>621</v>
      </c>
      <c r="I92" s="4152" t="s">
        <v>342</v>
      </c>
      <c r="J92" s="4153"/>
      <c r="K92" s="4176" t="e">
        <f>UCS!$G$28</f>
        <v>#VALUE!</v>
      </c>
      <c r="L92" s="4177"/>
      <c r="M92" s="4177"/>
      <c r="N92" s="4134" t="s">
        <v>309</v>
      </c>
      <c r="O92" s="628"/>
    </row>
    <row r="93" spans="2:15">
      <c r="B93" s="627"/>
      <c r="C93" s="4135"/>
      <c r="D93" s="4138" t="s">
        <v>608</v>
      </c>
      <c r="E93" s="4165"/>
      <c r="F93" s="4166"/>
      <c r="G93" s="4135"/>
      <c r="H93" s="4191"/>
      <c r="I93" s="4154"/>
      <c r="J93" s="4155"/>
      <c r="K93" s="4178"/>
      <c r="L93" s="4179"/>
      <c r="M93" s="4179"/>
      <c r="N93" s="4135"/>
      <c r="O93" s="628"/>
    </row>
    <row r="94" spans="2:15">
      <c r="B94" s="627"/>
      <c r="C94" s="4152">
        <v>16</v>
      </c>
      <c r="D94" s="4131" t="s">
        <v>611</v>
      </c>
      <c r="E94" s="4132"/>
      <c r="F94" s="4133"/>
      <c r="G94" s="4134" t="s">
        <v>344</v>
      </c>
      <c r="H94" s="4170" t="s">
        <v>309</v>
      </c>
      <c r="I94" s="4152" t="s">
        <v>309</v>
      </c>
      <c r="J94" s="4153"/>
      <c r="K94" s="4176" t="e">
        <f>UCS!G29</f>
        <v>#VALUE!</v>
      </c>
      <c r="L94" s="4177"/>
      <c r="M94" s="4177"/>
      <c r="N94" s="4134" t="s">
        <v>309</v>
      </c>
      <c r="O94" s="628"/>
    </row>
    <row r="95" spans="2:15">
      <c r="B95" s="627"/>
      <c r="C95" s="4154"/>
      <c r="D95" s="4138" t="s">
        <v>592</v>
      </c>
      <c r="E95" s="4165"/>
      <c r="F95" s="4166"/>
      <c r="G95" s="4135"/>
      <c r="H95" s="4170"/>
      <c r="I95" s="4154"/>
      <c r="J95" s="4155"/>
      <c r="K95" s="4178"/>
      <c r="L95" s="4179"/>
      <c r="M95" s="4179"/>
      <c r="N95" s="4135"/>
      <c r="O95" s="628"/>
    </row>
    <row r="96" spans="2:15">
      <c r="B96" s="627"/>
      <c r="C96" s="4152">
        <v>17</v>
      </c>
      <c r="D96" s="4131" t="s">
        <v>617</v>
      </c>
      <c r="E96" s="4132"/>
      <c r="F96" s="4133"/>
      <c r="G96" s="4134" t="s">
        <v>344</v>
      </c>
      <c r="H96" s="4170" t="s">
        <v>309</v>
      </c>
      <c r="I96" s="4152" t="s">
        <v>1</v>
      </c>
      <c r="J96" s="4153"/>
      <c r="K96" s="4176" t="e">
        <f>UCS!H27</f>
        <v>#VALUE!</v>
      </c>
      <c r="L96" s="4177"/>
      <c r="M96" s="4177"/>
      <c r="N96" s="4134" t="s">
        <v>309</v>
      </c>
      <c r="O96" s="628"/>
    </row>
    <row r="97" spans="1:24">
      <c r="B97" s="627"/>
      <c r="C97" s="4154"/>
      <c r="D97" s="4138" t="s">
        <v>605</v>
      </c>
      <c r="E97" s="4165"/>
      <c r="F97" s="4166"/>
      <c r="G97" s="4135"/>
      <c r="H97" s="4170"/>
      <c r="I97" s="4154"/>
      <c r="J97" s="4155"/>
      <c r="K97" s="4178"/>
      <c r="L97" s="4179"/>
      <c r="M97" s="4179"/>
      <c r="N97" s="4135"/>
      <c r="O97" s="628"/>
    </row>
    <row r="98" spans="1:24">
      <c r="B98" s="627"/>
      <c r="C98" s="4130">
        <v>18</v>
      </c>
      <c r="D98" s="4131" t="s">
        <v>618</v>
      </c>
      <c r="E98" s="4132"/>
      <c r="F98" s="4133"/>
      <c r="G98" s="4134" t="s">
        <v>344</v>
      </c>
      <c r="H98" s="4164" t="s">
        <v>309</v>
      </c>
      <c r="I98" s="4152" t="s">
        <v>1</v>
      </c>
      <c r="J98" s="4153"/>
      <c r="K98" s="4176" t="e">
        <f>UCS!H28</f>
        <v>#VALUE!</v>
      </c>
      <c r="L98" s="4177"/>
      <c r="M98" s="4177"/>
      <c r="N98" s="4134" t="s">
        <v>309</v>
      </c>
      <c r="O98" s="628"/>
    </row>
    <row r="99" spans="1:24">
      <c r="B99" s="627"/>
      <c r="C99" s="4130"/>
      <c r="D99" s="4138" t="s">
        <v>606</v>
      </c>
      <c r="E99" s="4165"/>
      <c r="F99" s="4166"/>
      <c r="G99" s="4135"/>
      <c r="H99" s="4164"/>
      <c r="I99" s="4154"/>
      <c r="J99" s="4155"/>
      <c r="K99" s="4178"/>
      <c r="L99" s="4179"/>
      <c r="M99" s="4179"/>
      <c r="N99" s="4135"/>
      <c r="O99" s="628"/>
    </row>
    <row r="100" spans="1:24" hidden="1">
      <c r="B100" s="627"/>
      <c r="C100" s="637" t="s">
        <v>1378</v>
      </c>
      <c r="G100" s="638"/>
      <c r="H100" s="638"/>
      <c r="I100" s="638"/>
      <c r="J100" s="638"/>
      <c r="K100" s="643"/>
      <c r="L100" s="639"/>
      <c r="M100" s="639"/>
      <c r="N100" s="640"/>
      <c r="O100" s="628"/>
    </row>
    <row r="101" spans="1:24" hidden="1">
      <c r="B101" s="627"/>
      <c r="C101" s="4130">
        <v>22</v>
      </c>
      <c r="D101" s="4131" t="s">
        <v>338</v>
      </c>
      <c r="E101" s="4132"/>
      <c r="F101" s="4133"/>
      <c r="G101" s="4134" t="s">
        <v>712</v>
      </c>
      <c r="H101" s="4147" t="s">
        <v>354</v>
      </c>
      <c r="I101" s="4184" t="s">
        <v>340</v>
      </c>
      <c r="J101" s="4185"/>
      <c r="K101" s="4180">
        <f>DS!M36</f>
        <v>0</v>
      </c>
      <c r="L101" s="4181"/>
      <c r="M101" s="4181"/>
      <c r="N101" s="4134" t="s">
        <v>309</v>
      </c>
      <c r="O101" s="628"/>
    </row>
    <row r="102" spans="1:24" hidden="1">
      <c r="B102" s="627"/>
      <c r="C102" s="4130"/>
      <c r="D102" s="4138" t="s">
        <v>780</v>
      </c>
      <c r="E102" s="4139"/>
      <c r="F102" s="4140"/>
      <c r="G102" s="4135"/>
      <c r="H102" s="4148"/>
      <c r="I102" s="4186"/>
      <c r="J102" s="4187"/>
      <c r="K102" s="4182"/>
      <c r="L102" s="4183"/>
      <c r="M102" s="4183"/>
      <c r="N102" s="4135"/>
      <c r="O102" s="628"/>
    </row>
    <row r="103" spans="1:24" hidden="1">
      <c r="B103" s="627"/>
      <c r="C103" s="4130">
        <v>23</v>
      </c>
      <c r="D103" s="4141" t="s">
        <v>341</v>
      </c>
      <c r="E103" s="4142"/>
      <c r="F103" s="4143"/>
      <c r="G103" s="4134" t="s">
        <v>712</v>
      </c>
      <c r="H103" s="4134" t="s">
        <v>163</v>
      </c>
      <c r="I103" s="4152" t="s">
        <v>355</v>
      </c>
      <c r="J103" s="4153"/>
      <c r="K103" s="4180">
        <f>DS!M37</f>
        <v>0</v>
      </c>
      <c r="L103" s="4181"/>
      <c r="M103" s="4181"/>
      <c r="N103" s="4134" t="s">
        <v>309</v>
      </c>
      <c r="O103" s="628"/>
    </row>
    <row r="104" spans="1:24" hidden="1">
      <c r="B104" s="627"/>
      <c r="C104" s="4130"/>
      <c r="D104" s="4138" t="s">
        <v>345</v>
      </c>
      <c r="E104" s="4139"/>
      <c r="F104" s="4140"/>
      <c r="G104" s="4135"/>
      <c r="H104" s="4135"/>
      <c r="I104" s="4154"/>
      <c r="J104" s="4155"/>
      <c r="K104" s="4182"/>
      <c r="L104" s="4183"/>
      <c r="M104" s="4183"/>
      <c r="N104" s="4135"/>
      <c r="O104" s="628"/>
    </row>
    <row r="105" spans="1:24" hidden="1">
      <c r="B105" s="627"/>
      <c r="C105" s="4134">
        <v>24</v>
      </c>
      <c r="D105" s="4131" t="s">
        <v>777</v>
      </c>
      <c r="E105" s="4132"/>
      <c r="F105" s="4133"/>
      <c r="G105" s="4134" t="s">
        <v>712</v>
      </c>
      <c r="H105" s="4134" t="s">
        <v>778</v>
      </c>
      <c r="I105" s="4152" t="s">
        <v>355</v>
      </c>
      <c r="J105" s="4153"/>
      <c r="K105" s="4180">
        <f>DS!M38</f>
        <v>0</v>
      </c>
      <c r="L105" s="4181"/>
      <c r="M105" s="4181"/>
      <c r="N105" s="4134" t="s">
        <v>309</v>
      </c>
      <c r="O105" s="628"/>
    </row>
    <row r="106" spans="1:24" hidden="1">
      <c r="B106" s="627"/>
      <c r="C106" s="4135"/>
      <c r="D106" s="4138" t="s">
        <v>779</v>
      </c>
      <c r="E106" s="4165"/>
      <c r="F106" s="4166"/>
      <c r="G106" s="4135"/>
      <c r="H106" s="4135"/>
      <c r="I106" s="4154"/>
      <c r="J106" s="4155"/>
      <c r="K106" s="4182"/>
      <c r="L106" s="4183"/>
      <c r="M106" s="4183"/>
      <c r="N106" s="4135"/>
      <c r="O106" s="628"/>
    </row>
    <row r="107" spans="1:24" s="1115" customFormat="1" hidden="1">
      <c r="A107" s="626"/>
      <c r="B107" s="627"/>
      <c r="C107" s="637" t="s">
        <v>1162</v>
      </c>
      <c r="D107" s="626"/>
      <c r="E107" s="632"/>
      <c r="F107" s="626"/>
      <c r="G107" s="638"/>
      <c r="H107" s="638"/>
      <c r="I107" s="638"/>
      <c r="J107" s="638"/>
      <c r="K107" s="643"/>
      <c r="L107" s="639"/>
      <c r="M107" s="639"/>
      <c r="N107" s="640"/>
      <c r="O107" s="628"/>
      <c r="V107" s="626"/>
      <c r="W107" s="626"/>
      <c r="X107" s="626"/>
    </row>
    <row r="108" spans="1:24" s="1115" customFormat="1" hidden="1">
      <c r="A108" s="626"/>
      <c r="B108" s="627"/>
      <c r="C108" s="4130">
        <v>34</v>
      </c>
      <c r="D108" s="4131" t="s">
        <v>338</v>
      </c>
      <c r="E108" s="4132"/>
      <c r="F108" s="4133"/>
      <c r="G108" s="4134" t="s">
        <v>1101</v>
      </c>
      <c r="H108" s="4136" t="s">
        <v>1065</v>
      </c>
      <c r="I108" s="4184" t="s">
        <v>340</v>
      </c>
      <c r="J108" s="4185"/>
      <c r="K108" s="4180">
        <f>'Graph Ds CD'!$AH$59</f>
        <v>29.3623940633045</v>
      </c>
      <c r="L108" s="4181"/>
      <c r="M108" s="4181"/>
      <c r="N108" s="4134" t="s">
        <v>309</v>
      </c>
      <c r="O108" s="628"/>
      <c r="V108" s="626"/>
      <c r="W108" s="626"/>
      <c r="X108" s="626"/>
    </row>
    <row r="109" spans="1:24" s="1115" customFormat="1" hidden="1">
      <c r="A109" s="626"/>
      <c r="B109" s="627"/>
      <c r="C109" s="4130"/>
      <c r="D109" s="4138" t="s">
        <v>780</v>
      </c>
      <c r="E109" s="4139"/>
      <c r="F109" s="4140"/>
      <c r="G109" s="4135"/>
      <c r="H109" s="4137"/>
      <c r="I109" s="4186"/>
      <c r="J109" s="4187"/>
      <c r="K109" s="4182"/>
      <c r="L109" s="4183"/>
      <c r="M109" s="4183"/>
      <c r="N109" s="4135"/>
      <c r="O109" s="628"/>
      <c r="V109" s="626"/>
      <c r="W109" s="626"/>
      <c r="X109" s="626"/>
    </row>
    <row r="110" spans="1:24" s="1115" customFormat="1" hidden="1">
      <c r="A110" s="626"/>
      <c r="B110" s="627"/>
      <c r="C110" s="4130">
        <v>35</v>
      </c>
      <c r="D110" s="4141" t="s">
        <v>341</v>
      </c>
      <c r="E110" s="4142"/>
      <c r="F110" s="4143"/>
      <c r="G110" s="4134" t="s">
        <v>1101</v>
      </c>
      <c r="H110" s="4134" t="s">
        <v>1013</v>
      </c>
      <c r="I110" s="4152" t="s">
        <v>1156</v>
      </c>
      <c r="J110" s="4153"/>
      <c r="K110" s="4180">
        <f>'Graph Ds CD'!$AH$58</f>
        <v>5.2414732020763868</v>
      </c>
      <c r="L110" s="4181"/>
      <c r="M110" s="4181"/>
      <c r="N110" s="4134" t="s">
        <v>309</v>
      </c>
      <c r="O110" s="628"/>
      <c r="V110" s="626"/>
      <c r="W110" s="626"/>
      <c r="X110" s="626"/>
    </row>
    <row r="111" spans="1:24" s="1115" customFormat="1" hidden="1">
      <c r="A111" s="626"/>
      <c r="B111" s="627"/>
      <c r="C111" s="4130"/>
      <c r="D111" s="4138" t="s">
        <v>345</v>
      </c>
      <c r="E111" s="4139"/>
      <c r="F111" s="4140"/>
      <c r="G111" s="4135"/>
      <c r="H111" s="4135"/>
      <c r="I111" s="4154"/>
      <c r="J111" s="4155"/>
      <c r="K111" s="4182"/>
      <c r="L111" s="4183"/>
      <c r="M111" s="4183"/>
      <c r="N111" s="4135"/>
      <c r="O111" s="628"/>
      <c r="Q111" s="2202"/>
      <c r="V111" s="626"/>
      <c r="W111" s="626"/>
      <c r="X111" s="626"/>
    </row>
    <row r="112" spans="1:24" s="1115" customFormat="1">
      <c r="A112" s="626"/>
      <c r="B112" s="627"/>
      <c r="C112" s="637" t="s">
        <v>1150</v>
      </c>
      <c r="D112" s="626"/>
      <c r="E112" s="632"/>
      <c r="F112" s="626"/>
      <c r="G112" s="638"/>
      <c r="H112" s="638"/>
      <c r="I112" s="638"/>
      <c r="J112" s="638"/>
      <c r="K112" s="643"/>
      <c r="L112" s="639"/>
      <c r="M112" s="639"/>
      <c r="N112" s="640"/>
      <c r="O112" s="628"/>
      <c r="V112" s="626"/>
      <c r="W112" s="626"/>
      <c r="X112" s="626"/>
    </row>
    <row r="113" spans="1:24" s="1115" customFormat="1">
      <c r="A113" s="626"/>
      <c r="B113" s="627"/>
      <c r="C113" s="4130">
        <v>19</v>
      </c>
      <c r="D113" s="4131" t="s">
        <v>1151</v>
      </c>
      <c r="E113" s="4132"/>
      <c r="F113" s="4133"/>
      <c r="G113" s="4134" t="s">
        <v>1101</v>
      </c>
      <c r="H113" s="4136" t="s">
        <v>1152</v>
      </c>
      <c r="I113" s="4184" t="s">
        <v>340</v>
      </c>
      <c r="J113" s="4185"/>
      <c r="K113" s="4176">
        <f>'DS RS Curve'!AC103</f>
        <v>20.980066070419287</v>
      </c>
      <c r="L113" s="4177"/>
      <c r="M113" s="4177"/>
      <c r="N113" s="4134" t="s">
        <v>309</v>
      </c>
      <c r="O113" s="628"/>
      <c r="V113" s="626"/>
      <c r="W113" s="626"/>
      <c r="X113" s="626"/>
    </row>
    <row r="114" spans="1:24" s="1115" customFormat="1">
      <c r="A114" s="626"/>
      <c r="B114" s="627"/>
      <c r="C114" s="4130"/>
      <c r="D114" s="4138" t="s">
        <v>1153</v>
      </c>
      <c r="E114" s="4139"/>
      <c r="F114" s="4140"/>
      <c r="G114" s="4135"/>
      <c r="H114" s="4137"/>
      <c r="I114" s="4186"/>
      <c r="J114" s="4187"/>
      <c r="K114" s="4178"/>
      <c r="L114" s="4179"/>
      <c r="M114" s="4179"/>
      <c r="N114" s="4135"/>
      <c r="O114" s="628"/>
      <c r="V114" s="626"/>
      <c r="W114" s="626"/>
      <c r="X114" s="626"/>
    </row>
    <row r="115" spans="1:24" s="1115" customFormat="1">
      <c r="A115" s="626"/>
      <c r="B115" s="627"/>
      <c r="C115" s="4130">
        <v>20</v>
      </c>
      <c r="D115" s="4141" t="s">
        <v>1154</v>
      </c>
      <c r="E115" s="4142"/>
      <c r="F115" s="4143"/>
      <c r="G115" s="4134" t="s">
        <v>1101</v>
      </c>
      <c r="H115" s="4136" t="s">
        <v>1155</v>
      </c>
      <c r="I115" s="4152" t="s">
        <v>1156</v>
      </c>
      <c r="J115" s="4153"/>
      <c r="K115" s="4176">
        <f>'DS RS Curve'!AC102</f>
        <v>14</v>
      </c>
      <c r="L115" s="4177"/>
      <c r="M115" s="4177"/>
      <c r="N115" s="4134" t="s">
        <v>309</v>
      </c>
      <c r="O115" s="628"/>
      <c r="V115" s="626"/>
      <c r="W115" s="626"/>
      <c r="X115" s="626"/>
    </row>
    <row r="116" spans="1:24" s="1115" customFormat="1">
      <c r="A116" s="626"/>
      <c r="B116" s="627"/>
      <c r="C116" s="4130"/>
      <c r="D116" s="4138" t="s">
        <v>1157</v>
      </c>
      <c r="E116" s="4139"/>
      <c r="F116" s="4140"/>
      <c r="G116" s="4135"/>
      <c r="H116" s="4137"/>
      <c r="I116" s="4154"/>
      <c r="J116" s="4155"/>
      <c r="K116" s="4178"/>
      <c r="L116" s="4179"/>
      <c r="M116" s="4179"/>
      <c r="N116" s="4135"/>
      <c r="O116" s="628"/>
      <c r="V116" s="626"/>
      <c r="W116" s="626"/>
      <c r="X116" s="626"/>
    </row>
    <row r="117" spans="1:24" s="1115" customFormat="1">
      <c r="A117" s="626"/>
      <c r="B117" s="627"/>
      <c r="C117" s="4130">
        <v>21</v>
      </c>
      <c r="D117" s="4131" t="s">
        <v>1158</v>
      </c>
      <c r="E117" s="4132"/>
      <c r="F117" s="4133"/>
      <c r="G117" s="4134" t="s">
        <v>1101</v>
      </c>
      <c r="H117" s="4136" t="s">
        <v>1152</v>
      </c>
      <c r="I117" s="4184" t="s">
        <v>340</v>
      </c>
      <c r="J117" s="4185"/>
      <c r="K117" s="4176">
        <f>'DS RS Curve'!AD103</f>
        <v>20.112312084614139</v>
      </c>
      <c r="L117" s="4177"/>
      <c r="M117" s="4177"/>
      <c r="N117" s="4134" t="s">
        <v>309</v>
      </c>
      <c r="O117" s="628"/>
      <c r="V117" s="626"/>
      <c r="W117" s="626"/>
      <c r="X117" s="626"/>
    </row>
    <row r="118" spans="1:24" s="1115" customFormat="1">
      <c r="A118" s="626"/>
      <c r="B118" s="627"/>
      <c r="C118" s="4130"/>
      <c r="D118" s="4138" t="s">
        <v>1159</v>
      </c>
      <c r="E118" s="4139"/>
      <c r="F118" s="4140"/>
      <c r="G118" s="4135"/>
      <c r="H118" s="4137"/>
      <c r="I118" s="4186"/>
      <c r="J118" s="4187"/>
      <c r="K118" s="4178"/>
      <c r="L118" s="4179"/>
      <c r="M118" s="4179"/>
      <c r="N118" s="4135"/>
      <c r="O118" s="628"/>
      <c r="V118" s="626"/>
      <c r="W118" s="626"/>
      <c r="X118" s="626"/>
    </row>
    <row r="119" spans="1:24" s="1115" customFormat="1">
      <c r="A119" s="626"/>
      <c r="B119" s="627"/>
      <c r="C119" s="4130">
        <v>22</v>
      </c>
      <c r="D119" s="4141" t="s">
        <v>1160</v>
      </c>
      <c r="E119" s="4142"/>
      <c r="F119" s="4143"/>
      <c r="G119" s="4134" t="s">
        <v>1101</v>
      </c>
      <c r="H119" s="4136" t="s">
        <v>1155</v>
      </c>
      <c r="I119" s="4152" t="s">
        <v>1156</v>
      </c>
      <c r="J119" s="4153"/>
      <c r="K119" s="4176">
        <f>'DS RS Curve'!AD102</f>
        <v>4</v>
      </c>
      <c r="L119" s="4177"/>
      <c r="M119" s="4177"/>
      <c r="N119" s="4134" t="s">
        <v>309</v>
      </c>
      <c r="O119" s="628"/>
      <c r="V119" s="626"/>
      <c r="W119" s="626"/>
      <c r="X119" s="626"/>
    </row>
    <row r="120" spans="1:24" s="1115" customFormat="1">
      <c r="A120" s="626"/>
      <c r="B120" s="627"/>
      <c r="C120" s="4130"/>
      <c r="D120" s="4138" t="s">
        <v>1161</v>
      </c>
      <c r="E120" s="4139"/>
      <c r="F120" s="4140"/>
      <c r="G120" s="4135"/>
      <c r="H120" s="4137"/>
      <c r="I120" s="4154"/>
      <c r="J120" s="4155"/>
      <c r="K120" s="4178"/>
      <c r="L120" s="4179"/>
      <c r="M120" s="4179"/>
      <c r="N120" s="4135"/>
      <c r="O120" s="628"/>
      <c r="V120" s="626"/>
      <c r="W120" s="626"/>
      <c r="X120" s="626"/>
    </row>
    <row r="121" spans="1:24" s="2926" customFormat="1" hidden="1">
      <c r="B121" s="2927"/>
      <c r="C121" s="2928" t="s">
        <v>1348</v>
      </c>
      <c r="E121" s="2929"/>
      <c r="G121" s="2930"/>
      <c r="H121" s="2930"/>
      <c r="I121" s="2930"/>
      <c r="J121" s="2931"/>
      <c r="K121" s="2939"/>
      <c r="L121" s="2934"/>
      <c r="M121" s="2930"/>
      <c r="O121" s="2933"/>
    </row>
    <row r="122" spans="1:24" s="2926" customFormat="1" ht="13.5" hidden="1" customHeight="1">
      <c r="B122" s="2927"/>
      <c r="C122" s="4213">
        <v>24</v>
      </c>
      <c r="D122" s="4214" t="s">
        <v>341</v>
      </c>
      <c r="E122" s="4215"/>
      <c r="F122" s="4216"/>
      <c r="G122" s="4217" t="s">
        <v>1060</v>
      </c>
      <c r="H122" s="4219" t="s">
        <v>163</v>
      </c>
      <c r="I122" s="4237" t="s">
        <v>1061</v>
      </c>
      <c r="J122" s="4237"/>
      <c r="K122" s="4225"/>
      <c r="L122" s="4225"/>
      <c r="M122" s="4225"/>
      <c r="N122" s="4237" t="s">
        <v>309</v>
      </c>
      <c r="O122" s="2933"/>
    </row>
    <row r="123" spans="1:24" s="2926" customFormat="1" ht="13.5" hidden="1" customHeight="1">
      <c r="B123" s="2927"/>
      <c r="C123" s="4213"/>
      <c r="D123" s="4220" t="s">
        <v>343</v>
      </c>
      <c r="E123" s="4221"/>
      <c r="F123" s="4222"/>
      <c r="G123" s="4218"/>
      <c r="H123" s="4218"/>
      <c r="I123" s="4237"/>
      <c r="J123" s="4237"/>
      <c r="K123" s="4225"/>
      <c r="L123" s="4225"/>
      <c r="M123" s="4225"/>
      <c r="N123" s="4237"/>
      <c r="O123" s="2933"/>
    </row>
    <row r="124" spans="1:24" s="2926" customFormat="1" ht="13.5" hidden="1" customHeight="1">
      <c r="B124" s="2927"/>
      <c r="C124" s="4213">
        <v>25</v>
      </c>
      <c r="D124" s="4214" t="s">
        <v>338</v>
      </c>
      <c r="E124" s="4215"/>
      <c r="F124" s="4216"/>
      <c r="G124" s="4217" t="s">
        <v>1060</v>
      </c>
      <c r="H124" s="4223" t="s">
        <v>354</v>
      </c>
      <c r="I124" s="4238" t="s">
        <v>340</v>
      </c>
      <c r="J124" s="4238"/>
      <c r="K124" s="4225"/>
      <c r="L124" s="4225"/>
      <c r="M124" s="4225"/>
      <c r="N124" s="4237" t="s">
        <v>309</v>
      </c>
      <c r="O124" s="2933"/>
    </row>
    <row r="125" spans="1:24" s="2926" customFormat="1" hidden="1">
      <c r="B125" s="2927"/>
      <c r="C125" s="4213"/>
      <c r="D125" s="4220" t="s">
        <v>780</v>
      </c>
      <c r="E125" s="4221"/>
      <c r="F125" s="4222"/>
      <c r="G125" s="4218"/>
      <c r="H125" s="4224"/>
      <c r="I125" s="4238"/>
      <c r="J125" s="4238"/>
      <c r="K125" s="4225"/>
      <c r="L125" s="4225"/>
      <c r="M125" s="4225"/>
      <c r="N125" s="4237"/>
      <c r="O125" s="2933"/>
    </row>
    <row r="126" spans="1:24" s="2926" customFormat="1" hidden="1">
      <c r="B126" s="2927"/>
      <c r="C126" s="4213">
        <v>26</v>
      </c>
      <c r="D126" s="4226" t="s">
        <v>1062</v>
      </c>
      <c r="E126" s="4227"/>
      <c r="F126" s="4228"/>
      <c r="G126" s="4217" t="s">
        <v>1060</v>
      </c>
      <c r="H126" s="4219" t="s">
        <v>1013</v>
      </c>
      <c r="I126" s="4229" t="s">
        <v>1061</v>
      </c>
      <c r="J126" s="4230"/>
      <c r="K126" s="4225"/>
      <c r="L126" s="4225"/>
      <c r="M126" s="4225"/>
      <c r="N126" s="4237" t="s">
        <v>309</v>
      </c>
      <c r="O126" s="2933"/>
    </row>
    <row r="127" spans="1:24" s="2926" customFormat="1" ht="13.5" hidden="1" customHeight="1">
      <c r="B127" s="2927"/>
      <c r="C127" s="4213"/>
      <c r="D127" s="4220" t="s">
        <v>1063</v>
      </c>
      <c r="E127" s="4221"/>
      <c r="F127" s="4222"/>
      <c r="G127" s="4218"/>
      <c r="H127" s="4218"/>
      <c r="I127" s="4231"/>
      <c r="J127" s="4232"/>
      <c r="K127" s="4225"/>
      <c r="L127" s="4225"/>
      <c r="M127" s="4225"/>
      <c r="N127" s="4237"/>
      <c r="O127" s="2933"/>
    </row>
    <row r="128" spans="1:24" s="2926" customFormat="1" ht="13.5" hidden="1" customHeight="1">
      <c r="B128" s="2927"/>
      <c r="C128" s="4213">
        <v>27</v>
      </c>
      <c r="D128" s="4214" t="s">
        <v>1064</v>
      </c>
      <c r="E128" s="4215"/>
      <c r="F128" s="4216"/>
      <c r="G128" s="4217" t="s">
        <v>1060</v>
      </c>
      <c r="H128" s="4223" t="s">
        <v>1065</v>
      </c>
      <c r="I128" s="4233" t="s">
        <v>340</v>
      </c>
      <c r="J128" s="4234"/>
      <c r="K128" s="4225"/>
      <c r="L128" s="4225"/>
      <c r="M128" s="4225"/>
      <c r="N128" s="4237" t="s">
        <v>309</v>
      </c>
      <c r="O128" s="2933"/>
    </row>
    <row r="129" spans="2:19" s="2926" customFormat="1" hidden="1">
      <c r="B129" s="2927"/>
      <c r="C129" s="4213"/>
      <c r="D129" s="4220" t="s">
        <v>1066</v>
      </c>
      <c r="E129" s="4221"/>
      <c r="F129" s="4222"/>
      <c r="G129" s="4218"/>
      <c r="H129" s="4224"/>
      <c r="I129" s="4235"/>
      <c r="J129" s="4236"/>
      <c r="K129" s="4225"/>
      <c r="L129" s="4225"/>
      <c r="M129" s="4225"/>
      <c r="N129" s="4237"/>
      <c r="O129" s="2933"/>
    </row>
    <row r="130" spans="2:19" s="2926" customFormat="1" hidden="1">
      <c r="B130" s="2927"/>
      <c r="C130" s="2928" t="s">
        <v>1349</v>
      </c>
      <c r="E130" s="2929"/>
      <c r="G130" s="2930"/>
      <c r="H130" s="2930"/>
      <c r="I130" s="4227"/>
      <c r="J130" s="4227"/>
      <c r="K130" s="2940"/>
      <c r="M130" s="2930"/>
      <c r="N130" s="2932"/>
      <c r="O130" s="2933"/>
      <c r="P130" s="2938"/>
      <c r="Q130" s="2938"/>
      <c r="R130" s="2938"/>
      <c r="S130" s="2938"/>
    </row>
    <row r="131" spans="2:19" s="2926" customFormat="1" ht="13.5" hidden="1" customHeight="1">
      <c r="B131" s="2927"/>
      <c r="C131" s="4213">
        <v>28</v>
      </c>
      <c r="D131" s="4214" t="s">
        <v>1350</v>
      </c>
      <c r="E131" s="4215"/>
      <c r="F131" s="4216"/>
      <c r="G131" s="4219" t="s">
        <v>1351</v>
      </c>
      <c r="H131" s="4219" t="s">
        <v>309</v>
      </c>
      <c r="I131" s="4229" t="s">
        <v>1</v>
      </c>
      <c r="J131" s="4230"/>
      <c r="K131" s="4225"/>
      <c r="L131" s="4225"/>
      <c r="M131" s="4225"/>
      <c r="N131" s="4237" t="s">
        <v>309</v>
      </c>
      <c r="O131" s="2933"/>
      <c r="P131" s="2938"/>
      <c r="Q131" s="2938"/>
      <c r="R131" s="2938"/>
      <c r="S131" s="2938"/>
    </row>
    <row r="132" spans="2:19" s="2926" customFormat="1" ht="13.5" hidden="1" customHeight="1">
      <c r="B132" s="2927"/>
      <c r="C132" s="4213"/>
      <c r="D132" s="2935" t="s">
        <v>1352</v>
      </c>
      <c r="E132" s="2936"/>
      <c r="F132" s="2937"/>
      <c r="G132" s="4218"/>
      <c r="H132" s="4218"/>
      <c r="I132" s="4231"/>
      <c r="J132" s="4232"/>
      <c r="K132" s="4225"/>
      <c r="L132" s="4225"/>
      <c r="M132" s="4225"/>
      <c r="N132" s="4237"/>
      <c r="O132" s="2933"/>
      <c r="P132" s="2938"/>
      <c r="Q132" s="2938"/>
      <c r="R132" s="2938"/>
      <c r="S132" s="2938"/>
    </row>
    <row r="133" spans="2:19" s="2926" customFormat="1" ht="13.5" hidden="1" customHeight="1">
      <c r="B133" s="2927"/>
      <c r="C133" s="4213">
        <v>29</v>
      </c>
      <c r="D133" s="4214" t="s">
        <v>1353</v>
      </c>
      <c r="E133" s="4215"/>
      <c r="F133" s="4216"/>
      <c r="G133" s="4219" t="s">
        <v>1351</v>
      </c>
      <c r="H133" s="4219" t="s">
        <v>309</v>
      </c>
      <c r="I133" s="4229" t="s">
        <v>1292</v>
      </c>
      <c r="J133" s="4230"/>
      <c r="K133" s="4225"/>
      <c r="L133" s="4225"/>
      <c r="M133" s="4225"/>
      <c r="N133" s="4237" t="s">
        <v>309</v>
      </c>
      <c r="O133" s="2933"/>
      <c r="P133" s="2938"/>
      <c r="Q133" s="2938"/>
      <c r="R133" s="2938"/>
      <c r="S133" s="2938"/>
    </row>
    <row r="134" spans="2:19" s="2926" customFormat="1" ht="13.5" hidden="1" customHeight="1">
      <c r="B134" s="2927"/>
      <c r="C134" s="4213"/>
      <c r="D134" s="2935" t="s">
        <v>1354</v>
      </c>
      <c r="E134" s="2936"/>
      <c r="F134" s="2937"/>
      <c r="G134" s="4218"/>
      <c r="H134" s="4218"/>
      <c r="I134" s="4231"/>
      <c r="J134" s="4232"/>
      <c r="K134" s="4225"/>
      <c r="L134" s="4225"/>
      <c r="M134" s="4225"/>
      <c r="N134" s="4237"/>
      <c r="O134" s="2933"/>
      <c r="P134" s="2938"/>
      <c r="Q134" s="2938"/>
      <c r="R134" s="2938"/>
      <c r="S134" s="2938"/>
    </row>
    <row r="135" spans="2:19" s="2926" customFormat="1" ht="13.5" hidden="1" customHeight="1">
      <c r="B135" s="2927"/>
      <c r="C135" s="4213">
        <v>30</v>
      </c>
      <c r="D135" s="4214" t="s">
        <v>1355</v>
      </c>
      <c r="E135" s="4215"/>
      <c r="F135" s="4216"/>
      <c r="G135" s="4219" t="s">
        <v>1351</v>
      </c>
      <c r="H135" s="4219" t="s">
        <v>309</v>
      </c>
      <c r="I135" s="4229" t="s">
        <v>1292</v>
      </c>
      <c r="J135" s="4230"/>
      <c r="K135" s="4225"/>
      <c r="L135" s="4225"/>
      <c r="M135" s="4225"/>
      <c r="N135" s="4237" t="s">
        <v>309</v>
      </c>
      <c r="O135" s="2933"/>
      <c r="P135" s="2938"/>
      <c r="Q135" s="2938"/>
      <c r="R135" s="2938"/>
      <c r="S135" s="2938"/>
    </row>
    <row r="136" spans="2:19" s="2926" customFormat="1" ht="13.5" hidden="1" customHeight="1">
      <c r="B136" s="2927"/>
      <c r="C136" s="4213"/>
      <c r="D136" s="2935" t="s">
        <v>1356</v>
      </c>
      <c r="E136" s="2936"/>
      <c r="F136" s="2937"/>
      <c r="G136" s="4218"/>
      <c r="H136" s="4218"/>
      <c r="I136" s="4231"/>
      <c r="J136" s="4232"/>
      <c r="K136" s="4225"/>
      <c r="L136" s="4225"/>
      <c r="M136" s="4225"/>
      <c r="N136" s="4237"/>
      <c r="O136" s="2933"/>
      <c r="P136" s="2938"/>
      <c r="Q136" s="2938"/>
      <c r="R136" s="2938"/>
      <c r="S136" s="2938"/>
    </row>
    <row r="137" spans="2:19" s="2926" customFormat="1" hidden="1">
      <c r="B137" s="2927"/>
      <c r="C137" s="2928" t="s">
        <v>1357</v>
      </c>
      <c r="E137" s="2929"/>
      <c r="G137" s="2930"/>
      <c r="H137" s="2930"/>
      <c r="I137" s="4227"/>
      <c r="J137" s="4227"/>
      <c r="K137" s="2940"/>
      <c r="M137" s="2930"/>
      <c r="N137" s="2932"/>
      <c r="O137" s="2933"/>
      <c r="P137" s="2938"/>
      <c r="Q137" s="2938"/>
      <c r="R137" s="2938"/>
      <c r="S137" s="2938"/>
    </row>
    <row r="138" spans="2:19" s="2926" customFormat="1" ht="13.5" hidden="1" customHeight="1">
      <c r="B138" s="2927"/>
      <c r="C138" s="4213">
        <v>30</v>
      </c>
      <c r="D138" s="4214"/>
      <c r="E138" s="4215"/>
      <c r="F138" s="4216"/>
      <c r="G138" s="4219" t="s">
        <v>1358</v>
      </c>
      <c r="H138" s="4219" t="s">
        <v>309</v>
      </c>
      <c r="I138" s="4229" t="s">
        <v>1292</v>
      </c>
      <c r="J138" s="4230"/>
      <c r="K138" s="4225"/>
      <c r="L138" s="4225"/>
      <c r="M138" s="4225"/>
      <c r="N138" s="4237" t="s">
        <v>309</v>
      </c>
      <c r="O138" s="2933"/>
      <c r="P138" s="2938"/>
      <c r="Q138" s="2938"/>
      <c r="R138" s="2938"/>
      <c r="S138" s="2938"/>
    </row>
    <row r="139" spans="2:19" s="2926" customFormat="1" ht="13.5" hidden="1" customHeight="1">
      <c r="B139" s="2927"/>
      <c r="C139" s="4213"/>
      <c r="D139" s="2935" t="s">
        <v>1359</v>
      </c>
      <c r="E139" s="2936"/>
      <c r="F139" s="2937"/>
      <c r="G139" s="4218"/>
      <c r="H139" s="4218"/>
      <c r="I139" s="4231"/>
      <c r="J139" s="4232"/>
      <c r="K139" s="4225"/>
      <c r="L139" s="4225"/>
      <c r="M139" s="4225"/>
      <c r="N139" s="4237"/>
      <c r="O139" s="2933"/>
      <c r="P139" s="2938"/>
      <c r="Q139" s="2938"/>
      <c r="R139" s="2938"/>
      <c r="S139" s="2938"/>
    </row>
    <row r="140" spans="2:19" s="2926" customFormat="1" ht="13.5" hidden="1" customHeight="1">
      <c r="B140" s="2927"/>
      <c r="C140" s="4213">
        <v>31</v>
      </c>
      <c r="D140" s="4214"/>
      <c r="E140" s="4215"/>
      <c r="F140" s="4216"/>
      <c r="G140" s="4219" t="s">
        <v>1358</v>
      </c>
      <c r="H140" s="4219" t="s">
        <v>309</v>
      </c>
      <c r="I140" s="4229" t="s">
        <v>1292</v>
      </c>
      <c r="J140" s="4230"/>
      <c r="K140" s="4225"/>
      <c r="L140" s="4225"/>
      <c r="M140" s="4225"/>
      <c r="N140" s="4237" t="s">
        <v>309</v>
      </c>
      <c r="O140" s="2933"/>
      <c r="P140" s="2938"/>
      <c r="Q140" s="2938"/>
      <c r="R140" s="2938"/>
      <c r="S140" s="2938"/>
    </row>
    <row r="141" spans="2:19" s="2926" customFormat="1" ht="13.5" hidden="1" customHeight="1">
      <c r="B141" s="2927"/>
      <c r="C141" s="4213"/>
      <c r="D141" s="2935" t="s">
        <v>1360</v>
      </c>
      <c r="E141" s="2936"/>
      <c r="F141" s="2937"/>
      <c r="G141" s="4218"/>
      <c r="H141" s="4218"/>
      <c r="I141" s="4231"/>
      <c r="J141" s="4232"/>
      <c r="K141" s="4225"/>
      <c r="L141" s="4225"/>
      <c r="M141" s="4225"/>
      <c r="N141" s="4237"/>
      <c r="O141" s="2933"/>
      <c r="P141" s="2938"/>
      <c r="Q141" s="2938"/>
      <c r="R141" s="2938"/>
      <c r="S141" s="2938"/>
    </row>
    <row r="142" spans="2:19" s="2926" customFormat="1" ht="13.5" hidden="1" customHeight="1">
      <c r="B142" s="2927"/>
      <c r="C142" s="4213">
        <v>32</v>
      </c>
      <c r="D142" s="4214"/>
      <c r="E142" s="4215"/>
      <c r="F142" s="4216"/>
      <c r="G142" s="4219" t="s">
        <v>1358</v>
      </c>
      <c r="H142" s="4219" t="s">
        <v>309</v>
      </c>
      <c r="I142" s="4229" t="s">
        <v>1</v>
      </c>
      <c r="J142" s="4230"/>
      <c r="K142" s="4225"/>
      <c r="L142" s="4225"/>
      <c r="M142" s="4225"/>
      <c r="N142" s="4237" t="s">
        <v>309</v>
      </c>
      <c r="O142" s="2933"/>
      <c r="P142" s="2938"/>
      <c r="Q142" s="2938"/>
      <c r="R142" s="2938"/>
      <c r="S142" s="2938"/>
    </row>
    <row r="143" spans="2:19" s="2926" customFormat="1" ht="13.5" hidden="1" customHeight="1">
      <c r="B143" s="2927"/>
      <c r="C143" s="4213"/>
      <c r="D143" s="2935" t="s">
        <v>1361</v>
      </c>
      <c r="E143" s="2936"/>
      <c r="F143" s="2937"/>
      <c r="G143" s="4218"/>
      <c r="H143" s="4218"/>
      <c r="I143" s="4231"/>
      <c r="J143" s="4232"/>
      <c r="K143" s="4225"/>
      <c r="L143" s="4225"/>
      <c r="M143" s="4225"/>
      <c r="N143" s="4237"/>
      <c r="O143" s="2933"/>
      <c r="P143" s="2938"/>
      <c r="Q143" s="2938"/>
      <c r="R143" s="2938"/>
      <c r="S143" s="2938"/>
    </row>
    <row r="144" spans="2:19" s="2926" customFormat="1" ht="13.5" hidden="1" customHeight="1">
      <c r="B144" s="2927"/>
      <c r="C144" s="4213">
        <v>33</v>
      </c>
      <c r="D144" s="4214"/>
      <c r="E144" s="4215"/>
      <c r="F144" s="4216"/>
      <c r="G144" s="4219" t="s">
        <v>1358</v>
      </c>
      <c r="H144" s="4219" t="s">
        <v>309</v>
      </c>
      <c r="I144" s="4229" t="s">
        <v>1</v>
      </c>
      <c r="J144" s="4230"/>
      <c r="K144" s="4225"/>
      <c r="L144" s="4225"/>
      <c r="M144" s="4225"/>
      <c r="N144" s="4237" t="s">
        <v>309</v>
      </c>
      <c r="O144" s="2933"/>
      <c r="P144" s="2938"/>
      <c r="Q144" s="2938"/>
      <c r="R144" s="2938"/>
      <c r="S144" s="2938"/>
    </row>
    <row r="145" spans="2:19" s="2926" customFormat="1" ht="13.5" hidden="1" customHeight="1">
      <c r="B145" s="2927"/>
      <c r="C145" s="4213"/>
      <c r="D145" s="2935" t="s">
        <v>1362</v>
      </c>
      <c r="E145" s="2936"/>
      <c r="F145" s="2937"/>
      <c r="G145" s="4218"/>
      <c r="H145" s="4218"/>
      <c r="I145" s="4231"/>
      <c r="J145" s="4232"/>
      <c r="K145" s="4225"/>
      <c r="L145" s="4225"/>
      <c r="M145" s="4225"/>
      <c r="N145" s="4237"/>
      <c r="O145" s="2933"/>
      <c r="P145" s="2938"/>
      <c r="Q145" s="2938"/>
      <c r="R145" s="2938"/>
      <c r="S145" s="2938"/>
    </row>
    <row r="146" spans="2:19" s="2926" customFormat="1" hidden="1">
      <c r="B146" s="2927"/>
      <c r="C146" s="2928" t="s">
        <v>1363</v>
      </c>
      <c r="E146" s="2929"/>
      <c r="G146" s="2930"/>
      <c r="H146" s="2930"/>
      <c r="I146" s="4227"/>
      <c r="J146" s="4227"/>
      <c r="K146" s="2940"/>
      <c r="M146" s="2930"/>
      <c r="N146" s="2932"/>
      <c r="O146" s="2933"/>
      <c r="P146" s="2938"/>
      <c r="Q146" s="2938"/>
      <c r="R146" s="2938"/>
      <c r="S146" s="2938"/>
    </row>
    <row r="147" spans="2:19" s="2926" customFormat="1" ht="13.5" hidden="1" customHeight="1">
      <c r="B147" s="2927"/>
      <c r="C147" s="4213">
        <v>18</v>
      </c>
      <c r="D147" s="4214" t="s">
        <v>1364</v>
      </c>
      <c r="E147" s="4215"/>
      <c r="F147" s="4216"/>
      <c r="G147" s="4219" t="s">
        <v>1358</v>
      </c>
      <c r="H147" s="4219" t="s">
        <v>309</v>
      </c>
      <c r="I147" s="4229" t="s">
        <v>1</v>
      </c>
      <c r="J147" s="4230"/>
      <c r="K147" s="4225"/>
      <c r="L147" s="4225"/>
      <c r="M147" s="4225"/>
      <c r="N147" s="4237" t="s">
        <v>309</v>
      </c>
      <c r="O147" s="2933"/>
      <c r="P147" s="2938"/>
      <c r="Q147" s="2938"/>
      <c r="R147" s="2938"/>
      <c r="S147" s="2938"/>
    </row>
    <row r="148" spans="2:19" s="2926" customFormat="1" ht="13.5" hidden="1" customHeight="1">
      <c r="B148" s="2927"/>
      <c r="C148" s="4213"/>
      <c r="D148" s="2935"/>
      <c r="E148" s="2936"/>
      <c r="F148" s="2937"/>
      <c r="G148" s="4218"/>
      <c r="H148" s="4218"/>
      <c r="I148" s="4231"/>
      <c r="J148" s="4232"/>
      <c r="K148" s="4225"/>
      <c r="L148" s="4225"/>
      <c r="M148" s="4225"/>
      <c r="N148" s="4237"/>
      <c r="O148" s="2933"/>
      <c r="P148" s="2938"/>
      <c r="Q148" s="2938"/>
      <c r="R148" s="2938"/>
      <c r="S148" s="2938"/>
    </row>
    <row r="149" spans="2:19" hidden="1">
      <c r="B149" s="627"/>
      <c r="C149" s="637" t="s">
        <v>871</v>
      </c>
      <c r="G149" s="638"/>
      <c r="H149" s="638"/>
      <c r="I149" s="638"/>
      <c r="J149" s="638"/>
      <c r="K149" s="643"/>
      <c r="L149" s="639"/>
      <c r="M149" s="639"/>
      <c r="N149" s="640"/>
      <c r="O149" s="628"/>
    </row>
    <row r="150" spans="2:19" hidden="1">
      <c r="B150" s="627"/>
      <c r="C150" s="4130">
        <v>40</v>
      </c>
      <c r="D150" s="4131" t="s">
        <v>516</v>
      </c>
      <c r="E150" s="4132"/>
      <c r="F150" s="4133"/>
      <c r="G150" s="4134" t="s">
        <v>872</v>
      </c>
      <c r="H150" s="4134" t="s">
        <v>518</v>
      </c>
      <c r="I150" s="4152" t="s">
        <v>526</v>
      </c>
      <c r="J150" s="4153"/>
      <c r="K150" s="4172" t="str">
        <f>PB!R56</f>
        <v/>
      </c>
      <c r="L150" s="4173"/>
      <c r="M150" s="4173"/>
      <c r="N150" s="4134" t="s">
        <v>309</v>
      </c>
      <c r="O150" s="628"/>
    </row>
    <row r="151" spans="2:19" hidden="1">
      <c r="B151" s="627"/>
      <c r="C151" s="4130"/>
      <c r="D151" s="4138" t="s">
        <v>517</v>
      </c>
      <c r="E151" s="4165"/>
      <c r="F151" s="4166"/>
      <c r="G151" s="4135"/>
      <c r="H151" s="4135"/>
      <c r="I151" s="4154"/>
      <c r="J151" s="4155"/>
      <c r="K151" s="4174"/>
      <c r="L151" s="4175"/>
      <c r="M151" s="4175"/>
      <c r="N151" s="4135"/>
      <c r="O151" s="628"/>
    </row>
    <row r="152" spans="2:19" ht="9" customHeight="1">
      <c r="B152" s="627"/>
      <c r="O152" s="628"/>
    </row>
    <row r="153" spans="2:19">
      <c r="B153" s="627"/>
      <c r="C153" s="790"/>
      <c r="K153" s="4189" t="str">
        <f>Details!C17 &amp; ", " &amp; TEXT(Details!B17,"dd mmmm yyyy")</f>
        <v>Bandung, 00 January 1900</v>
      </c>
      <c r="L153" s="4189"/>
      <c r="M153" s="4189"/>
      <c r="N153" s="4189"/>
      <c r="O153" s="628"/>
    </row>
    <row r="154" spans="2:19">
      <c r="B154" s="627"/>
      <c r="K154" s="4171" t="s">
        <v>346</v>
      </c>
      <c r="L154" s="4171"/>
      <c r="M154" s="4171"/>
      <c r="N154" s="4171"/>
      <c r="O154" s="628"/>
      <c r="Q154" s="4171" t="s">
        <v>347</v>
      </c>
      <c r="R154" s="4171"/>
      <c r="S154" s="4171"/>
    </row>
    <row r="155" spans="2:19">
      <c r="B155" s="627"/>
      <c r="O155" s="628"/>
    </row>
    <row r="156" spans="2:19">
      <c r="B156" s="627"/>
      <c r="K156" s="4142"/>
      <c r="L156" s="4142"/>
      <c r="M156" s="4142"/>
      <c r="N156" s="4142"/>
      <c r="O156" s="628"/>
    </row>
    <row r="157" spans="2:19">
      <c r="B157" s="627"/>
      <c r="K157" s="4142"/>
      <c r="L157" s="4142"/>
      <c r="M157" s="4142"/>
      <c r="N157" s="4142"/>
      <c r="O157" s="628"/>
    </row>
    <row r="158" spans="2:19">
      <c r="B158" s="627"/>
      <c r="K158" s="4142"/>
      <c r="L158" s="4142"/>
      <c r="M158" s="4142"/>
      <c r="N158" s="4142"/>
      <c r="O158" s="628"/>
    </row>
    <row r="159" spans="2:19" hidden="1">
      <c r="B159" s="627"/>
      <c r="K159" s="4142"/>
      <c r="L159" s="4142"/>
      <c r="M159" s="4142"/>
      <c r="N159" s="4142"/>
      <c r="O159" s="628"/>
    </row>
    <row r="160" spans="2:19">
      <c r="B160" s="627"/>
      <c r="K160" s="4188" t="str">
        <f>Details!B22</f>
        <v>AS Sumartadji</v>
      </c>
      <c r="L160" s="4188"/>
      <c r="M160" s="4188"/>
      <c r="N160" s="4188"/>
      <c r="O160" s="628"/>
    </row>
    <row r="161" spans="2:15">
      <c r="B161" s="627"/>
      <c r="O161" s="628"/>
    </row>
    <row r="162" spans="2:15">
      <c r="B162" s="627"/>
      <c r="C162" s="647" t="s">
        <v>348</v>
      </c>
      <c r="D162" s="623"/>
      <c r="E162" s="624"/>
      <c r="F162" s="623"/>
      <c r="G162" s="623"/>
      <c r="H162" s="623"/>
      <c r="I162" s="623"/>
      <c r="J162" s="623"/>
      <c r="K162" s="623"/>
      <c r="L162" s="624"/>
      <c r="M162" s="624"/>
      <c r="N162" s="625"/>
      <c r="O162" s="628"/>
    </row>
    <row r="163" spans="2:15">
      <c r="B163" s="627"/>
      <c r="C163" s="648" t="s">
        <v>349</v>
      </c>
      <c r="N163" s="628"/>
      <c r="O163" s="628"/>
    </row>
    <row r="164" spans="2:15">
      <c r="B164" s="627"/>
      <c r="C164" s="648" t="s">
        <v>350</v>
      </c>
      <c r="N164" s="628"/>
      <c r="O164" s="628"/>
    </row>
    <row r="165" spans="2:15">
      <c r="B165" s="627"/>
      <c r="C165" s="648" t="s">
        <v>831</v>
      </c>
      <c r="N165" s="628"/>
      <c r="O165" s="628"/>
    </row>
    <row r="166" spans="2:15">
      <c r="B166" s="627"/>
      <c r="C166" s="648" t="s">
        <v>351</v>
      </c>
      <c r="N166" s="628"/>
      <c r="O166" s="628"/>
    </row>
    <row r="167" spans="2:15">
      <c r="B167" s="627"/>
      <c r="C167" s="648" t="s">
        <v>783</v>
      </c>
      <c r="N167" s="628"/>
      <c r="O167" s="628"/>
    </row>
    <row r="168" spans="2:15">
      <c r="B168" s="627"/>
      <c r="C168" s="791" t="str">
        <f>"6. "&amp;Details!D34</f>
        <v>6. Sampel diterima sebagai Sampel Tidak Terganggu / UDS dan keabsahan proses pengambilan sampel tidak diverifikasi oleh laboratorium</v>
      </c>
      <c r="D168" s="645"/>
      <c r="E168" s="644"/>
      <c r="F168" s="645"/>
      <c r="G168" s="645"/>
      <c r="H168" s="645"/>
      <c r="I168" s="645"/>
      <c r="J168" s="645"/>
      <c r="K168" s="645"/>
      <c r="L168" s="644"/>
      <c r="M168" s="644"/>
      <c r="N168" s="646"/>
      <c r="O168" s="628"/>
    </row>
    <row r="169" spans="2:15" ht="6.75" customHeight="1">
      <c r="B169" s="627"/>
      <c r="O169" s="628"/>
    </row>
    <row r="170" spans="2:15">
      <c r="B170" s="627"/>
      <c r="C170" s="649" t="s">
        <v>352</v>
      </c>
      <c r="D170" s="623"/>
      <c r="E170" s="624"/>
      <c r="F170" s="623"/>
      <c r="G170" s="623"/>
      <c r="H170" s="623"/>
      <c r="I170" s="623"/>
      <c r="J170" s="623"/>
      <c r="K170" s="623"/>
      <c r="L170" s="624"/>
      <c r="M170" s="624"/>
      <c r="N170" s="625"/>
      <c r="O170" s="628"/>
    </row>
    <row r="171" spans="2:15">
      <c r="B171" s="627"/>
      <c r="C171" s="1042" t="s">
        <v>834</v>
      </c>
      <c r="N171" s="628"/>
      <c r="O171" s="628"/>
    </row>
    <row r="172" spans="2:15">
      <c r="B172" s="627"/>
      <c r="C172" s="1042" t="s">
        <v>833</v>
      </c>
      <c r="N172" s="628"/>
      <c r="O172" s="628"/>
    </row>
    <row r="173" spans="2:15">
      <c r="B173" s="627"/>
      <c r="C173" s="1042" t="s">
        <v>826</v>
      </c>
      <c r="N173" s="628"/>
      <c r="O173" s="628"/>
    </row>
    <row r="174" spans="2:15">
      <c r="B174" s="627"/>
      <c r="C174" s="1042" t="s">
        <v>835</v>
      </c>
      <c r="N174" s="628"/>
      <c r="O174" s="628"/>
    </row>
    <row r="175" spans="2:15">
      <c r="B175" s="627"/>
      <c r="C175" s="1042" t="s">
        <v>784</v>
      </c>
      <c r="N175" s="628"/>
      <c r="O175" s="628"/>
    </row>
    <row r="176" spans="2:15">
      <c r="B176" s="627"/>
      <c r="C176" s="1026" t="str">
        <f>"6 ."&amp;Details!C16</f>
        <v>6 .The samples were received as Undisturbed Sample / UDS and the validity of the sampling process was not verified by the laboratory.</v>
      </c>
      <c r="D176" s="645"/>
      <c r="E176" s="644"/>
      <c r="F176" s="645"/>
      <c r="G176" s="645"/>
      <c r="H176" s="645"/>
      <c r="I176" s="645"/>
      <c r="J176" s="645"/>
      <c r="K176" s="645"/>
      <c r="L176" s="644"/>
      <c r="M176" s="644"/>
      <c r="N176" s="646"/>
      <c r="O176" s="628"/>
    </row>
    <row r="177" spans="2:15" ht="9" customHeight="1">
      <c r="B177" s="650"/>
      <c r="C177" s="645"/>
      <c r="D177" s="645"/>
      <c r="E177" s="644"/>
      <c r="F177" s="645"/>
      <c r="G177" s="645"/>
      <c r="H177" s="645"/>
      <c r="I177" s="645"/>
      <c r="J177" s="645"/>
      <c r="K177" s="645"/>
      <c r="L177" s="644"/>
      <c r="M177" s="644"/>
      <c r="N177" s="645"/>
      <c r="O177" s="646"/>
    </row>
  </sheetData>
  <mergeCells count="445">
    <mergeCell ref="N122:N123"/>
    <mergeCell ref="N124:N125"/>
    <mergeCell ref="N126:N127"/>
    <mergeCell ref="N128:N129"/>
    <mergeCell ref="N131:N132"/>
    <mergeCell ref="N133:N134"/>
    <mergeCell ref="N135:N136"/>
    <mergeCell ref="N138:N139"/>
    <mergeCell ref="I142:J143"/>
    <mergeCell ref="I122:J123"/>
    <mergeCell ref="I124:J125"/>
    <mergeCell ref="K122:M123"/>
    <mergeCell ref="K124:M125"/>
    <mergeCell ref="D131:F131"/>
    <mergeCell ref="G131:G132"/>
    <mergeCell ref="H131:H132"/>
    <mergeCell ref="N140:N141"/>
    <mergeCell ref="N142:N143"/>
    <mergeCell ref="N144:N145"/>
    <mergeCell ref="N147:N148"/>
    <mergeCell ref="C147:C148"/>
    <mergeCell ref="D147:F147"/>
    <mergeCell ref="G147:G148"/>
    <mergeCell ref="H147:H148"/>
    <mergeCell ref="I146:J146"/>
    <mergeCell ref="I144:J145"/>
    <mergeCell ref="I147:J148"/>
    <mergeCell ref="K144:M145"/>
    <mergeCell ref="K147:M148"/>
    <mergeCell ref="C144:C145"/>
    <mergeCell ref="D144:F144"/>
    <mergeCell ref="G144:G145"/>
    <mergeCell ref="H144:H145"/>
    <mergeCell ref="K140:M141"/>
    <mergeCell ref="K142:M143"/>
    <mergeCell ref="C135:C136"/>
    <mergeCell ref="D135:F135"/>
    <mergeCell ref="G135:G136"/>
    <mergeCell ref="H135:H136"/>
    <mergeCell ref="C138:C139"/>
    <mergeCell ref="D138:F138"/>
    <mergeCell ref="G138:G139"/>
    <mergeCell ref="H138:H139"/>
    <mergeCell ref="K135:M136"/>
    <mergeCell ref="K138:M139"/>
    <mergeCell ref="I137:J137"/>
    <mergeCell ref="I135:J136"/>
    <mergeCell ref="I138:J139"/>
    <mergeCell ref="C140:C141"/>
    <mergeCell ref="D140:F140"/>
    <mergeCell ref="G140:G141"/>
    <mergeCell ref="H140:H141"/>
    <mergeCell ref="C142:C143"/>
    <mergeCell ref="D142:F142"/>
    <mergeCell ref="G142:G143"/>
    <mergeCell ref="H142:H143"/>
    <mergeCell ref="I140:J141"/>
    <mergeCell ref="C133:C134"/>
    <mergeCell ref="D133:F133"/>
    <mergeCell ref="G133:G134"/>
    <mergeCell ref="H133:H134"/>
    <mergeCell ref="K131:M132"/>
    <mergeCell ref="K133:M134"/>
    <mergeCell ref="C126:C127"/>
    <mergeCell ref="D126:F126"/>
    <mergeCell ref="G126:G127"/>
    <mergeCell ref="H126:H127"/>
    <mergeCell ref="D127:F127"/>
    <mergeCell ref="C128:C129"/>
    <mergeCell ref="D128:F128"/>
    <mergeCell ref="G128:G129"/>
    <mergeCell ref="H128:H129"/>
    <mergeCell ref="D129:F129"/>
    <mergeCell ref="I126:J127"/>
    <mergeCell ref="I128:J129"/>
    <mergeCell ref="K126:M127"/>
    <mergeCell ref="K128:M129"/>
    <mergeCell ref="I130:J130"/>
    <mergeCell ref="I131:J132"/>
    <mergeCell ref="I133:J134"/>
    <mergeCell ref="C131:C132"/>
    <mergeCell ref="C122:C123"/>
    <mergeCell ref="D122:F122"/>
    <mergeCell ref="G122:G123"/>
    <mergeCell ref="H122:H123"/>
    <mergeCell ref="D123:F123"/>
    <mergeCell ref="C124:C125"/>
    <mergeCell ref="D124:F124"/>
    <mergeCell ref="G124:G125"/>
    <mergeCell ref="H124:H125"/>
    <mergeCell ref="D125:F125"/>
    <mergeCell ref="N83:N84"/>
    <mergeCell ref="N85:N86"/>
    <mergeCell ref="N87:N88"/>
    <mergeCell ref="N90:N91"/>
    <mergeCell ref="N113:N114"/>
    <mergeCell ref="N115:N116"/>
    <mergeCell ref="N117:N118"/>
    <mergeCell ref="N92:N93"/>
    <mergeCell ref="N94:N95"/>
    <mergeCell ref="N96:N97"/>
    <mergeCell ref="N98:N99"/>
    <mergeCell ref="N101:N102"/>
    <mergeCell ref="N103:N104"/>
    <mergeCell ref="N105:N106"/>
    <mergeCell ref="N108:N109"/>
    <mergeCell ref="N110:N111"/>
    <mergeCell ref="I85:J86"/>
    <mergeCell ref="I83:J84"/>
    <mergeCell ref="I105:J106"/>
    <mergeCell ref="I103:J104"/>
    <mergeCell ref="I81:J82"/>
    <mergeCell ref="I78:J79"/>
    <mergeCell ref="I76:J77"/>
    <mergeCell ref="I73:J74"/>
    <mergeCell ref="I35:J36"/>
    <mergeCell ref="I101:J102"/>
    <mergeCell ref="I98:J99"/>
    <mergeCell ref="I96:J97"/>
    <mergeCell ref="I94:J95"/>
    <mergeCell ref="I92:J93"/>
    <mergeCell ref="I90:J91"/>
    <mergeCell ref="I87:J88"/>
    <mergeCell ref="I33:J34"/>
    <mergeCell ref="N33:N34"/>
    <mergeCell ref="N35:N36"/>
    <mergeCell ref="N37:N38"/>
    <mergeCell ref="N39:N40"/>
    <mergeCell ref="N41:N42"/>
    <mergeCell ref="N43:N44"/>
    <mergeCell ref="N46:N47"/>
    <mergeCell ref="I37:J38"/>
    <mergeCell ref="K37:M38"/>
    <mergeCell ref="K35:M36"/>
    <mergeCell ref="K33:M34"/>
    <mergeCell ref="I43:J44"/>
    <mergeCell ref="I41:J42"/>
    <mergeCell ref="I39:J40"/>
    <mergeCell ref="K39:M40"/>
    <mergeCell ref="N81:N82"/>
    <mergeCell ref="N48:N49"/>
    <mergeCell ref="I54:J55"/>
    <mergeCell ref="I50:J51"/>
    <mergeCell ref="I48:J49"/>
    <mergeCell ref="N50:N51"/>
    <mergeCell ref="N52:N53"/>
    <mergeCell ref="N54:N55"/>
    <mergeCell ref="N57:N58"/>
    <mergeCell ref="K54:M55"/>
    <mergeCell ref="K52:M53"/>
    <mergeCell ref="K50:M51"/>
    <mergeCell ref="K48:M49"/>
    <mergeCell ref="N59:N60"/>
    <mergeCell ref="N61:N62"/>
    <mergeCell ref="N65:N66"/>
    <mergeCell ref="N67:N68"/>
    <mergeCell ref="N69:N70"/>
    <mergeCell ref="N71:N72"/>
    <mergeCell ref="N73:N74"/>
    <mergeCell ref="N76:N77"/>
    <mergeCell ref="N78:N79"/>
    <mergeCell ref="I52:J53"/>
    <mergeCell ref="K90:M91"/>
    <mergeCell ref="K43:M44"/>
    <mergeCell ref="K61:M62"/>
    <mergeCell ref="K59:M60"/>
    <mergeCell ref="K57:M58"/>
    <mergeCell ref="K78:M79"/>
    <mergeCell ref="K76:M77"/>
    <mergeCell ref="K87:M88"/>
    <mergeCell ref="K85:M86"/>
    <mergeCell ref="K83:M84"/>
    <mergeCell ref="K81:M82"/>
    <mergeCell ref="K71:M72"/>
    <mergeCell ref="K69:M70"/>
    <mergeCell ref="K67:M68"/>
    <mergeCell ref="K65:M66"/>
    <mergeCell ref="K46:M47"/>
    <mergeCell ref="D90:F90"/>
    <mergeCell ref="D91:F91"/>
    <mergeCell ref="D74:F74"/>
    <mergeCell ref="D72:F72"/>
    <mergeCell ref="F15:H16"/>
    <mergeCell ref="M15:N16"/>
    <mergeCell ref="F18:H19"/>
    <mergeCell ref="M18:N19"/>
    <mergeCell ref="F21:H22"/>
    <mergeCell ref="M21:N22"/>
    <mergeCell ref="M24:N25"/>
    <mergeCell ref="D40:F40"/>
    <mergeCell ref="D47:F47"/>
    <mergeCell ref="D36:F36"/>
    <mergeCell ref="H81:H82"/>
    <mergeCell ref="K31:M31"/>
    <mergeCell ref="K73:M74"/>
    <mergeCell ref="D43:F43"/>
    <mergeCell ref="D44:F44"/>
    <mergeCell ref="H73:H74"/>
    <mergeCell ref="G69:G70"/>
    <mergeCell ref="G71:G72"/>
    <mergeCell ref="D53:F53"/>
    <mergeCell ref="D58:F58"/>
    <mergeCell ref="C10:N10"/>
    <mergeCell ref="D34:F34"/>
    <mergeCell ref="D49:F49"/>
    <mergeCell ref="C46:C47"/>
    <mergeCell ref="D46:F46"/>
    <mergeCell ref="G46:G47"/>
    <mergeCell ref="H46:H47"/>
    <mergeCell ref="C30:C31"/>
    <mergeCell ref="D30:F31"/>
    <mergeCell ref="G30:G31"/>
    <mergeCell ref="K30:N30"/>
    <mergeCell ref="D38:F38"/>
    <mergeCell ref="C35:C36"/>
    <mergeCell ref="D35:F35"/>
    <mergeCell ref="G35:G36"/>
    <mergeCell ref="K41:M42"/>
    <mergeCell ref="C48:C49"/>
    <mergeCell ref="D48:F48"/>
    <mergeCell ref="G48:G49"/>
    <mergeCell ref="H48:H49"/>
    <mergeCell ref="C43:C44"/>
    <mergeCell ref="H30:J30"/>
    <mergeCell ref="I31:J31"/>
    <mergeCell ref="I46:J47"/>
    <mergeCell ref="C57:C58"/>
    <mergeCell ref="C59:C60"/>
    <mergeCell ref="H59:H60"/>
    <mergeCell ref="C67:C68"/>
    <mergeCell ref="D67:F67"/>
    <mergeCell ref="G67:G68"/>
    <mergeCell ref="H67:H68"/>
    <mergeCell ref="G50:G51"/>
    <mergeCell ref="H50:H51"/>
    <mergeCell ref="D52:F52"/>
    <mergeCell ref="G52:G53"/>
    <mergeCell ref="H52:H53"/>
    <mergeCell ref="C105:C106"/>
    <mergeCell ref="C103:C104"/>
    <mergeCell ref="C98:C99"/>
    <mergeCell ref="C37:C38"/>
    <mergeCell ref="D37:F37"/>
    <mergeCell ref="G37:G38"/>
    <mergeCell ref="H37:H38"/>
    <mergeCell ref="C41:C42"/>
    <mergeCell ref="D41:F41"/>
    <mergeCell ref="G41:G42"/>
    <mergeCell ref="H41:H42"/>
    <mergeCell ref="D55:F55"/>
    <mergeCell ref="D51:F51"/>
    <mergeCell ref="C90:C91"/>
    <mergeCell ref="C92:C93"/>
    <mergeCell ref="G90:G91"/>
    <mergeCell ref="C54:C55"/>
    <mergeCell ref="D54:F54"/>
    <mergeCell ref="G54:G55"/>
    <mergeCell ref="H54:H55"/>
    <mergeCell ref="C73:C74"/>
    <mergeCell ref="H90:H91"/>
    <mergeCell ref="C71:C72"/>
    <mergeCell ref="D73:F73"/>
    <mergeCell ref="K160:N160"/>
    <mergeCell ref="K153:N153"/>
    <mergeCell ref="K154:N154"/>
    <mergeCell ref="G92:G93"/>
    <mergeCell ref="H92:H93"/>
    <mergeCell ref="G94:G95"/>
    <mergeCell ref="H94:H95"/>
    <mergeCell ref="K158:N158"/>
    <mergeCell ref="K159:N159"/>
    <mergeCell ref="K105:M106"/>
    <mergeCell ref="K103:M104"/>
    <mergeCell ref="K101:M102"/>
    <mergeCell ref="K98:M99"/>
    <mergeCell ref="K96:M97"/>
    <mergeCell ref="K94:M95"/>
    <mergeCell ref="K92:M93"/>
    <mergeCell ref="N119:N120"/>
    <mergeCell ref="N150:N151"/>
    <mergeCell ref="I150:J151"/>
    <mergeCell ref="I119:J120"/>
    <mergeCell ref="I117:J118"/>
    <mergeCell ref="I115:J116"/>
    <mergeCell ref="I113:J114"/>
    <mergeCell ref="I110:J111"/>
    <mergeCell ref="D94:F94"/>
    <mergeCell ref="Q154:S154"/>
    <mergeCell ref="K156:N156"/>
    <mergeCell ref="K157:N157"/>
    <mergeCell ref="D104:F104"/>
    <mergeCell ref="G105:G106"/>
    <mergeCell ref="H105:H106"/>
    <mergeCell ref="D103:F103"/>
    <mergeCell ref="G103:G104"/>
    <mergeCell ref="H103:H104"/>
    <mergeCell ref="G150:G151"/>
    <mergeCell ref="H150:H151"/>
    <mergeCell ref="D151:F151"/>
    <mergeCell ref="D105:F105"/>
    <mergeCell ref="D106:F106"/>
    <mergeCell ref="D95:F95"/>
    <mergeCell ref="K150:M151"/>
    <mergeCell ref="K115:M116"/>
    <mergeCell ref="K113:M114"/>
    <mergeCell ref="K119:M120"/>
    <mergeCell ref="K117:M118"/>
    <mergeCell ref="K110:M111"/>
    <mergeCell ref="K108:M109"/>
    <mergeCell ref="I108:J109"/>
    <mergeCell ref="C101:C102"/>
    <mergeCell ref="D101:F101"/>
    <mergeCell ref="G101:G102"/>
    <mergeCell ref="H101:H102"/>
    <mergeCell ref="D102:F102"/>
    <mergeCell ref="C96:C97"/>
    <mergeCell ref="G96:G97"/>
    <mergeCell ref="G98:G99"/>
    <mergeCell ref="H96:H97"/>
    <mergeCell ref="H98:H99"/>
    <mergeCell ref="D98:F98"/>
    <mergeCell ref="D99:F99"/>
    <mergeCell ref="D96:F96"/>
    <mergeCell ref="D97:F97"/>
    <mergeCell ref="C150:C151"/>
    <mergeCell ref="D150:F150"/>
    <mergeCell ref="C61:C62"/>
    <mergeCell ref="D77:F77"/>
    <mergeCell ref="C78:C79"/>
    <mergeCell ref="D78:F78"/>
    <mergeCell ref="G78:G79"/>
    <mergeCell ref="H78:H79"/>
    <mergeCell ref="C76:C77"/>
    <mergeCell ref="D76:F76"/>
    <mergeCell ref="G76:G77"/>
    <mergeCell ref="D79:F79"/>
    <mergeCell ref="G73:G74"/>
    <mergeCell ref="C69:C70"/>
    <mergeCell ref="D92:F92"/>
    <mergeCell ref="D93:F93"/>
    <mergeCell ref="C94:C95"/>
    <mergeCell ref="D62:F62"/>
    <mergeCell ref="C65:C66"/>
    <mergeCell ref="D65:F65"/>
    <mergeCell ref="G65:G66"/>
    <mergeCell ref="H65:H66"/>
    <mergeCell ref="D61:F61"/>
    <mergeCell ref="G61:G62"/>
    <mergeCell ref="S14:V14"/>
    <mergeCell ref="D3:N3"/>
    <mergeCell ref="D4:N4"/>
    <mergeCell ref="D5:N5"/>
    <mergeCell ref="D6:N6"/>
    <mergeCell ref="D7:N7"/>
    <mergeCell ref="C11:N11"/>
    <mergeCell ref="D50:F50"/>
    <mergeCell ref="C33:C34"/>
    <mergeCell ref="D33:F33"/>
    <mergeCell ref="G33:G34"/>
    <mergeCell ref="H33:H34"/>
    <mergeCell ref="H35:H36"/>
    <mergeCell ref="C39:C40"/>
    <mergeCell ref="D39:F39"/>
    <mergeCell ref="G39:G40"/>
    <mergeCell ref="H39:H40"/>
    <mergeCell ref="D42:F42"/>
    <mergeCell ref="G43:G44"/>
    <mergeCell ref="H43:H44"/>
    <mergeCell ref="C50:C51"/>
    <mergeCell ref="F12:H13"/>
    <mergeCell ref="M27:N28"/>
    <mergeCell ref="C9:N9"/>
    <mergeCell ref="H76:H77"/>
    <mergeCell ref="C63:N63"/>
    <mergeCell ref="C52:C53"/>
    <mergeCell ref="D60:F60"/>
    <mergeCell ref="D57:F57"/>
    <mergeCell ref="G57:G58"/>
    <mergeCell ref="H57:H58"/>
    <mergeCell ref="D59:F59"/>
    <mergeCell ref="G59:G60"/>
    <mergeCell ref="I59:J60"/>
    <mergeCell ref="I57:J58"/>
    <mergeCell ref="I71:J72"/>
    <mergeCell ref="I69:J70"/>
    <mergeCell ref="I67:J68"/>
    <mergeCell ref="I65:J66"/>
    <mergeCell ref="I61:J62"/>
    <mergeCell ref="H71:H72"/>
    <mergeCell ref="H61:H62"/>
    <mergeCell ref="D66:F66"/>
    <mergeCell ref="D68:F68"/>
    <mergeCell ref="D71:F71"/>
    <mergeCell ref="H69:H70"/>
    <mergeCell ref="D69:F69"/>
    <mergeCell ref="D70:F70"/>
    <mergeCell ref="C83:C84"/>
    <mergeCell ref="D83:F83"/>
    <mergeCell ref="G83:G84"/>
    <mergeCell ref="H83:H84"/>
    <mergeCell ref="D84:F84"/>
    <mergeCell ref="C81:C82"/>
    <mergeCell ref="D81:F81"/>
    <mergeCell ref="G81:G82"/>
    <mergeCell ref="D82:F82"/>
    <mergeCell ref="C85:C86"/>
    <mergeCell ref="D85:F85"/>
    <mergeCell ref="G85:G86"/>
    <mergeCell ref="H85:H86"/>
    <mergeCell ref="D86:F86"/>
    <mergeCell ref="C87:C88"/>
    <mergeCell ref="D87:F87"/>
    <mergeCell ref="G87:G88"/>
    <mergeCell ref="H87:H88"/>
    <mergeCell ref="D88:F88"/>
    <mergeCell ref="C113:C114"/>
    <mergeCell ref="D113:F113"/>
    <mergeCell ref="G113:G114"/>
    <mergeCell ref="H113:H114"/>
    <mergeCell ref="D114:F114"/>
    <mergeCell ref="C115:C116"/>
    <mergeCell ref="D115:F115"/>
    <mergeCell ref="G115:G116"/>
    <mergeCell ref="H115:H116"/>
    <mergeCell ref="D116:F116"/>
    <mergeCell ref="C117:C118"/>
    <mergeCell ref="D117:F117"/>
    <mergeCell ref="G117:G118"/>
    <mergeCell ref="H117:H118"/>
    <mergeCell ref="D118:F118"/>
    <mergeCell ref="C119:C120"/>
    <mergeCell ref="D119:F119"/>
    <mergeCell ref="G119:G120"/>
    <mergeCell ref="H119:H120"/>
    <mergeCell ref="D120:F120"/>
    <mergeCell ref="C108:C109"/>
    <mergeCell ref="D108:F108"/>
    <mergeCell ref="G108:G109"/>
    <mergeCell ref="H108:H109"/>
    <mergeCell ref="D109:F109"/>
    <mergeCell ref="C110:C111"/>
    <mergeCell ref="D110:F110"/>
    <mergeCell ref="G110:G111"/>
    <mergeCell ref="H110:H111"/>
    <mergeCell ref="D111:F111"/>
  </mergeCells>
  <printOptions horizontalCentered="1"/>
  <pageMargins left="0.19685039370078741" right="0.19685039370078741" top="0.19685039370078741" bottom="0.19685039370078741" header="0.11811023622047245" footer="0.11811023622047245"/>
  <pageSetup paperSize="10000" scale="62" orientation="portrait" r:id="rId1"/>
  <headerFooter>
    <oddFooter>&amp;R&amp;"Aptos,Regular"&amp;10Page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A801A-5608-4A77-87D8-3BB9C1285D2B}">
  <sheetPr codeName="Sheet4">
    <tabColor theme="9" tint="-0.499984740745262"/>
    <outlinePr applyStyles="1"/>
  </sheetPr>
  <dimension ref="B2:AH124"/>
  <sheetViews>
    <sheetView showGridLines="0" zoomScale="85" zoomScaleNormal="85" workbookViewId="0">
      <selection activeCell="AE11" sqref="AE11:AE12"/>
    </sheetView>
  </sheetViews>
  <sheetFormatPr defaultColWidth="8.875" defaultRowHeight="15.75"/>
  <cols>
    <col min="1" max="1" width="2" style="502" customWidth="1"/>
    <col min="2" max="2" width="4.125" style="502" customWidth="1"/>
    <col min="3" max="4" width="9" style="502"/>
    <col min="5" max="5" width="1.125" style="502" customWidth="1"/>
    <col min="6" max="6" width="0.625" style="502" hidden="1" customWidth="1"/>
    <col min="7" max="7" width="10.625" style="502" customWidth="1"/>
    <col min="8" max="8" width="5" style="502" customWidth="1"/>
    <col min="9" max="9" width="12.875" style="502" hidden="1" customWidth="1"/>
    <col min="10" max="10" width="10" style="1061" customWidth="1"/>
    <col min="11" max="19" width="10" style="502" customWidth="1"/>
    <col min="20" max="20" width="4.125" style="502" customWidth="1"/>
    <col min="21" max="21" width="9" style="502"/>
    <col min="22" max="22" width="9.625" style="502" customWidth="1"/>
    <col min="23" max="23" width="12" style="502" customWidth="1"/>
    <col min="24" max="24" width="9.375" style="502" customWidth="1"/>
    <col min="25" max="257" width="9" style="502"/>
    <col min="258" max="258" width="4.125" style="502" customWidth="1"/>
    <col min="259" max="260" width="9" style="502"/>
    <col min="261" max="261" width="1.125" style="502" customWidth="1"/>
    <col min="262" max="262" width="0" style="502" hidden="1" customWidth="1"/>
    <col min="263" max="263" width="9.125" style="502" customWidth="1"/>
    <col min="264" max="264" width="5.125" style="502" customWidth="1"/>
    <col min="265" max="265" width="0" style="502" hidden="1" customWidth="1"/>
    <col min="266" max="275" width="10" style="502" customWidth="1"/>
    <col min="276" max="276" width="4.125" style="502" customWidth="1"/>
    <col min="277" max="277" width="9" style="502"/>
    <col min="278" max="278" width="9.625" style="502" customWidth="1"/>
    <col min="279" max="279" width="12" style="502" customWidth="1"/>
    <col min="280" max="280" width="9.375" style="502" customWidth="1"/>
    <col min="281" max="513" width="9" style="502"/>
    <col min="514" max="514" width="4.125" style="502" customWidth="1"/>
    <col min="515" max="516" width="9" style="502"/>
    <col min="517" max="517" width="1.125" style="502" customWidth="1"/>
    <col min="518" max="518" width="0" style="502" hidden="1" customWidth="1"/>
    <col min="519" max="519" width="9.125" style="502" customWidth="1"/>
    <col min="520" max="520" width="5.125" style="502" customWidth="1"/>
    <col min="521" max="521" width="0" style="502" hidden="1" customWidth="1"/>
    <col min="522" max="531" width="10" style="502" customWidth="1"/>
    <col min="532" max="532" width="4.125" style="502" customWidth="1"/>
    <col min="533" max="533" width="9" style="502"/>
    <col min="534" max="534" width="9.625" style="502" customWidth="1"/>
    <col min="535" max="535" width="12" style="502" customWidth="1"/>
    <col min="536" max="536" width="9.375" style="502" customWidth="1"/>
    <col min="537" max="769" width="9" style="502"/>
    <col min="770" max="770" width="4.125" style="502" customWidth="1"/>
    <col min="771" max="772" width="9" style="502"/>
    <col min="773" max="773" width="1.125" style="502" customWidth="1"/>
    <col min="774" max="774" width="0" style="502" hidden="1" customWidth="1"/>
    <col min="775" max="775" width="9.125" style="502" customWidth="1"/>
    <col min="776" max="776" width="5.125" style="502" customWidth="1"/>
    <col min="777" max="777" width="0" style="502" hidden="1" customWidth="1"/>
    <col min="778" max="787" width="10" style="502" customWidth="1"/>
    <col min="788" max="788" width="4.125" style="502" customWidth="1"/>
    <col min="789" max="789" width="9" style="502"/>
    <col min="790" max="790" width="9.625" style="502" customWidth="1"/>
    <col min="791" max="791" width="12" style="502" customWidth="1"/>
    <col min="792" max="792" width="9.375" style="502" customWidth="1"/>
    <col min="793" max="1025" width="9" style="502"/>
    <col min="1026" max="1026" width="4.125" style="502" customWidth="1"/>
    <col min="1027" max="1028" width="9" style="502"/>
    <col min="1029" max="1029" width="1.125" style="502" customWidth="1"/>
    <col min="1030" max="1030" width="0" style="502" hidden="1" customWidth="1"/>
    <col min="1031" max="1031" width="9.125" style="502" customWidth="1"/>
    <col min="1032" max="1032" width="5.125" style="502" customWidth="1"/>
    <col min="1033" max="1033" width="0" style="502" hidden="1" customWidth="1"/>
    <col min="1034" max="1043" width="10" style="502" customWidth="1"/>
    <col min="1044" max="1044" width="4.125" style="502" customWidth="1"/>
    <col min="1045" max="1045" width="9" style="502"/>
    <col min="1046" max="1046" width="9.625" style="502" customWidth="1"/>
    <col min="1047" max="1047" width="12" style="502" customWidth="1"/>
    <col min="1048" max="1048" width="9.375" style="502" customWidth="1"/>
    <col min="1049" max="1281" width="9" style="502"/>
    <col min="1282" max="1282" width="4.125" style="502" customWidth="1"/>
    <col min="1283" max="1284" width="9" style="502"/>
    <col min="1285" max="1285" width="1.125" style="502" customWidth="1"/>
    <col min="1286" max="1286" width="0" style="502" hidden="1" customWidth="1"/>
    <col min="1287" max="1287" width="9.125" style="502" customWidth="1"/>
    <col min="1288" max="1288" width="5.125" style="502" customWidth="1"/>
    <col min="1289" max="1289" width="0" style="502" hidden="1" customWidth="1"/>
    <col min="1290" max="1299" width="10" style="502" customWidth="1"/>
    <col min="1300" max="1300" width="4.125" style="502" customWidth="1"/>
    <col min="1301" max="1301" width="9" style="502"/>
    <col min="1302" max="1302" width="9.625" style="502" customWidth="1"/>
    <col min="1303" max="1303" width="12" style="502" customWidth="1"/>
    <col min="1304" max="1304" width="9.375" style="502" customWidth="1"/>
    <col min="1305" max="1537" width="9" style="502"/>
    <col min="1538" max="1538" width="4.125" style="502" customWidth="1"/>
    <col min="1539" max="1540" width="9" style="502"/>
    <col min="1541" max="1541" width="1.125" style="502" customWidth="1"/>
    <col min="1542" max="1542" width="0" style="502" hidden="1" customWidth="1"/>
    <col min="1543" max="1543" width="9.125" style="502" customWidth="1"/>
    <col min="1544" max="1544" width="5.125" style="502" customWidth="1"/>
    <col min="1545" max="1545" width="0" style="502" hidden="1" customWidth="1"/>
    <col min="1546" max="1555" width="10" style="502" customWidth="1"/>
    <col min="1556" max="1556" width="4.125" style="502" customWidth="1"/>
    <col min="1557" max="1557" width="9" style="502"/>
    <col min="1558" max="1558" width="9.625" style="502" customWidth="1"/>
    <col min="1559" max="1559" width="12" style="502" customWidth="1"/>
    <col min="1560" max="1560" width="9.375" style="502" customWidth="1"/>
    <col min="1561" max="1793" width="9" style="502"/>
    <col min="1794" max="1794" width="4.125" style="502" customWidth="1"/>
    <col min="1795" max="1796" width="9" style="502"/>
    <col min="1797" max="1797" width="1.125" style="502" customWidth="1"/>
    <col min="1798" max="1798" width="0" style="502" hidden="1" customWidth="1"/>
    <col min="1799" max="1799" width="9.125" style="502" customWidth="1"/>
    <col min="1800" max="1800" width="5.125" style="502" customWidth="1"/>
    <col min="1801" max="1801" width="0" style="502" hidden="1" customWidth="1"/>
    <col min="1802" max="1811" width="10" style="502" customWidth="1"/>
    <col min="1812" max="1812" width="4.125" style="502" customWidth="1"/>
    <col min="1813" max="1813" width="9" style="502"/>
    <col min="1814" max="1814" width="9.625" style="502" customWidth="1"/>
    <col min="1815" max="1815" width="12" style="502" customWidth="1"/>
    <col min="1816" max="1816" width="9.375" style="502" customWidth="1"/>
    <col min="1817" max="2049" width="9" style="502"/>
    <col min="2050" max="2050" width="4.125" style="502" customWidth="1"/>
    <col min="2051" max="2052" width="9" style="502"/>
    <col min="2053" max="2053" width="1.125" style="502" customWidth="1"/>
    <col min="2054" max="2054" width="0" style="502" hidden="1" customWidth="1"/>
    <col min="2055" max="2055" width="9.125" style="502" customWidth="1"/>
    <col min="2056" max="2056" width="5.125" style="502" customWidth="1"/>
    <col min="2057" max="2057" width="0" style="502" hidden="1" customWidth="1"/>
    <col min="2058" max="2067" width="10" style="502" customWidth="1"/>
    <col min="2068" max="2068" width="4.125" style="502" customWidth="1"/>
    <col min="2069" max="2069" width="9" style="502"/>
    <col min="2070" max="2070" width="9.625" style="502" customWidth="1"/>
    <col min="2071" max="2071" width="12" style="502" customWidth="1"/>
    <col min="2072" max="2072" width="9.375" style="502" customWidth="1"/>
    <col min="2073" max="2305" width="9" style="502"/>
    <col min="2306" max="2306" width="4.125" style="502" customWidth="1"/>
    <col min="2307" max="2308" width="9" style="502"/>
    <col min="2309" max="2309" width="1.125" style="502" customWidth="1"/>
    <col min="2310" max="2310" width="0" style="502" hidden="1" customWidth="1"/>
    <col min="2311" max="2311" width="9.125" style="502" customWidth="1"/>
    <col min="2312" max="2312" width="5.125" style="502" customWidth="1"/>
    <col min="2313" max="2313" width="0" style="502" hidden="1" customWidth="1"/>
    <col min="2314" max="2323" width="10" style="502" customWidth="1"/>
    <col min="2324" max="2324" width="4.125" style="502" customWidth="1"/>
    <col min="2325" max="2325" width="9" style="502"/>
    <col min="2326" max="2326" width="9.625" style="502" customWidth="1"/>
    <col min="2327" max="2327" width="12" style="502" customWidth="1"/>
    <col min="2328" max="2328" width="9.375" style="502" customWidth="1"/>
    <col min="2329" max="2561" width="9" style="502"/>
    <col min="2562" max="2562" width="4.125" style="502" customWidth="1"/>
    <col min="2563" max="2564" width="9" style="502"/>
    <col min="2565" max="2565" width="1.125" style="502" customWidth="1"/>
    <col min="2566" max="2566" width="0" style="502" hidden="1" customWidth="1"/>
    <col min="2567" max="2567" width="9.125" style="502" customWidth="1"/>
    <col min="2568" max="2568" width="5.125" style="502" customWidth="1"/>
    <col min="2569" max="2569" width="0" style="502" hidden="1" customWidth="1"/>
    <col min="2570" max="2579" width="10" style="502" customWidth="1"/>
    <col min="2580" max="2580" width="4.125" style="502" customWidth="1"/>
    <col min="2581" max="2581" width="9" style="502"/>
    <col min="2582" max="2582" width="9.625" style="502" customWidth="1"/>
    <col min="2583" max="2583" width="12" style="502" customWidth="1"/>
    <col min="2584" max="2584" width="9.375" style="502" customWidth="1"/>
    <col min="2585" max="2817" width="9" style="502"/>
    <col min="2818" max="2818" width="4.125" style="502" customWidth="1"/>
    <col min="2819" max="2820" width="9" style="502"/>
    <col min="2821" max="2821" width="1.125" style="502" customWidth="1"/>
    <col min="2822" max="2822" width="0" style="502" hidden="1" customWidth="1"/>
    <col min="2823" max="2823" width="9.125" style="502" customWidth="1"/>
    <col min="2824" max="2824" width="5.125" style="502" customWidth="1"/>
    <col min="2825" max="2825" width="0" style="502" hidden="1" customWidth="1"/>
    <col min="2826" max="2835" width="10" style="502" customWidth="1"/>
    <col min="2836" max="2836" width="4.125" style="502" customWidth="1"/>
    <col min="2837" max="2837" width="9" style="502"/>
    <col min="2838" max="2838" width="9.625" style="502" customWidth="1"/>
    <col min="2839" max="2839" width="12" style="502" customWidth="1"/>
    <col min="2840" max="2840" width="9.375" style="502" customWidth="1"/>
    <col min="2841" max="3073" width="9" style="502"/>
    <col min="3074" max="3074" width="4.125" style="502" customWidth="1"/>
    <col min="3075" max="3076" width="9" style="502"/>
    <col min="3077" max="3077" width="1.125" style="502" customWidth="1"/>
    <col min="3078" max="3078" width="0" style="502" hidden="1" customWidth="1"/>
    <col min="3079" max="3079" width="9.125" style="502" customWidth="1"/>
    <col min="3080" max="3080" width="5.125" style="502" customWidth="1"/>
    <col min="3081" max="3081" width="0" style="502" hidden="1" customWidth="1"/>
    <col min="3082" max="3091" width="10" style="502" customWidth="1"/>
    <col min="3092" max="3092" width="4.125" style="502" customWidth="1"/>
    <col min="3093" max="3093" width="9" style="502"/>
    <col min="3094" max="3094" width="9.625" style="502" customWidth="1"/>
    <col min="3095" max="3095" width="12" style="502" customWidth="1"/>
    <col min="3096" max="3096" width="9.375" style="502" customWidth="1"/>
    <col min="3097" max="3329" width="9" style="502"/>
    <col min="3330" max="3330" width="4.125" style="502" customWidth="1"/>
    <col min="3331" max="3332" width="9" style="502"/>
    <col min="3333" max="3333" width="1.125" style="502" customWidth="1"/>
    <col min="3334" max="3334" width="0" style="502" hidden="1" customWidth="1"/>
    <col min="3335" max="3335" width="9.125" style="502" customWidth="1"/>
    <col min="3336" max="3336" width="5.125" style="502" customWidth="1"/>
    <col min="3337" max="3337" width="0" style="502" hidden="1" customWidth="1"/>
    <col min="3338" max="3347" width="10" style="502" customWidth="1"/>
    <col min="3348" max="3348" width="4.125" style="502" customWidth="1"/>
    <col min="3349" max="3349" width="9" style="502"/>
    <col min="3350" max="3350" width="9.625" style="502" customWidth="1"/>
    <col min="3351" max="3351" width="12" style="502" customWidth="1"/>
    <col min="3352" max="3352" width="9.375" style="502" customWidth="1"/>
    <col min="3353" max="3585" width="9" style="502"/>
    <col min="3586" max="3586" width="4.125" style="502" customWidth="1"/>
    <col min="3587" max="3588" width="9" style="502"/>
    <col min="3589" max="3589" width="1.125" style="502" customWidth="1"/>
    <col min="3590" max="3590" width="0" style="502" hidden="1" customWidth="1"/>
    <col min="3591" max="3591" width="9.125" style="502" customWidth="1"/>
    <col min="3592" max="3592" width="5.125" style="502" customWidth="1"/>
    <col min="3593" max="3593" width="0" style="502" hidden="1" customWidth="1"/>
    <col min="3594" max="3603" width="10" style="502" customWidth="1"/>
    <col min="3604" max="3604" width="4.125" style="502" customWidth="1"/>
    <col min="3605" max="3605" width="9" style="502"/>
    <col min="3606" max="3606" width="9.625" style="502" customWidth="1"/>
    <col min="3607" max="3607" width="12" style="502" customWidth="1"/>
    <col min="3608" max="3608" width="9.375" style="502" customWidth="1"/>
    <col min="3609" max="3841" width="9" style="502"/>
    <col min="3842" max="3842" width="4.125" style="502" customWidth="1"/>
    <col min="3843" max="3844" width="9" style="502"/>
    <col min="3845" max="3845" width="1.125" style="502" customWidth="1"/>
    <col min="3846" max="3846" width="0" style="502" hidden="1" customWidth="1"/>
    <col min="3847" max="3847" width="9.125" style="502" customWidth="1"/>
    <col min="3848" max="3848" width="5.125" style="502" customWidth="1"/>
    <col min="3849" max="3849" width="0" style="502" hidden="1" customWidth="1"/>
    <col min="3850" max="3859" width="10" style="502" customWidth="1"/>
    <col min="3860" max="3860" width="4.125" style="502" customWidth="1"/>
    <col min="3861" max="3861" width="9" style="502"/>
    <col min="3862" max="3862" width="9.625" style="502" customWidth="1"/>
    <col min="3863" max="3863" width="12" style="502" customWidth="1"/>
    <col min="3864" max="3864" width="9.375" style="502" customWidth="1"/>
    <col min="3865" max="4097" width="9" style="502"/>
    <col min="4098" max="4098" width="4.125" style="502" customWidth="1"/>
    <col min="4099" max="4100" width="9" style="502"/>
    <col min="4101" max="4101" width="1.125" style="502" customWidth="1"/>
    <col min="4102" max="4102" width="0" style="502" hidden="1" customWidth="1"/>
    <col min="4103" max="4103" width="9.125" style="502" customWidth="1"/>
    <col min="4104" max="4104" width="5.125" style="502" customWidth="1"/>
    <col min="4105" max="4105" width="0" style="502" hidden="1" customWidth="1"/>
    <col min="4106" max="4115" width="10" style="502" customWidth="1"/>
    <col min="4116" max="4116" width="4.125" style="502" customWidth="1"/>
    <col min="4117" max="4117" width="9" style="502"/>
    <col min="4118" max="4118" width="9.625" style="502" customWidth="1"/>
    <col min="4119" max="4119" width="12" style="502" customWidth="1"/>
    <col min="4120" max="4120" width="9.375" style="502" customWidth="1"/>
    <col min="4121" max="4353" width="9" style="502"/>
    <col min="4354" max="4354" width="4.125" style="502" customWidth="1"/>
    <col min="4355" max="4356" width="9" style="502"/>
    <col min="4357" max="4357" width="1.125" style="502" customWidth="1"/>
    <col min="4358" max="4358" width="0" style="502" hidden="1" customWidth="1"/>
    <col min="4359" max="4359" width="9.125" style="502" customWidth="1"/>
    <col min="4360" max="4360" width="5.125" style="502" customWidth="1"/>
    <col min="4361" max="4361" width="0" style="502" hidden="1" customWidth="1"/>
    <col min="4362" max="4371" width="10" style="502" customWidth="1"/>
    <col min="4372" max="4372" width="4.125" style="502" customWidth="1"/>
    <col min="4373" max="4373" width="9" style="502"/>
    <col min="4374" max="4374" width="9.625" style="502" customWidth="1"/>
    <col min="4375" max="4375" width="12" style="502" customWidth="1"/>
    <col min="4376" max="4376" width="9.375" style="502" customWidth="1"/>
    <col min="4377" max="4609" width="9" style="502"/>
    <col min="4610" max="4610" width="4.125" style="502" customWidth="1"/>
    <col min="4611" max="4612" width="9" style="502"/>
    <col min="4613" max="4613" width="1.125" style="502" customWidth="1"/>
    <col min="4614" max="4614" width="0" style="502" hidden="1" customWidth="1"/>
    <col min="4615" max="4615" width="9.125" style="502" customWidth="1"/>
    <col min="4616" max="4616" width="5.125" style="502" customWidth="1"/>
    <col min="4617" max="4617" width="0" style="502" hidden="1" customWidth="1"/>
    <col min="4618" max="4627" width="10" style="502" customWidth="1"/>
    <col min="4628" max="4628" width="4.125" style="502" customWidth="1"/>
    <col min="4629" max="4629" width="9" style="502"/>
    <col min="4630" max="4630" width="9.625" style="502" customWidth="1"/>
    <col min="4631" max="4631" width="12" style="502" customWidth="1"/>
    <col min="4632" max="4632" width="9.375" style="502" customWidth="1"/>
    <col min="4633" max="4865" width="9" style="502"/>
    <col min="4866" max="4866" width="4.125" style="502" customWidth="1"/>
    <col min="4867" max="4868" width="9" style="502"/>
    <col min="4869" max="4869" width="1.125" style="502" customWidth="1"/>
    <col min="4870" max="4870" width="0" style="502" hidden="1" customWidth="1"/>
    <col min="4871" max="4871" width="9.125" style="502" customWidth="1"/>
    <col min="4872" max="4872" width="5.125" style="502" customWidth="1"/>
    <col min="4873" max="4873" width="0" style="502" hidden="1" customWidth="1"/>
    <col min="4874" max="4883" width="10" style="502" customWidth="1"/>
    <col min="4884" max="4884" width="4.125" style="502" customWidth="1"/>
    <col min="4885" max="4885" width="9" style="502"/>
    <col min="4886" max="4886" width="9.625" style="502" customWidth="1"/>
    <col min="4887" max="4887" width="12" style="502" customWidth="1"/>
    <col min="4888" max="4888" width="9.375" style="502" customWidth="1"/>
    <col min="4889" max="5121" width="9" style="502"/>
    <col min="5122" max="5122" width="4.125" style="502" customWidth="1"/>
    <col min="5123" max="5124" width="9" style="502"/>
    <col min="5125" max="5125" width="1.125" style="502" customWidth="1"/>
    <col min="5126" max="5126" width="0" style="502" hidden="1" customWidth="1"/>
    <col min="5127" max="5127" width="9.125" style="502" customWidth="1"/>
    <col min="5128" max="5128" width="5.125" style="502" customWidth="1"/>
    <col min="5129" max="5129" width="0" style="502" hidden="1" customWidth="1"/>
    <col min="5130" max="5139" width="10" style="502" customWidth="1"/>
    <col min="5140" max="5140" width="4.125" style="502" customWidth="1"/>
    <col min="5141" max="5141" width="9" style="502"/>
    <col min="5142" max="5142" width="9.625" style="502" customWidth="1"/>
    <col min="5143" max="5143" width="12" style="502" customWidth="1"/>
    <col min="5144" max="5144" width="9.375" style="502" customWidth="1"/>
    <col min="5145" max="5377" width="9" style="502"/>
    <col min="5378" max="5378" width="4.125" style="502" customWidth="1"/>
    <col min="5379" max="5380" width="9" style="502"/>
    <col min="5381" max="5381" width="1.125" style="502" customWidth="1"/>
    <col min="5382" max="5382" width="0" style="502" hidden="1" customWidth="1"/>
    <col min="5383" max="5383" width="9.125" style="502" customWidth="1"/>
    <col min="5384" max="5384" width="5.125" style="502" customWidth="1"/>
    <col min="5385" max="5385" width="0" style="502" hidden="1" customWidth="1"/>
    <col min="5386" max="5395" width="10" style="502" customWidth="1"/>
    <col min="5396" max="5396" width="4.125" style="502" customWidth="1"/>
    <col min="5397" max="5397" width="9" style="502"/>
    <col min="5398" max="5398" width="9.625" style="502" customWidth="1"/>
    <col min="5399" max="5399" width="12" style="502" customWidth="1"/>
    <col min="5400" max="5400" width="9.375" style="502" customWidth="1"/>
    <col min="5401" max="5633" width="9" style="502"/>
    <col min="5634" max="5634" width="4.125" style="502" customWidth="1"/>
    <col min="5635" max="5636" width="9" style="502"/>
    <col min="5637" max="5637" width="1.125" style="502" customWidth="1"/>
    <col min="5638" max="5638" width="0" style="502" hidden="1" customWidth="1"/>
    <col min="5639" max="5639" width="9.125" style="502" customWidth="1"/>
    <col min="5640" max="5640" width="5.125" style="502" customWidth="1"/>
    <col min="5641" max="5641" width="0" style="502" hidden="1" customWidth="1"/>
    <col min="5642" max="5651" width="10" style="502" customWidth="1"/>
    <col min="5652" max="5652" width="4.125" style="502" customWidth="1"/>
    <col min="5653" max="5653" width="9" style="502"/>
    <col min="5654" max="5654" width="9.625" style="502" customWidth="1"/>
    <col min="5655" max="5655" width="12" style="502" customWidth="1"/>
    <col min="5656" max="5656" width="9.375" style="502" customWidth="1"/>
    <col min="5657" max="5889" width="9" style="502"/>
    <col min="5890" max="5890" width="4.125" style="502" customWidth="1"/>
    <col min="5891" max="5892" width="9" style="502"/>
    <col min="5893" max="5893" width="1.125" style="502" customWidth="1"/>
    <col min="5894" max="5894" width="0" style="502" hidden="1" customWidth="1"/>
    <col min="5895" max="5895" width="9.125" style="502" customWidth="1"/>
    <col min="5896" max="5896" width="5.125" style="502" customWidth="1"/>
    <col min="5897" max="5897" width="0" style="502" hidden="1" customWidth="1"/>
    <col min="5898" max="5907" width="10" style="502" customWidth="1"/>
    <col min="5908" max="5908" width="4.125" style="502" customWidth="1"/>
    <col min="5909" max="5909" width="9" style="502"/>
    <col min="5910" max="5910" width="9.625" style="502" customWidth="1"/>
    <col min="5911" max="5911" width="12" style="502" customWidth="1"/>
    <col min="5912" max="5912" width="9.375" style="502" customWidth="1"/>
    <col min="5913" max="6145" width="9" style="502"/>
    <col min="6146" max="6146" width="4.125" style="502" customWidth="1"/>
    <col min="6147" max="6148" width="9" style="502"/>
    <col min="6149" max="6149" width="1.125" style="502" customWidth="1"/>
    <col min="6150" max="6150" width="0" style="502" hidden="1" customWidth="1"/>
    <col min="6151" max="6151" width="9.125" style="502" customWidth="1"/>
    <col min="6152" max="6152" width="5.125" style="502" customWidth="1"/>
    <col min="6153" max="6153" width="0" style="502" hidden="1" customWidth="1"/>
    <col min="6154" max="6163" width="10" style="502" customWidth="1"/>
    <col min="6164" max="6164" width="4.125" style="502" customWidth="1"/>
    <col min="6165" max="6165" width="9" style="502"/>
    <col min="6166" max="6166" width="9.625" style="502" customWidth="1"/>
    <col min="6167" max="6167" width="12" style="502" customWidth="1"/>
    <col min="6168" max="6168" width="9.375" style="502" customWidth="1"/>
    <col min="6169" max="6401" width="9" style="502"/>
    <col min="6402" max="6402" width="4.125" style="502" customWidth="1"/>
    <col min="6403" max="6404" width="9" style="502"/>
    <col min="6405" max="6405" width="1.125" style="502" customWidth="1"/>
    <col min="6406" max="6406" width="0" style="502" hidden="1" customWidth="1"/>
    <col min="6407" max="6407" width="9.125" style="502" customWidth="1"/>
    <col min="6408" max="6408" width="5.125" style="502" customWidth="1"/>
    <col min="6409" max="6409" width="0" style="502" hidden="1" customWidth="1"/>
    <col min="6410" max="6419" width="10" style="502" customWidth="1"/>
    <col min="6420" max="6420" width="4.125" style="502" customWidth="1"/>
    <col min="6421" max="6421" width="9" style="502"/>
    <col min="6422" max="6422" width="9.625" style="502" customWidth="1"/>
    <col min="6423" max="6423" width="12" style="502" customWidth="1"/>
    <col min="6424" max="6424" width="9.375" style="502" customWidth="1"/>
    <col min="6425" max="6657" width="9" style="502"/>
    <col min="6658" max="6658" width="4.125" style="502" customWidth="1"/>
    <col min="6659" max="6660" width="9" style="502"/>
    <col min="6661" max="6661" width="1.125" style="502" customWidth="1"/>
    <col min="6662" max="6662" width="0" style="502" hidden="1" customWidth="1"/>
    <col min="6663" max="6663" width="9.125" style="502" customWidth="1"/>
    <col min="6664" max="6664" width="5.125" style="502" customWidth="1"/>
    <col min="6665" max="6665" width="0" style="502" hidden="1" customWidth="1"/>
    <col min="6666" max="6675" width="10" style="502" customWidth="1"/>
    <col min="6676" max="6676" width="4.125" style="502" customWidth="1"/>
    <col min="6677" max="6677" width="9" style="502"/>
    <col min="6678" max="6678" width="9.625" style="502" customWidth="1"/>
    <col min="6679" max="6679" width="12" style="502" customWidth="1"/>
    <col min="6680" max="6680" width="9.375" style="502" customWidth="1"/>
    <col min="6681" max="6913" width="9" style="502"/>
    <col min="6914" max="6914" width="4.125" style="502" customWidth="1"/>
    <col min="6915" max="6916" width="9" style="502"/>
    <col min="6917" max="6917" width="1.125" style="502" customWidth="1"/>
    <col min="6918" max="6918" width="0" style="502" hidden="1" customWidth="1"/>
    <col min="6919" max="6919" width="9.125" style="502" customWidth="1"/>
    <col min="6920" max="6920" width="5.125" style="502" customWidth="1"/>
    <col min="6921" max="6921" width="0" style="502" hidden="1" customWidth="1"/>
    <col min="6922" max="6931" width="10" style="502" customWidth="1"/>
    <col min="6932" max="6932" width="4.125" style="502" customWidth="1"/>
    <col min="6933" max="6933" width="9" style="502"/>
    <col min="6934" max="6934" width="9.625" style="502" customWidth="1"/>
    <col min="6935" max="6935" width="12" style="502" customWidth="1"/>
    <col min="6936" max="6936" width="9.375" style="502" customWidth="1"/>
    <col min="6937" max="7169" width="9" style="502"/>
    <col min="7170" max="7170" width="4.125" style="502" customWidth="1"/>
    <col min="7171" max="7172" width="9" style="502"/>
    <col min="7173" max="7173" width="1.125" style="502" customWidth="1"/>
    <col min="7174" max="7174" width="0" style="502" hidden="1" customWidth="1"/>
    <col min="7175" max="7175" width="9.125" style="502" customWidth="1"/>
    <col min="7176" max="7176" width="5.125" style="502" customWidth="1"/>
    <col min="7177" max="7177" width="0" style="502" hidden="1" customWidth="1"/>
    <col min="7178" max="7187" width="10" style="502" customWidth="1"/>
    <col min="7188" max="7188" width="4.125" style="502" customWidth="1"/>
    <col min="7189" max="7189" width="9" style="502"/>
    <col min="7190" max="7190" width="9.625" style="502" customWidth="1"/>
    <col min="7191" max="7191" width="12" style="502" customWidth="1"/>
    <col min="7192" max="7192" width="9.375" style="502" customWidth="1"/>
    <col min="7193" max="7425" width="9" style="502"/>
    <col min="7426" max="7426" width="4.125" style="502" customWidth="1"/>
    <col min="7427" max="7428" width="9" style="502"/>
    <col min="7429" max="7429" width="1.125" style="502" customWidth="1"/>
    <col min="7430" max="7430" width="0" style="502" hidden="1" customWidth="1"/>
    <col min="7431" max="7431" width="9.125" style="502" customWidth="1"/>
    <col min="7432" max="7432" width="5.125" style="502" customWidth="1"/>
    <col min="7433" max="7433" width="0" style="502" hidden="1" customWidth="1"/>
    <col min="7434" max="7443" width="10" style="502" customWidth="1"/>
    <col min="7444" max="7444" width="4.125" style="502" customWidth="1"/>
    <col min="7445" max="7445" width="9" style="502"/>
    <col min="7446" max="7446" width="9.625" style="502" customWidth="1"/>
    <col min="7447" max="7447" width="12" style="502" customWidth="1"/>
    <col min="7448" max="7448" width="9.375" style="502" customWidth="1"/>
    <col min="7449" max="7681" width="9" style="502"/>
    <col min="7682" max="7682" width="4.125" style="502" customWidth="1"/>
    <col min="7683" max="7684" width="9" style="502"/>
    <col min="7685" max="7685" width="1.125" style="502" customWidth="1"/>
    <col min="7686" max="7686" width="0" style="502" hidden="1" customWidth="1"/>
    <col min="7687" max="7687" width="9.125" style="502" customWidth="1"/>
    <col min="7688" max="7688" width="5.125" style="502" customWidth="1"/>
    <col min="7689" max="7689" width="0" style="502" hidden="1" customWidth="1"/>
    <col min="7690" max="7699" width="10" style="502" customWidth="1"/>
    <col min="7700" max="7700" width="4.125" style="502" customWidth="1"/>
    <col min="7701" max="7701" width="9" style="502"/>
    <col min="7702" max="7702" width="9.625" style="502" customWidth="1"/>
    <col min="7703" max="7703" width="12" style="502" customWidth="1"/>
    <col min="7704" max="7704" width="9.375" style="502" customWidth="1"/>
    <col min="7705" max="7937" width="9" style="502"/>
    <col min="7938" max="7938" width="4.125" style="502" customWidth="1"/>
    <col min="7939" max="7940" width="9" style="502"/>
    <col min="7941" max="7941" width="1.125" style="502" customWidth="1"/>
    <col min="7942" max="7942" width="0" style="502" hidden="1" customWidth="1"/>
    <col min="7943" max="7943" width="9.125" style="502" customWidth="1"/>
    <col min="7944" max="7944" width="5.125" style="502" customWidth="1"/>
    <col min="7945" max="7945" width="0" style="502" hidden="1" customWidth="1"/>
    <col min="7946" max="7955" width="10" style="502" customWidth="1"/>
    <col min="7956" max="7956" width="4.125" style="502" customWidth="1"/>
    <col min="7957" max="7957" width="9" style="502"/>
    <col min="7958" max="7958" width="9.625" style="502" customWidth="1"/>
    <col min="7959" max="7959" width="12" style="502" customWidth="1"/>
    <col min="7960" max="7960" width="9.375" style="502" customWidth="1"/>
    <col min="7961" max="8193" width="9" style="502"/>
    <col min="8194" max="8194" width="4.125" style="502" customWidth="1"/>
    <col min="8195" max="8196" width="9" style="502"/>
    <col min="8197" max="8197" width="1.125" style="502" customWidth="1"/>
    <col min="8198" max="8198" width="0" style="502" hidden="1" customWidth="1"/>
    <col min="8199" max="8199" width="9.125" style="502" customWidth="1"/>
    <col min="8200" max="8200" width="5.125" style="502" customWidth="1"/>
    <col min="8201" max="8201" width="0" style="502" hidden="1" customWidth="1"/>
    <col min="8202" max="8211" width="10" style="502" customWidth="1"/>
    <col min="8212" max="8212" width="4.125" style="502" customWidth="1"/>
    <col min="8213" max="8213" width="9" style="502"/>
    <col min="8214" max="8214" width="9.625" style="502" customWidth="1"/>
    <col min="8215" max="8215" width="12" style="502" customWidth="1"/>
    <col min="8216" max="8216" width="9.375" style="502" customWidth="1"/>
    <col min="8217" max="8449" width="9" style="502"/>
    <col min="8450" max="8450" width="4.125" style="502" customWidth="1"/>
    <col min="8451" max="8452" width="9" style="502"/>
    <col min="8453" max="8453" width="1.125" style="502" customWidth="1"/>
    <col min="8454" max="8454" width="0" style="502" hidden="1" customWidth="1"/>
    <col min="8455" max="8455" width="9.125" style="502" customWidth="1"/>
    <col min="8456" max="8456" width="5.125" style="502" customWidth="1"/>
    <col min="8457" max="8457" width="0" style="502" hidden="1" customWidth="1"/>
    <col min="8458" max="8467" width="10" style="502" customWidth="1"/>
    <col min="8468" max="8468" width="4.125" style="502" customWidth="1"/>
    <col min="8469" max="8469" width="9" style="502"/>
    <col min="8470" max="8470" width="9.625" style="502" customWidth="1"/>
    <col min="8471" max="8471" width="12" style="502" customWidth="1"/>
    <col min="8472" max="8472" width="9.375" style="502" customWidth="1"/>
    <col min="8473" max="8705" width="9" style="502"/>
    <col min="8706" max="8706" width="4.125" style="502" customWidth="1"/>
    <col min="8707" max="8708" width="9" style="502"/>
    <col min="8709" max="8709" width="1.125" style="502" customWidth="1"/>
    <col min="8710" max="8710" width="0" style="502" hidden="1" customWidth="1"/>
    <col min="8711" max="8711" width="9.125" style="502" customWidth="1"/>
    <col min="8712" max="8712" width="5.125" style="502" customWidth="1"/>
    <col min="8713" max="8713" width="0" style="502" hidden="1" customWidth="1"/>
    <col min="8714" max="8723" width="10" style="502" customWidth="1"/>
    <col min="8724" max="8724" width="4.125" style="502" customWidth="1"/>
    <col min="8725" max="8725" width="9" style="502"/>
    <col min="8726" max="8726" width="9.625" style="502" customWidth="1"/>
    <col min="8727" max="8727" width="12" style="502" customWidth="1"/>
    <col min="8728" max="8728" width="9.375" style="502" customWidth="1"/>
    <col min="8729" max="8961" width="9" style="502"/>
    <col min="8962" max="8962" width="4.125" style="502" customWidth="1"/>
    <col min="8963" max="8964" width="9" style="502"/>
    <col min="8965" max="8965" width="1.125" style="502" customWidth="1"/>
    <col min="8966" max="8966" width="0" style="502" hidden="1" customWidth="1"/>
    <col min="8967" max="8967" width="9.125" style="502" customWidth="1"/>
    <col min="8968" max="8968" width="5.125" style="502" customWidth="1"/>
    <col min="8969" max="8969" width="0" style="502" hidden="1" customWidth="1"/>
    <col min="8970" max="8979" width="10" style="502" customWidth="1"/>
    <col min="8980" max="8980" width="4.125" style="502" customWidth="1"/>
    <col min="8981" max="8981" width="9" style="502"/>
    <col min="8982" max="8982" width="9.625" style="502" customWidth="1"/>
    <col min="8983" max="8983" width="12" style="502" customWidth="1"/>
    <col min="8984" max="8984" width="9.375" style="502" customWidth="1"/>
    <col min="8985" max="9217" width="9" style="502"/>
    <col min="9218" max="9218" width="4.125" style="502" customWidth="1"/>
    <col min="9219" max="9220" width="9" style="502"/>
    <col min="9221" max="9221" width="1.125" style="502" customWidth="1"/>
    <col min="9222" max="9222" width="0" style="502" hidden="1" customWidth="1"/>
    <col min="9223" max="9223" width="9.125" style="502" customWidth="1"/>
    <col min="9224" max="9224" width="5.125" style="502" customWidth="1"/>
    <col min="9225" max="9225" width="0" style="502" hidden="1" customWidth="1"/>
    <col min="9226" max="9235" width="10" style="502" customWidth="1"/>
    <col min="9236" max="9236" width="4.125" style="502" customWidth="1"/>
    <col min="9237" max="9237" width="9" style="502"/>
    <col min="9238" max="9238" width="9.625" style="502" customWidth="1"/>
    <col min="9239" max="9239" width="12" style="502" customWidth="1"/>
    <col min="9240" max="9240" width="9.375" style="502" customWidth="1"/>
    <col min="9241" max="9473" width="9" style="502"/>
    <col min="9474" max="9474" width="4.125" style="502" customWidth="1"/>
    <col min="9475" max="9476" width="9" style="502"/>
    <col min="9477" max="9477" width="1.125" style="502" customWidth="1"/>
    <col min="9478" max="9478" width="0" style="502" hidden="1" customWidth="1"/>
    <col min="9479" max="9479" width="9.125" style="502" customWidth="1"/>
    <col min="9480" max="9480" width="5.125" style="502" customWidth="1"/>
    <col min="9481" max="9481" width="0" style="502" hidden="1" customWidth="1"/>
    <col min="9482" max="9491" width="10" style="502" customWidth="1"/>
    <col min="9492" max="9492" width="4.125" style="502" customWidth="1"/>
    <col min="9493" max="9493" width="9" style="502"/>
    <col min="9494" max="9494" width="9.625" style="502" customWidth="1"/>
    <col min="9495" max="9495" width="12" style="502" customWidth="1"/>
    <col min="9496" max="9496" width="9.375" style="502" customWidth="1"/>
    <col min="9497" max="9729" width="9" style="502"/>
    <col min="9730" max="9730" width="4.125" style="502" customWidth="1"/>
    <col min="9731" max="9732" width="9" style="502"/>
    <col min="9733" max="9733" width="1.125" style="502" customWidth="1"/>
    <col min="9734" max="9734" width="0" style="502" hidden="1" customWidth="1"/>
    <col min="9735" max="9735" width="9.125" style="502" customWidth="1"/>
    <col min="9736" max="9736" width="5.125" style="502" customWidth="1"/>
    <col min="9737" max="9737" width="0" style="502" hidden="1" customWidth="1"/>
    <col min="9738" max="9747" width="10" style="502" customWidth="1"/>
    <col min="9748" max="9748" width="4.125" style="502" customWidth="1"/>
    <col min="9749" max="9749" width="9" style="502"/>
    <col min="9750" max="9750" width="9.625" style="502" customWidth="1"/>
    <col min="9751" max="9751" width="12" style="502" customWidth="1"/>
    <col min="9752" max="9752" width="9.375" style="502" customWidth="1"/>
    <col min="9753" max="9985" width="9" style="502"/>
    <col min="9986" max="9986" width="4.125" style="502" customWidth="1"/>
    <col min="9987" max="9988" width="9" style="502"/>
    <col min="9989" max="9989" width="1.125" style="502" customWidth="1"/>
    <col min="9990" max="9990" width="0" style="502" hidden="1" customWidth="1"/>
    <col min="9991" max="9991" width="9.125" style="502" customWidth="1"/>
    <col min="9992" max="9992" width="5.125" style="502" customWidth="1"/>
    <col min="9993" max="9993" width="0" style="502" hidden="1" customWidth="1"/>
    <col min="9994" max="10003" width="10" style="502" customWidth="1"/>
    <col min="10004" max="10004" width="4.125" style="502" customWidth="1"/>
    <col min="10005" max="10005" width="9" style="502"/>
    <col min="10006" max="10006" width="9.625" style="502" customWidth="1"/>
    <col min="10007" max="10007" width="12" style="502" customWidth="1"/>
    <col min="10008" max="10008" width="9.375" style="502" customWidth="1"/>
    <col min="10009" max="10241" width="9" style="502"/>
    <col min="10242" max="10242" width="4.125" style="502" customWidth="1"/>
    <col min="10243" max="10244" width="9" style="502"/>
    <col min="10245" max="10245" width="1.125" style="502" customWidth="1"/>
    <col min="10246" max="10246" width="0" style="502" hidden="1" customWidth="1"/>
    <col min="10247" max="10247" width="9.125" style="502" customWidth="1"/>
    <col min="10248" max="10248" width="5.125" style="502" customWidth="1"/>
    <col min="10249" max="10249" width="0" style="502" hidden="1" customWidth="1"/>
    <col min="10250" max="10259" width="10" style="502" customWidth="1"/>
    <col min="10260" max="10260" width="4.125" style="502" customWidth="1"/>
    <col min="10261" max="10261" width="9" style="502"/>
    <col min="10262" max="10262" width="9.625" style="502" customWidth="1"/>
    <col min="10263" max="10263" width="12" style="502" customWidth="1"/>
    <col min="10264" max="10264" width="9.375" style="502" customWidth="1"/>
    <col min="10265" max="10497" width="9" style="502"/>
    <col min="10498" max="10498" width="4.125" style="502" customWidth="1"/>
    <col min="10499" max="10500" width="9" style="502"/>
    <col min="10501" max="10501" width="1.125" style="502" customWidth="1"/>
    <col min="10502" max="10502" width="0" style="502" hidden="1" customWidth="1"/>
    <col min="10503" max="10503" width="9.125" style="502" customWidth="1"/>
    <col min="10504" max="10504" width="5.125" style="502" customWidth="1"/>
    <col min="10505" max="10505" width="0" style="502" hidden="1" customWidth="1"/>
    <col min="10506" max="10515" width="10" style="502" customWidth="1"/>
    <col min="10516" max="10516" width="4.125" style="502" customWidth="1"/>
    <col min="10517" max="10517" width="9" style="502"/>
    <col min="10518" max="10518" width="9.625" style="502" customWidth="1"/>
    <col min="10519" max="10519" width="12" style="502" customWidth="1"/>
    <col min="10520" max="10520" width="9.375" style="502" customWidth="1"/>
    <col min="10521" max="10753" width="9" style="502"/>
    <col min="10754" max="10754" width="4.125" style="502" customWidth="1"/>
    <col min="10755" max="10756" width="9" style="502"/>
    <col min="10757" max="10757" width="1.125" style="502" customWidth="1"/>
    <col min="10758" max="10758" width="0" style="502" hidden="1" customWidth="1"/>
    <col min="10759" max="10759" width="9.125" style="502" customWidth="1"/>
    <col min="10760" max="10760" width="5.125" style="502" customWidth="1"/>
    <col min="10761" max="10761" width="0" style="502" hidden="1" customWidth="1"/>
    <col min="10762" max="10771" width="10" style="502" customWidth="1"/>
    <col min="10772" max="10772" width="4.125" style="502" customWidth="1"/>
    <col min="10773" max="10773" width="9" style="502"/>
    <col min="10774" max="10774" width="9.625" style="502" customWidth="1"/>
    <col min="10775" max="10775" width="12" style="502" customWidth="1"/>
    <col min="10776" max="10776" width="9.375" style="502" customWidth="1"/>
    <col min="10777" max="11009" width="9" style="502"/>
    <col min="11010" max="11010" width="4.125" style="502" customWidth="1"/>
    <col min="11011" max="11012" width="9" style="502"/>
    <col min="11013" max="11013" width="1.125" style="502" customWidth="1"/>
    <col min="11014" max="11014" width="0" style="502" hidden="1" customWidth="1"/>
    <col min="11015" max="11015" width="9.125" style="502" customWidth="1"/>
    <col min="11016" max="11016" width="5.125" style="502" customWidth="1"/>
    <col min="11017" max="11017" width="0" style="502" hidden="1" customWidth="1"/>
    <col min="11018" max="11027" width="10" style="502" customWidth="1"/>
    <col min="11028" max="11028" width="4.125" style="502" customWidth="1"/>
    <col min="11029" max="11029" width="9" style="502"/>
    <col min="11030" max="11030" width="9.625" style="502" customWidth="1"/>
    <col min="11031" max="11031" width="12" style="502" customWidth="1"/>
    <col min="11032" max="11032" width="9.375" style="502" customWidth="1"/>
    <col min="11033" max="11265" width="9" style="502"/>
    <col min="11266" max="11266" width="4.125" style="502" customWidth="1"/>
    <col min="11267" max="11268" width="9" style="502"/>
    <col min="11269" max="11269" width="1.125" style="502" customWidth="1"/>
    <col min="11270" max="11270" width="0" style="502" hidden="1" customWidth="1"/>
    <col min="11271" max="11271" width="9.125" style="502" customWidth="1"/>
    <col min="11272" max="11272" width="5.125" style="502" customWidth="1"/>
    <col min="11273" max="11273" width="0" style="502" hidden="1" customWidth="1"/>
    <col min="11274" max="11283" width="10" style="502" customWidth="1"/>
    <col min="11284" max="11284" width="4.125" style="502" customWidth="1"/>
    <col min="11285" max="11285" width="9" style="502"/>
    <col min="11286" max="11286" width="9.625" style="502" customWidth="1"/>
    <col min="11287" max="11287" width="12" style="502" customWidth="1"/>
    <col min="11288" max="11288" width="9.375" style="502" customWidth="1"/>
    <col min="11289" max="11521" width="9" style="502"/>
    <col min="11522" max="11522" width="4.125" style="502" customWidth="1"/>
    <col min="11523" max="11524" width="9" style="502"/>
    <col min="11525" max="11525" width="1.125" style="502" customWidth="1"/>
    <col min="11526" max="11526" width="0" style="502" hidden="1" customWidth="1"/>
    <col min="11527" max="11527" width="9.125" style="502" customWidth="1"/>
    <col min="11528" max="11528" width="5.125" style="502" customWidth="1"/>
    <col min="11529" max="11529" width="0" style="502" hidden="1" customWidth="1"/>
    <col min="11530" max="11539" width="10" style="502" customWidth="1"/>
    <col min="11540" max="11540" width="4.125" style="502" customWidth="1"/>
    <col min="11541" max="11541" width="9" style="502"/>
    <col min="11542" max="11542" width="9.625" style="502" customWidth="1"/>
    <col min="11543" max="11543" width="12" style="502" customWidth="1"/>
    <col min="11544" max="11544" width="9.375" style="502" customWidth="1"/>
    <col min="11545" max="11777" width="9" style="502"/>
    <col min="11778" max="11778" width="4.125" style="502" customWidth="1"/>
    <col min="11779" max="11780" width="9" style="502"/>
    <col min="11781" max="11781" width="1.125" style="502" customWidth="1"/>
    <col min="11782" max="11782" width="0" style="502" hidden="1" customWidth="1"/>
    <col min="11783" max="11783" width="9.125" style="502" customWidth="1"/>
    <col min="11784" max="11784" width="5.125" style="502" customWidth="1"/>
    <col min="11785" max="11785" width="0" style="502" hidden="1" customWidth="1"/>
    <col min="11786" max="11795" width="10" style="502" customWidth="1"/>
    <col min="11796" max="11796" width="4.125" style="502" customWidth="1"/>
    <col min="11797" max="11797" width="9" style="502"/>
    <col min="11798" max="11798" width="9.625" style="502" customWidth="1"/>
    <col min="11799" max="11799" width="12" style="502" customWidth="1"/>
    <col min="11800" max="11800" width="9.375" style="502" customWidth="1"/>
    <col min="11801" max="12033" width="9" style="502"/>
    <col min="12034" max="12034" width="4.125" style="502" customWidth="1"/>
    <col min="12035" max="12036" width="9" style="502"/>
    <col min="12037" max="12037" width="1.125" style="502" customWidth="1"/>
    <col min="12038" max="12038" width="0" style="502" hidden="1" customWidth="1"/>
    <col min="12039" max="12039" width="9.125" style="502" customWidth="1"/>
    <col min="12040" max="12040" width="5.125" style="502" customWidth="1"/>
    <col min="12041" max="12041" width="0" style="502" hidden="1" customWidth="1"/>
    <col min="12042" max="12051" width="10" style="502" customWidth="1"/>
    <col min="12052" max="12052" width="4.125" style="502" customWidth="1"/>
    <col min="12053" max="12053" width="9" style="502"/>
    <col min="12054" max="12054" width="9.625" style="502" customWidth="1"/>
    <col min="12055" max="12055" width="12" style="502" customWidth="1"/>
    <col min="12056" max="12056" width="9.375" style="502" customWidth="1"/>
    <col min="12057" max="12289" width="9" style="502"/>
    <col min="12290" max="12290" width="4.125" style="502" customWidth="1"/>
    <col min="12291" max="12292" width="9" style="502"/>
    <col min="12293" max="12293" width="1.125" style="502" customWidth="1"/>
    <col min="12294" max="12294" width="0" style="502" hidden="1" customWidth="1"/>
    <col min="12295" max="12295" width="9.125" style="502" customWidth="1"/>
    <col min="12296" max="12296" width="5.125" style="502" customWidth="1"/>
    <col min="12297" max="12297" width="0" style="502" hidden="1" customWidth="1"/>
    <col min="12298" max="12307" width="10" style="502" customWidth="1"/>
    <col min="12308" max="12308" width="4.125" style="502" customWidth="1"/>
    <col min="12309" max="12309" width="9" style="502"/>
    <col min="12310" max="12310" width="9.625" style="502" customWidth="1"/>
    <col min="12311" max="12311" width="12" style="502" customWidth="1"/>
    <col min="12312" max="12312" width="9.375" style="502" customWidth="1"/>
    <col min="12313" max="12545" width="9" style="502"/>
    <col min="12546" max="12546" width="4.125" style="502" customWidth="1"/>
    <col min="12547" max="12548" width="9" style="502"/>
    <col min="12549" max="12549" width="1.125" style="502" customWidth="1"/>
    <col min="12550" max="12550" width="0" style="502" hidden="1" customWidth="1"/>
    <col min="12551" max="12551" width="9.125" style="502" customWidth="1"/>
    <col min="12552" max="12552" width="5.125" style="502" customWidth="1"/>
    <col min="12553" max="12553" width="0" style="502" hidden="1" customWidth="1"/>
    <col min="12554" max="12563" width="10" style="502" customWidth="1"/>
    <col min="12564" max="12564" width="4.125" style="502" customWidth="1"/>
    <col min="12565" max="12565" width="9" style="502"/>
    <col min="12566" max="12566" width="9.625" style="502" customWidth="1"/>
    <col min="12567" max="12567" width="12" style="502" customWidth="1"/>
    <col min="12568" max="12568" width="9.375" style="502" customWidth="1"/>
    <col min="12569" max="12801" width="9" style="502"/>
    <col min="12802" max="12802" width="4.125" style="502" customWidth="1"/>
    <col min="12803" max="12804" width="9" style="502"/>
    <col min="12805" max="12805" width="1.125" style="502" customWidth="1"/>
    <col min="12806" max="12806" width="0" style="502" hidden="1" customWidth="1"/>
    <col min="12807" max="12807" width="9.125" style="502" customWidth="1"/>
    <col min="12808" max="12808" width="5.125" style="502" customWidth="1"/>
    <col min="12809" max="12809" width="0" style="502" hidden="1" customWidth="1"/>
    <col min="12810" max="12819" width="10" style="502" customWidth="1"/>
    <col min="12820" max="12820" width="4.125" style="502" customWidth="1"/>
    <col min="12821" max="12821" width="9" style="502"/>
    <col min="12822" max="12822" width="9.625" style="502" customWidth="1"/>
    <col min="12823" max="12823" width="12" style="502" customWidth="1"/>
    <col min="12824" max="12824" width="9.375" style="502" customWidth="1"/>
    <col min="12825" max="13057" width="9" style="502"/>
    <col min="13058" max="13058" width="4.125" style="502" customWidth="1"/>
    <col min="13059" max="13060" width="9" style="502"/>
    <col min="13061" max="13061" width="1.125" style="502" customWidth="1"/>
    <col min="13062" max="13062" width="0" style="502" hidden="1" customWidth="1"/>
    <col min="13063" max="13063" width="9.125" style="502" customWidth="1"/>
    <col min="13064" max="13064" width="5.125" style="502" customWidth="1"/>
    <col min="13065" max="13065" width="0" style="502" hidden="1" customWidth="1"/>
    <col min="13066" max="13075" width="10" style="502" customWidth="1"/>
    <col min="13076" max="13076" width="4.125" style="502" customWidth="1"/>
    <col min="13077" max="13077" width="9" style="502"/>
    <col min="13078" max="13078" width="9.625" style="502" customWidth="1"/>
    <col min="13079" max="13079" width="12" style="502" customWidth="1"/>
    <col min="13080" max="13080" width="9.375" style="502" customWidth="1"/>
    <col min="13081" max="13313" width="9" style="502"/>
    <col min="13314" max="13314" width="4.125" style="502" customWidth="1"/>
    <col min="13315" max="13316" width="9" style="502"/>
    <col min="13317" max="13317" width="1.125" style="502" customWidth="1"/>
    <col min="13318" max="13318" width="0" style="502" hidden="1" customWidth="1"/>
    <col min="13319" max="13319" width="9.125" style="502" customWidth="1"/>
    <col min="13320" max="13320" width="5.125" style="502" customWidth="1"/>
    <col min="13321" max="13321" width="0" style="502" hidden="1" customWidth="1"/>
    <col min="13322" max="13331" width="10" style="502" customWidth="1"/>
    <col min="13332" max="13332" width="4.125" style="502" customWidth="1"/>
    <col min="13333" max="13333" width="9" style="502"/>
    <col min="13334" max="13334" width="9.625" style="502" customWidth="1"/>
    <col min="13335" max="13335" width="12" style="502" customWidth="1"/>
    <col min="13336" max="13336" width="9.375" style="502" customWidth="1"/>
    <col min="13337" max="13569" width="9" style="502"/>
    <col min="13570" max="13570" width="4.125" style="502" customWidth="1"/>
    <col min="13571" max="13572" width="9" style="502"/>
    <col min="13573" max="13573" width="1.125" style="502" customWidth="1"/>
    <col min="13574" max="13574" width="0" style="502" hidden="1" customWidth="1"/>
    <col min="13575" max="13575" width="9.125" style="502" customWidth="1"/>
    <col min="13576" max="13576" width="5.125" style="502" customWidth="1"/>
    <col min="13577" max="13577" width="0" style="502" hidden="1" customWidth="1"/>
    <col min="13578" max="13587" width="10" style="502" customWidth="1"/>
    <col min="13588" max="13588" width="4.125" style="502" customWidth="1"/>
    <col min="13589" max="13589" width="9" style="502"/>
    <col min="13590" max="13590" width="9.625" style="502" customWidth="1"/>
    <col min="13591" max="13591" width="12" style="502" customWidth="1"/>
    <col min="13592" max="13592" width="9.375" style="502" customWidth="1"/>
    <col min="13593" max="13825" width="9" style="502"/>
    <col min="13826" max="13826" width="4.125" style="502" customWidth="1"/>
    <col min="13827" max="13828" width="9" style="502"/>
    <col min="13829" max="13829" width="1.125" style="502" customWidth="1"/>
    <col min="13830" max="13830" width="0" style="502" hidden="1" customWidth="1"/>
    <col min="13831" max="13831" width="9.125" style="502" customWidth="1"/>
    <col min="13832" max="13832" width="5.125" style="502" customWidth="1"/>
    <col min="13833" max="13833" width="0" style="502" hidden="1" customWidth="1"/>
    <col min="13834" max="13843" width="10" style="502" customWidth="1"/>
    <col min="13844" max="13844" width="4.125" style="502" customWidth="1"/>
    <col min="13845" max="13845" width="9" style="502"/>
    <col min="13846" max="13846" width="9.625" style="502" customWidth="1"/>
    <col min="13847" max="13847" width="12" style="502" customWidth="1"/>
    <col min="13848" max="13848" width="9.375" style="502" customWidth="1"/>
    <col min="13849" max="14081" width="9" style="502"/>
    <col min="14082" max="14082" width="4.125" style="502" customWidth="1"/>
    <col min="14083" max="14084" width="9" style="502"/>
    <col min="14085" max="14085" width="1.125" style="502" customWidth="1"/>
    <col min="14086" max="14086" width="0" style="502" hidden="1" customWidth="1"/>
    <col min="14087" max="14087" width="9.125" style="502" customWidth="1"/>
    <col min="14088" max="14088" width="5.125" style="502" customWidth="1"/>
    <col min="14089" max="14089" width="0" style="502" hidden="1" customWidth="1"/>
    <col min="14090" max="14099" width="10" style="502" customWidth="1"/>
    <col min="14100" max="14100" width="4.125" style="502" customWidth="1"/>
    <col min="14101" max="14101" width="9" style="502"/>
    <col min="14102" max="14102" width="9.625" style="502" customWidth="1"/>
    <col min="14103" max="14103" width="12" style="502" customWidth="1"/>
    <col min="14104" max="14104" width="9.375" style="502" customWidth="1"/>
    <col min="14105" max="14337" width="9" style="502"/>
    <col min="14338" max="14338" width="4.125" style="502" customWidth="1"/>
    <col min="14339" max="14340" width="9" style="502"/>
    <col min="14341" max="14341" width="1.125" style="502" customWidth="1"/>
    <col min="14342" max="14342" width="0" style="502" hidden="1" customWidth="1"/>
    <col min="14343" max="14343" width="9.125" style="502" customWidth="1"/>
    <col min="14344" max="14344" width="5.125" style="502" customWidth="1"/>
    <col min="14345" max="14345" width="0" style="502" hidden="1" customWidth="1"/>
    <col min="14346" max="14355" width="10" style="502" customWidth="1"/>
    <col min="14356" max="14356" width="4.125" style="502" customWidth="1"/>
    <col min="14357" max="14357" width="9" style="502"/>
    <col min="14358" max="14358" width="9.625" style="502" customWidth="1"/>
    <col min="14359" max="14359" width="12" style="502" customWidth="1"/>
    <col min="14360" max="14360" width="9.375" style="502" customWidth="1"/>
    <col min="14361" max="14593" width="9" style="502"/>
    <col min="14594" max="14594" width="4.125" style="502" customWidth="1"/>
    <col min="14595" max="14596" width="9" style="502"/>
    <col min="14597" max="14597" width="1.125" style="502" customWidth="1"/>
    <col min="14598" max="14598" width="0" style="502" hidden="1" customWidth="1"/>
    <col min="14599" max="14599" width="9.125" style="502" customWidth="1"/>
    <col min="14600" max="14600" width="5.125" style="502" customWidth="1"/>
    <col min="14601" max="14601" width="0" style="502" hidden="1" customWidth="1"/>
    <col min="14602" max="14611" width="10" style="502" customWidth="1"/>
    <col min="14612" max="14612" width="4.125" style="502" customWidth="1"/>
    <col min="14613" max="14613" width="9" style="502"/>
    <col min="14614" max="14614" width="9.625" style="502" customWidth="1"/>
    <col min="14615" max="14615" width="12" style="502" customWidth="1"/>
    <col min="14616" max="14616" width="9.375" style="502" customWidth="1"/>
    <col min="14617" max="14849" width="9" style="502"/>
    <col min="14850" max="14850" width="4.125" style="502" customWidth="1"/>
    <col min="14851" max="14852" width="9" style="502"/>
    <col min="14853" max="14853" width="1.125" style="502" customWidth="1"/>
    <col min="14854" max="14854" width="0" style="502" hidden="1" customWidth="1"/>
    <col min="14855" max="14855" width="9.125" style="502" customWidth="1"/>
    <col min="14856" max="14856" width="5.125" style="502" customWidth="1"/>
    <col min="14857" max="14857" width="0" style="502" hidden="1" customWidth="1"/>
    <col min="14858" max="14867" width="10" style="502" customWidth="1"/>
    <col min="14868" max="14868" width="4.125" style="502" customWidth="1"/>
    <col min="14869" max="14869" width="9" style="502"/>
    <col min="14870" max="14870" width="9.625" style="502" customWidth="1"/>
    <col min="14871" max="14871" width="12" style="502" customWidth="1"/>
    <col min="14872" max="14872" width="9.375" style="502" customWidth="1"/>
    <col min="14873" max="15105" width="9" style="502"/>
    <col min="15106" max="15106" width="4.125" style="502" customWidth="1"/>
    <col min="15107" max="15108" width="9" style="502"/>
    <col min="15109" max="15109" width="1.125" style="502" customWidth="1"/>
    <col min="15110" max="15110" width="0" style="502" hidden="1" customWidth="1"/>
    <col min="15111" max="15111" width="9.125" style="502" customWidth="1"/>
    <col min="15112" max="15112" width="5.125" style="502" customWidth="1"/>
    <col min="15113" max="15113" width="0" style="502" hidden="1" customWidth="1"/>
    <col min="15114" max="15123" width="10" style="502" customWidth="1"/>
    <col min="15124" max="15124" width="4.125" style="502" customWidth="1"/>
    <col min="15125" max="15125" width="9" style="502"/>
    <col min="15126" max="15126" width="9.625" style="502" customWidth="1"/>
    <col min="15127" max="15127" width="12" style="502" customWidth="1"/>
    <col min="15128" max="15128" width="9.375" style="502" customWidth="1"/>
    <col min="15129" max="15361" width="9" style="502"/>
    <col min="15362" max="15362" width="4.125" style="502" customWidth="1"/>
    <col min="15363" max="15364" width="9" style="502"/>
    <col min="15365" max="15365" width="1.125" style="502" customWidth="1"/>
    <col min="15366" max="15366" width="0" style="502" hidden="1" customWidth="1"/>
    <col min="15367" max="15367" width="9.125" style="502" customWidth="1"/>
    <col min="15368" max="15368" width="5.125" style="502" customWidth="1"/>
    <col min="15369" max="15369" width="0" style="502" hidden="1" customWidth="1"/>
    <col min="15370" max="15379" width="10" style="502" customWidth="1"/>
    <col min="15380" max="15380" width="4.125" style="502" customWidth="1"/>
    <col min="15381" max="15381" width="9" style="502"/>
    <col min="15382" max="15382" width="9.625" style="502" customWidth="1"/>
    <col min="15383" max="15383" width="12" style="502" customWidth="1"/>
    <col min="15384" max="15384" width="9.375" style="502" customWidth="1"/>
    <col min="15385" max="15617" width="9" style="502"/>
    <col min="15618" max="15618" width="4.125" style="502" customWidth="1"/>
    <col min="15619" max="15620" width="9" style="502"/>
    <col min="15621" max="15621" width="1.125" style="502" customWidth="1"/>
    <col min="15622" max="15622" width="0" style="502" hidden="1" customWidth="1"/>
    <col min="15623" max="15623" width="9.125" style="502" customWidth="1"/>
    <col min="15624" max="15624" width="5.125" style="502" customWidth="1"/>
    <col min="15625" max="15625" width="0" style="502" hidden="1" customWidth="1"/>
    <col min="15626" max="15635" width="10" style="502" customWidth="1"/>
    <col min="15636" max="15636" width="4.125" style="502" customWidth="1"/>
    <col min="15637" max="15637" width="9" style="502"/>
    <col min="15638" max="15638" width="9.625" style="502" customWidth="1"/>
    <col min="15639" max="15639" width="12" style="502" customWidth="1"/>
    <col min="15640" max="15640" width="9.375" style="502" customWidth="1"/>
    <col min="15641" max="15873" width="9" style="502"/>
    <col min="15874" max="15874" width="4.125" style="502" customWidth="1"/>
    <col min="15875" max="15876" width="9" style="502"/>
    <col min="15877" max="15877" width="1.125" style="502" customWidth="1"/>
    <col min="15878" max="15878" width="0" style="502" hidden="1" customWidth="1"/>
    <col min="15879" max="15879" width="9.125" style="502" customWidth="1"/>
    <col min="15880" max="15880" width="5.125" style="502" customWidth="1"/>
    <col min="15881" max="15881" width="0" style="502" hidden="1" customWidth="1"/>
    <col min="15882" max="15891" width="10" style="502" customWidth="1"/>
    <col min="15892" max="15892" width="4.125" style="502" customWidth="1"/>
    <col min="15893" max="15893" width="9" style="502"/>
    <col min="15894" max="15894" width="9.625" style="502" customWidth="1"/>
    <col min="15895" max="15895" width="12" style="502" customWidth="1"/>
    <col min="15896" max="15896" width="9.375" style="502" customWidth="1"/>
    <col min="15897" max="16129" width="9" style="502"/>
    <col min="16130" max="16130" width="4.125" style="502" customWidth="1"/>
    <col min="16131" max="16132" width="9" style="502"/>
    <col min="16133" max="16133" width="1.125" style="502" customWidth="1"/>
    <col min="16134" max="16134" width="0" style="502" hidden="1" customWidth="1"/>
    <col min="16135" max="16135" width="9.125" style="502" customWidth="1"/>
    <col min="16136" max="16136" width="5.125" style="502" customWidth="1"/>
    <col min="16137" max="16137" width="0" style="502" hidden="1" customWidth="1"/>
    <col min="16138" max="16147" width="10" style="502" customWidth="1"/>
    <col min="16148" max="16148" width="4.125" style="502" customWidth="1"/>
    <col min="16149" max="16149" width="9" style="502"/>
    <col min="16150" max="16150" width="9.625" style="502" customWidth="1"/>
    <col min="16151" max="16151" width="12" style="502" customWidth="1"/>
    <col min="16152" max="16152" width="9.375" style="502" customWidth="1"/>
    <col min="16153" max="16384" width="9" style="502"/>
  </cols>
  <sheetData>
    <row r="2" spans="2:31">
      <c r="B2" s="494"/>
      <c r="C2" s="495"/>
      <c r="D2" s="495"/>
      <c r="E2" s="495"/>
      <c r="F2" s="495"/>
      <c r="G2" s="495"/>
      <c r="H2" s="495"/>
      <c r="I2" s="496"/>
      <c r="J2" s="1058"/>
      <c r="K2" s="498" t="s">
        <v>206</v>
      </c>
      <c r="L2" s="499"/>
      <c r="M2" s="500" t="str">
        <f>Details!B4</f>
        <v xml:space="preserve">PT Itamatra Nusantara </v>
      </c>
      <c r="N2" s="501"/>
      <c r="O2" s="501"/>
      <c r="P2" s="501"/>
      <c r="Q2" s="501"/>
      <c r="R2" s="501"/>
      <c r="S2" s="501"/>
      <c r="T2" s="497"/>
    </row>
    <row r="3" spans="2:31">
      <c r="B3" s="503"/>
      <c r="D3" s="504"/>
      <c r="I3" s="505"/>
      <c r="J3" s="1059"/>
      <c r="K3" s="498" t="s">
        <v>82</v>
      </c>
      <c r="L3" s="499"/>
      <c r="M3" s="500" t="str">
        <f>Details!B8</f>
        <v>hidroplogi</v>
      </c>
      <c r="N3" s="507"/>
      <c r="O3" s="507"/>
      <c r="P3" s="507"/>
      <c r="Q3" s="507"/>
      <c r="R3" s="507"/>
      <c r="S3" s="507"/>
      <c r="T3" s="508"/>
      <c r="V3" s="509"/>
    </row>
    <row r="4" spans="2:31">
      <c r="B4" s="503"/>
      <c r="D4" s="510"/>
      <c r="I4" s="505"/>
      <c r="J4" s="1059"/>
      <c r="K4" s="511" t="s">
        <v>77</v>
      </c>
      <c r="L4" s="499"/>
      <c r="M4" s="4281" t="str">
        <f>Details!B3</f>
        <v>PO-GQT-19</v>
      </c>
      <c r="N4" s="4282"/>
      <c r="O4" s="507"/>
      <c r="P4" s="4280" t="s">
        <v>76</v>
      </c>
      <c r="Q4" s="4280"/>
      <c r="R4" s="4278">
        <f>Details!B28</f>
        <v>46204</v>
      </c>
      <c r="S4" s="4278"/>
      <c r="T4" s="4278"/>
      <c r="V4" s="512"/>
    </row>
    <row r="5" spans="2:31" ht="16.5" thickBot="1">
      <c r="B5" s="513"/>
      <c r="C5" s="505"/>
      <c r="D5" s="505"/>
      <c r="E5" s="505"/>
      <c r="F5" s="505"/>
      <c r="G5" s="505"/>
      <c r="H5" s="505"/>
      <c r="I5" s="514"/>
      <c r="J5" s="1060"/>
      <c r="K5" s="511" t="s">
        <v>75</v>
      </c>
      <c r="L5" s="499"/>
      <c r="M5" s="500" t="str">
        <f>Details!B20</f>
        <v>Rizki</v>
      </c>
      <c r="N5" s="516"/>
      <c r="O5" s="516"/>
      <c r="P5" s="4280" t="s">
        <v>74</v>
      </c>
      <c r="Q5" s="4280"/>
      <c r="R5" s="4279" t="str">
        <f>Details!B22</f>
        <v>AS Sumartadji</v>
      </c>
      <c r="S5" s="4279"/>
      <c r="T5" s="4279"/>
    </row>
    <row r="6" spans="2:31">
      <c r="B6" s="503"/>
      <c r="I6" s="517"/>
      <c r="T6" s="506"/>
    </row>
    <row r="7" spans="2:31">
      <c r="B7" s="518" t="s">
        <v>231</v>
      </c>
      <c r="C7" s="519"/>
      <c r="D7" s="519"/>
      <c r="E7" s="519"/>
      <c r="F7" s="519"/>
      <c r="G7" s="519"/>
      <c r="H7" s="519"/>
      <c r="I7" s="519"/>
      <c r="J7" s="1062"/>
      <c r="K7" s="519"/>
      <c r="L7" s="519"/>
      <c r="M7" s="519"/>
      <c r="N7" s="519"/>
      <c r="O7" s="519"/>
      <c r="P7" s="519"/>
      <c r="Q7" s="519"/>
      <c r="R7" s="519"/>
      <c r="S7" s="519"/>
      <c r="T7" s="520"/>
    </row>
    <row r="8" spans="2:31">
      <c r="B8" s="503"/>
      <c r="C8" s="519"/>
      <c r="D8" s="519"/>
      <c r="E8" s="519"/>
      <c r="F8" s="519"/>
      <c r="G8" s="519"/>
      <c r="H8" s="519"/>
      <c r="I8" s="519"/>
      <c r="J8" s="1062"/>
      <c r="K8" s="519"/>
      <c r="L8" s="519"/>
      <c r="M8" s="519"/>
      <c r="N8" s="519"/>
      <c r="O8" s="519"/>
      <c r="P8" s="519"/>
      <c r="Q8" s="519"/>
      <c r="R8" s="519"/>
      <c r="S8" s="519"/>
      <c r="T8" s="520"/>
      <c r="U8" s="519"/>
      <c r="V8" s="519"/>
      <c r="W8" s="519"/>
      <c r="X8" s="519"/>
      <c r="Y8" s="519"/>
      <c r="Z8" s="519"/>
      <c r="AA8" s="521">
        <v>45819.675335648149</v>
      </c>
      <c r="AB8" s="519"/>
      <c r="AC8" s="522">
        <v>0</v>
      </c>
    </row>
    <row r="9" spans="2:31" ht="14.25" customHeight="1">
      <c r="B9" s="503"/>
      <c r="C9" s="502" t="s">
        <v>208</v>
      </c>
      <c r="D9" s="523"/>
      <c r="E9" s="502" t="s">
        <v>232</v>
      </c>
      <c r="F9" s="524" t="s">
        <v>233</v>
      </c>
      <c r="G9" s="525" t="str">
        <f>Details!B9</f>
        <v>Morowali Utara</v>
      </c>
      <c r="J9" s="1063"/>
      <c r="N9" s="502" t="s">
        <v>234</v>
      </c>
      <c r="O9" s="527" t="s">
        <v>27</v>
      </c>
      <c r="P9" s="528"/>
      <c r="T9" s="506"/>
      <c r="V9" s="529" t="s">
        <v>235</v>
      </c>
      <c r="W9" s="529" t="s">
        <v>236</v>
      </c>
      <c r="X9" s="529" t="s">
        <v>237</v>
      </c>
      <c r="Z9" s="502" t="s">
        <v>238</v>
      </c>
      <c r="AD9" s="519" t="s">
        <v>239</v>
      </c>
      <c r="AE9" s="519"/>
    </row>
    <row r="10" spans="2:31" ht="14.25" customHeight="1">
      <c r="B10" s="503"/>
      <c r="G10" s="530"/>
      <c r="K10" s="526"/>
      <c r="N10" s="502" t="s">
        <v>240</v>
      </c>
      <c r="O10" s="527" t="s">
        <v>27</v>
      </c>
      <c r="P10" s="531"/>
      <c r="T10" s="506"/>
      <c r="V10" s="529"/>
      <c r="W10" s="529" t="s">
        <v>241</v>
      </c>
      <c r="X10" s="529" t="s">
        <v>242</v>
      </c>
      <c r="Z10" s="532" t="s">
        <v>243</v>
      </c>
      <c r="AA10" s="532" t="s">
        <v>244</v>
      </c>
      <c r="AD10" s="502" t="s">
        <v>60</v>
      </c>
      <c r="AE10" s="502" t="s">
        <v>245</v>
      </c>
    </row>
    <row r="11" spans="2:31" ht="14.25" customHeight="1">
      <c r="B11" s="503"/>
      <c r="C11" s="4283" t="s">
        <v>246</v>
      </c>
      <c r="D11" s="4284"/>
      <c r="E11" s="4284"/>
      <c r="F11" s="4284"/>
      <c r="G11" s="4284"/>
      <c r="H11" s="4285"/>
      <c r="I11" s="536"/>
      <c r="J11" s="4286" t="str">
        <f>Details!B1</f>
        <v>BH-05_UDS-01</v>
      </c>
      <c r="K11" s="4287"/>
      <c r="L11" s="4286"/>
      <c r="M11" s="4287"/>
      <c r="N11" s="4276"/>
      <c r="O11" s="4277"/>
      <c r="P11" s="4276"/>
      <c r="Q11" s="4277"/>
      <c r="R11" s="4276"/>
      <c r="S11" s="4277"/>
      <c r="T11" s="506"/>
      <c r="V11" s="529">
        <v>18</v>
      </c>
      <c r="W11" s="529">
        <v>0.99862439999999997</v>
      </c>
      <c r="X11" s="529">
        <v>1.0004</v>
      </c>
      <c r="Z11" s="1064">
        <v>1</v>
      </c>
      <c r="AA11" s="1116">
        <v>152.10219999999998</v>
      </c>
      <c r="AB11" s="1065"/>
      <c r="AC11" s="1065"/>
      <c r="AD11" s="1064">
        <v>1</v>
      </c>
      <c r="AE11" s="1116">
        <v>52.9908</v>
      </c>
    </row>
    <row r="12" spans="2:31" ht="14.25" customHeight="1">
      <c r="B12" s="503"/>
      <c r="C12" s="537" t="s">
        <v>247</v>
      </c>
      <c r="D12" s="538"/>
      <c r="E12" s="538"/>
      <c r="F12" s="538"/>
      <c r="G12" s="538"/>
      <c r="H12" s="539"/>
      <c r="I12" s="540"/>
      <c r="J12" s="4272"/>
      <c r="K12" s="4273"/>
      <c r="L12" s="4272"/>
      <c r="M12" s="4273"/>
      <c r="N12" s="4274"/>
      <c r="O12" s="4275"/>
      <c r="P12" s="4274"/>
      <c r="Q12" s="4275"/>
      <c r="R12" s="4274"/>
      <c r="S12" s="4275"/>
      <c r="T12" s="506"/>
      <c r="V12" s="529"/>
      <c r="W12" s="529"/>
      <c r="X12" s="529"/>
      <c r="Z12" s="2736">
        <v>2</v>
      </c>
      <c r="AA12" s="2737">
        <v>152.85700000000003</v>
      </c>
      <c r="AB12" s="1065"/>
      <c r="AC12" s="1065"/>
      <c r="AD12" s="2736">
        <v>2</v>
      </c>
      <c r="AE12" s="2737">
        <v>53.7774</v>
      </c>
    </row>
    <row r="13" spans="2:31" ht="14.25" customHeight="1">
      <c r="B13" s="503"/>
      <c r="C13" s="541" t="s">
        <v>210</v>
      </c>
      <c r="D13" s="542"/>
      <c r="E13" s="542"/>
      <c r="F13" s="542"/>
      <c r="G13" s="542"/>
      <c r="H13" s="543" t="s">
        <v>248</v>
      </c>
      <c r="I13" s="544"/>
      <c r="J13" s="4272" t="str">
        <f>Details!B13</f>
        <v>0,00-0,50</v>
      </c>
      <c r="K13" s="4273"/>
      <c r="L13" s="4272"/>
      <c r="M13" s="4273"/>
      <c r="N13" s="4274"/>
      <c r="O13" s="4275"/>
      <c r="P13" s="4274"/>
      <c r="Q13" s="4275"/>
      <c r="R13" s="4274"/>
      <c r="S13" s="4275"/>
      <c r="T13" s="506"/>
      <c r="V13" s="529">
        <v>19</v>
      </c>
      <c r="W13" s="529">
        <v>0.99843470000000001</v>
      </c>
      <c r="X13" s="529">
        <v>1.0002</v>
      </c>
      <c r="Z13" s="1064">
        <v>3</v>
      </c>
      <c r="AA13" s="1116">
        <v>153.22379999999998</v>
      </c>
      <c r="AB13" s="1065"/>
      <c r="AC13" s="1065"/>
      <c r="AD13" s="1064">
        <v>3</v>
      </c>
      <c r="AE13" s="1116">
        <v>53.980199999999989</v>
      </c>
    </row>
    <row r="14" spans="2:31" ht="14.25" customHeight="1">
      <c r="B14" s="503"/>
      <c r="C14" s="4254" t="s">
        <v>249</v>
      </c>
      <c r="D14" s="4255"/>
      <c r="E14" s="4255"/>
      <c r="F14" s="4255"/>
      <c r="G14" s="4255"/>
      <c r="H14" s="4256"/>
      <c r="I14" s="545"/>
      <c r="J14" s="4260" t="str">
        <f>'A. GS'!H12</f>
        <v>silty CLAY with sand</v>
      </c>
      <c r="K14" s="4261"/>
      <c r="L14" s="4264"/>
      <c r="M14" s="4265"/>
      <c r="N14" s="4268"/>
      <c r="O14" s="4269"/>
      <c r="P14" s="4268"/>
      <c r="Q14" s="4269"/>
      <c r="R14" s="4268"/>
      <c r="S14" s="4269"/>
      <c r="T14" s="506"/>
      <c r="V14" s="529">
        <v>20</v>
      </c>
      <c r="W14" s="529">
        <v>0.99823430000000002</v>
      </c>
      <c r="X14" s="529">
        <v>1</v>
      </c>
      <c r="Z14" s="1064">
        <v>4</v>
      </c>
      <c r="AA14" s="1116">
        <v>151.1122</v>
      </c>
      <c r="AB14" s="1065"/>
      <c r="AC14" s="1065"/>
      <c r="AD14" s="1064">
        <v>4</v>
      </c>
      <c r="AE14" s="1116">
        <v>51.412200000000006</v>
      </c>
    </row>
    <row r="15" spans="2:31" ht="14.25" customHeight="1">
      <c r="B15" s="503"/>
      <c r="C15" s="4257"/>
      <c r="D15" s="4258"/>
      <c r="E15" s="4258"/>
      <c r="F15" s="4258"/>
      <c r="G15" s="4258"/>
      <c r="H15" s="4259"/>
      <c r="I15" s="505"/>
      <c r="J15" s="4262"/>
      <c r="K15" s="4263"/>
      <c r="L15" s="4266"/>
      <c r="M15" s="4267"/>
      <c r="N15" s="4270"/>
      <c r="O15" s="4271"/>
      <c r="P15" s="4270"/>
      <c r="Q15" s="4271"/>
      <c r="R15" s="4270"/>
      <c r="S15" s="4271"/>
      <c r="T15" s="506"/>
      <c r="V15" s="529">
        <v>21</v>
      </c>
      <c r="W15" s="529">
        <v>0.99802329999999995</v>
      </c>
      <c r="X15" s="529">
        <v>0.99980000000000002</v>
      </c>
      <c r="Z15" s="1064">
        <v>5</v>
      </c>
      <c r="AA15" s="1116">
        <v>154.83000000000001</v>
      </c>
      <c r="AB15" s="1065"/>
      <c r="AC15" s="1065"/>
      <c r="AD15" s="1064">
        <v>5</v>
      </c>
      <c r="AE15" s="1116">
        <v>55.011199999999995</v>
      </c>
    </row>
    <row r="16" spans="2:31" ht="14.25" customHeight="1">
      <c r="B16" s="503"/>
      <c r="C16" s="523" t="s">
        <v>815</v>
      </c>
      <c r="N16" s="546"/>
      <c r="O16" s="546"/>
      <c r="P16" s="546"/>
      <c r="Q16" s="546"/>
      <c r="R16" s="546"/>
      <c r="S16" s="546"/>
      <c r="T16" s="506"/>
      <c r="V16" s="529">
        <v>22</v>
      </c>
      <c r="W16" s="529">
        <v>0.99780190000000002</v>
      </c>
      <c r="X16" s="529">
        <v>0.99960000000000004</v>
      </c>
      <c r="Z16" s="1064">
        <v>6</v>
      </c>
      <c r="AA16" s="1116">
        <v>159.49879999999999</v>
      </c>
      <c r="AB16" s="1065"/>
      <c r="AC16" s="1065"/>
      <c r="AD16" s="1064">
        <v>6</v>
      </c>
      <c r="AE16" s="1116">
        <v>63.0732</v>
      </c>
    </row>
    <row r="17" spans="2:34" ht="14.25" customHeight="1">
      <c r="B17" s="503"/>
      <c r="C17" s="533" t="s">
        <v>250</v>
      </c>
      <c r="D17" s="534"/>
      <c r="E17" s="534"/>
      <c r="F17" s="534"/>
      <c r="G17" s="534"/>
      <c r="H17" s="535"/>
      <c r="I17" s="547" t="s">
        <v>251</v>
      </c>
      <c r="J17" s="1433">
        <f>Data!B2</f>
        <v>1</v>
      </c>
      <c r="K17" s="1434">
        <f>Data!C2</f>
        <v>2</v>
      </c>
      <c r="L17" s="799"/>
      <c r="M17" s="800"/>
      <c r="N17" s="548"/>
      <c r="O17" s="549"/>
      <c r="P17" s="548"/>
      <c r="Q17" s="549"/>
      <c r="R17" s="548"/>
      <c r="S17" s="549"/>
      <c r="T17" s="506"/>
      <c r="V17" s="529">
        <v>23</v>
      </c>
      <c r="W17" s="529">
        <v>0.99757019999999996</v>
      </c>
      <c r="X17" s="529">
        <v>0.99929999999999997</v>
      </c>
      <c r="Z17" s="1064">
        <v>7</v>
      </c>
      <c r="AA17" s="1116">
        <v>153.36799999999999</v>
      </c>
      <c r="AB17" s="1065"/>
      <c r="AC17" s="1065"/>
      <c r="AD17" s="1064">
        <v>7</v>
      </c>
      <c r="AE17" s="1116">
        <v>53.531399999999998</v>
      </c>
    </row>
    <row r="18" spans="2:34" ht="14.25" customHeight="1">
      <c r="B18" s="503"/>
      <c r="C18" s="537" t="s">
        <v>252</v>
      </c>
      <c r="D18" s="538"/>
      <c r="E18" s="538"/>
      <c r="F18" s="538"/>
      <c r="G18" s="538"/>
      <c r="H18" s="539" t="s">
        <v>37</v>
      </c>
      <c r="I18" s="550">
        <v>50</v>
      </c>
      <c r="J18" s="1435">
        <f>Data!B3</f>
        <v>10.454000000000001</v>
      </c>
      <c r="K18" s="1436">
        <f>Data!C3</f>
        <v>10.46</v>
      </c>
      <c r="L18" s="801"/>
      <c r="M18" s="802"/>
      <c r="N18" s="551"/>
      <c r="O18" s="552"/>
      <c r="P18" s="551"/>
      <c r="Q18" s="552"/>
      <c r="R18" s="551"/>
      <c r="S18" s="552"/>
      <c r="T18" s="506"/>
      <c r="V18" s="529">
        <v>24</v>
      </c>
      <c r="W18" s="529">
        <v>0.99732860000000001</v>
      </c>
      <c r="X18" s="529">
        <v>0.99909999999999999</v>
      </c>
      <c r="Z18" s="1064">
        <v>8</v>
      </c>
      <c r="AA18" s="1116">
        <v>154.66219999999998</v>
      </c>
      <c r="AB18" s="1065"/>
      <c r="AC18" s="1065"/>
      <c r="AD18" s="1064">
        <v>8</v>
      </c>
      <c r="AE18" s="1116">
        <v>59.7316</v>
      </c>
    </row>
    <row r="19" spans="2:34" ht="14.25" customHeight="1">
      <c r="B19" s="503"/>
      <c r="C19" s="537" t="s">
        <v>253</v>
      </c>
      <c r="D19" s="538"/>
      <c r="E19" s="538"/>
      <c r="F19" s="538"/>
      <c r="G19" s="538"/>
      <c r="H19" s="553" t="s">
        <v>254</v>
      </c>
      <c r="I19" s="550">
        <v>27</v>
      </c>
      <c r="J19" s="1437">
        <f>Data!B4</f>
        <v>25</v>
      </c>
      <c r="K19" s="1438">
        <f>Data!C4</f>
        <v>25</v>
      </c>
      <c r="L19" s="801"/>
      <c r="M19" s="802"/>
      <c r="N19" s="551"/>
      <c r="O19" s="552"/>
      <c r="P19" s="551"/>
      <c r="Q19" s="552"/>
      <c r="R19" s="551"/>
      <c r="S19" s="552"/>
      <c r="T19" s="506"/>
      <c r="V19" s="529">
        <v>25</v>
      </c>
      <c r="W19" s="529">
        <v>0.99707699999999999</v>
      </c>
      <c r="X19" s="529">
        <v>0.99890000000000001</v>
      </c>
      <c r="Z19" s="1064">
        <v>9</v>
      </c>
      <c r="AA19" s="1116">
        <v>164.126</v>
      </c>
      <c r="AB19" s="1065"/>
      <c r="AC19" s="1065"/>
      <c r="AD19" s="1064">
        <v>9</v>
      </c>
      <c r="AE19" s="1116">
        <v>59.762799999999991</v>
      </c>
    </row>
    <row r="20" spans="2:34" ht="14.25" customHeight="1">
      <c r="B20" s="503"/>
      <c r="C20" s="537" t="s">
        <v>255</v>
      </c>
      <c r="D20" s="538"/>
      <c r="E20" s="538"/>
      <c r="F20" s="538"/>
      <c r="G20" s="538"/>
      <c r="H20" s="539" t="s">
        <v>37</v>
      </c>
      <c r="I20" s="550">
        <v>165.92</v>
      </c>
      <c r="J20" s="1435">
        <f>Data!B5</f>
        <v>158.62100000000001</v>
      </c>
      <c r="K20" s="1436">
        <f>Data!C5</f>
        <v>159.36799999999999</v>
      </c>
      <c r="L20" s="801"/>
      <c r="M20" s="802"/>
      <c r="N20" s="551"/>
      <c r="O20" s="552"/>
      <c r="P20" s="551"/>
      <c r="Q20" s="552"/>
      <c r="R20" s="551"/>
      <c r="S20" s="552"/>
      <c r="T20" s="506"/>
      <c r="V20" s="529">
        <v>26</v>
      </c>
      <c r="W20" s="529">
        <v>0.99681560000000002</v>
      </c>
      <c r="X20" s="529">
        <v>0.99860000000000004</v>
      </c>
      <c r="Z20" s="1064">
        <v>10</v>
      </c>
      <c r="AA20" s="1116">
        <v>155.28659999999999</v>
      </c>
      <c r="AB20" s="1065"/>
      <c r="AC20" s="1065"/>
      <c r="AD20" s="1064">
        <v>10</v>
      </c>
      <c r="AE20" s="1116">
        <v>59.003799999999998</v>
      </c>
    </row>
    <row r="21" spans="2:34" ht="14.25" customHeight="1">
      <c r="B21" s="503"/>
      <c r="C21" s="537" t="s">
        <v>256</v>
      </c>
      <c r="D21" s="538"/>
      <c r="E21" s="538"/>
      <c r="F21" s="538"/>
      <c r="G21" s="538"/>
      <c r="H21" s="539" t="s">
        <v>37</v>
      </c>
      <c r="I21" s="550">
        <v>134.66999999999999</v>
      </c>
      <c r="J21" s="1091">
        <f>IF(OR(J17="",J18="",J19="",J20=""),"",((VLOOKUP(J19,$V$11:$X$24,2)/$W$19)*(VLOOKUP(J17,$Z$11:$AA$68,2)-VLOOKUP(J17,$AD$11:$AE$68,2)))+VLOOKUP(J17,$AD$11:$AE$68,2,FALSE))</f>
        <v>152.10219999999998</v>
      </c>
      <c r="K21" s="792">
        <f>IF(OR(K17="",K18="",K19="",K20=""),"",((VLOOKUP(K19,$V$11:$X$24,2)/$W$19)*(VLOOKUP(K17,$Z$11:$AA$68,2)-VLOOKUP(K17,$AD$11:$AE$68,2)))+VLOOKUP(K17,$AD$11:$AE$68,2,FALSE))</f>
        <v>152.85700000000003</v>
      </c>
      <c r="L21" s="803"/>
      <c r="M21" s="804"/>
      <c r="N21" s="554"/>
      <c r="O21" s="555"/>
      <c r="P21" s="554"/>
      <c r="Q21" s="555"/>
      <c r="R21" s="554"/>
      <c r="S21" s="555"/>
      <c r="T21" s="506"/>
      <c r="V21" s="529">
        <v>27</v>
      </c>
      <c r="W21" s="529">
        <v>0.99654509999999996</v>
      </c>
      <c r="X21" s="529">
        <v>0.99829999999999997</v>
      </c>
      <c r="Z21" s="1064">
        <v>11</v>
      </c>
      <c r="AA21" s="1116">
        <v>156.66900000000001</v>
      </c>
      <c r="AB21" s="1065"/>
      <c r="AC21" s="1065"/>
      <c r="AD21" s="1064">
        <v>11</v>
      </c>
      <c r="AE21" s="1116">
        <v>58.2254</v>
      </c>
    </row>
    <row r="22" spans="2:34" ht="14.25" customHeight="1">
      <c r="B22" s="503"/>
      <c r="C22" s="537" t="s">
        <v>257</v>
      </c>
      <c r="D22" s="538"/>
      <c r="E22" s="538"/>
      <c r="F22" s="538"/>
      <c r="G22" s="556"/>
      <c r="H22" s="539" t="s">
        <v>37</v>
      </c>
      <c r="I22" s="557">
        <f>+(I18+I21)-I20</f>
        <v>18.75</v>
      </c>
      <c r="J22" s="1091">
        <f>IF(OR(J17="",J18="",J19="",J20=""),"",J18+(J21-J20))</f>
        <v>3.9351999999999734</v>
      </c>
      <c r="K22" s="792">
        <f>IF(OR(K17="",K18="",K19="",K20=""),"",K18+(K21-K20))</f>
        <v>3.9490000000000336</v>
      </c>
      <c r="L22" s="803"/>
      <c r="M22" s="804"/>
      <c r="N22" s="554"/>
      <c r="O22" s="555"/>
      <c r="P22" s="554"/>
      <c r="Q22" s="555"/>
      <c r="R22" s="554"/>
      <c r="S22" s="555"/>
      <c r="T22" s="506"/>
      <c r="V22" s="529">
        <v>28</v>
      </c>
      <c r="W22" s="529">
        <v>0.99626519999999996</v>
      </c>
      <c r="X22" s="529">
        <v>0.998</v>
      </c>
      <c r="Z22" s="1064">
        <v>12</v>
      </c>
      <c r="AA22" s="1116">
        <v>158.21359999999999</v>
      </c>
      <c r="AB22" s="1065"/>
      <c r="AC22" s="1065"/>
      <c r="AD22" s="1064">
        <v>12</v>
      </c>
      <c r="AE22" s="1116">
        <v>62.667400000000001</v>
      </c>
    </row>
    <row r="23" spans="2:34" ht="14.25" customHeight="1">
      <c r="B23" s="503"/>
      <c r="C23" s="537" t="s">
        <v>258</v>
      </c>
      <c r="D23" s="538"/>
      <c r="E23" s="538"/>
      <c r="F23" s="538"/>
      <c r="G23" s="556"/>
      <c r="H23" s="539"/>
      <c r="I23" s="558">
        <f>+(I18/I22)*(0.99655)</f>
        <v>2.6574666666666666</v>
      </c>
      <c r="J23" s="1091">
        <f>IF(OR(J17="",J18="",J20=""),"",(J18/J22)*(VLOOKUP(J19,$V$11:$X$24,3)))</f>
        <v>2.6536136918072959</v>
      </c>
      <c r="K23" s="792">
        <f>IF(OR(K17="",K18="",K20=""),"",(K18/K22)*(VLOOKUP(K19,$V$11:$X$24,3)))</f>
        <v>2.6458581919473061</v>
      </c>
      <c r="L23" s="805"/>
      <c r="M23" s="806"/>
      <c r="N23" s="559"/>
      <c r="O23" s="560"/>
      <c r="P23" s="559"/>
      <c r="Q23" s="560"/>
      <c r="R23" s="559"/>
      <c r="S23" s="560"/>
      <c r="T23" s="520"/>
      <c r="U23" s="519"/>
      <c r="V23" s="529">
        <v>29</v>
      </c>
      <c r="W23" s="529">
        <v>0.99597610000000003</v>
      </c>
      <c r="X23" s="529">
        <v>0.99770000000000003</v>
      </c>
      <c r="Z23" s="1064">
        <v>13</v>
      </c>
      <c r="AA23" s="1116">
        <v>156.46619999999999</v>
      </c>
      <c r="AB23" s="1065"/>
      <c r="AC23" s="1065"/>
      <c r="AD23" s="1064">
        <v>13</v>
      </c>
      <c r="AE23" s="1116">
        <v>59.295200000000001</v>
      </c>
    </row>
    <row r="24" spans="2:34" ht="14.25" customHeight="1">
      <c r="B24" s="503"/>
      <c r="C24" s="561" t="s">
        <v>259</v>
      </c>
      <c r="D24" s="562"/>
      <c r="E24" s="562"/>
      <c r="F24" s="562"/>
      <c r="G24" s="563"/>
      <c r="H24" s="564"/>
      <c r="I24" s="565"/>
      <c r="J24" s="1092">
        <f>IF(OR(J17="",J18="",J19="",J20=""),"",AVERAGE(J23:K23))</f>
        <v>2.6497359418773012</v>
      </c>
      <c r="K24" s="794"/>
      <c r="L24" s="4246"/>
      <c r="M24" s="4247"/>
      <c r="N24" s="4248"/>
      <c r="O24" s="4249"/>
      <c r="P24" s="4248"/>
      <c r="Q24" s="4249"/>
      <c r="R24" s="4248"/>
      <c r="S24" s="4249"/>
      <c r="T24" s="506"/>
      <c r="U24" s="566"/>
      <c r="V24" s="529">
        <v>30</v>
      </c>
      <c r="W24" s="532">
        <v>0.99567799999999995</v>
      </c>
      <c r="X24" s="532">
        <v>0.99739999999999995</v>
      </c>
      <c r="Y24" s="566"/>
      <c r="Z24" s="1064">
        <v>14</v>
      </c>
      <c r="AA24" s="1116">
        <v>158.0556</v>
      </c>
      <c r="AB24" s="1065"/>
      <c r="AC24" s="1065"/>
      <c r="AD24" s="1064">
        <v>14</v>
      </c>
      <c r="AE24" s="1116">
        <v>61.031600000000005</v>
      </c>
    </row>
    <row r="25" spans="2:34" ht="14.25" customHeight="1">
      <c r="B25" s="567"/>
      <c r="C25" s="523" t="s">
        <v>816</v>
      </c>
      <c r="J25" s="1093"/>
      <c r="K25" s="793"/>
      <c r="L25" s="568"/>
      <c r="M25" s="568"/>
      <c r="N25" s="569"/>
      <c r="O25" s="569"/>
      <c r="P25" s="569"/>
      <c r="Q25" s="569"/>
      <c r="R25" s="569"/>
      <c r="S25" s="569"/>
      <c r="T25" s="506"/>
      <c r="U25" s="566"/>
      <c r="V25" s="502" t="s">
        <v>55</v>
      </c>
      <c r="Y25" s="566"/>
      <c r="Z25" s="1064">
        <v>15</v>
      </c>
      <c r="AA25" s="1116">
        <v>155.1908</v>
      </c>
      <c r="AB25" s="1065"/>
      <c r="AC25" s="1065"/>
      <c r="AD25" s="1064">
        <v>15</v>
      </c>
      <c r="AE25" s="1116">
        <v>60.302599999999998</v>
      </c>
    </row>
    <row r="26" spans="2:34" ht="14.25" customHeight="1">
      <c r="B26" s="503"/>
      <c r="C26" s="533" t="s">
        <v>260</v>
      </c>
      <c r="D26" s="534"/>
      <c r="E26" s="534"/>
      <c r="F26" s="534"/>
      <c r="G26" s="534"/>
      <c r="H26" s="535"/>
      <c r="I26" s="570" t="s">
        <v>261</v>
      </c>
      <c r="J26" s="1433">
        <f>Data!B6</f>
        <v>137</v>
      </c>
      <c r="K26" s="1434">
        <f>Data!C6</f>
        <v>46</v>
      </c>
      <c r="L26" s="799"/>
      <c r="M26" s="800"/>
      <c r="N26" s="548"/>
      <c r="O26" s="549"/>
      <c r="P26" s="548"/>
      <c r="Q26" s="549"/>
      <c r="R26" s="548"/>
      <c r="S26" s="549"/>
      <c r="T26" s="506"/>
      <c r="V26" s="527"/>
      <c r="W26" s="527"/>
      <c r="Z26" s="1064">
        <v>16</v>
      </c>
      <c r="AA26" s="1116">
        <v>159.4982</v>
      </c>
      <c r="AB26" s="1065"/>
      <c r="AC26" s="1065"/>
      <c r="AD26" s="1064">
        <v>16</v>
      </c>
      <c r="AE26" s="1116">
        <v>86.943400000000011</v>
      </c>
    </row>
    <row r="27" spans="2:34" ht="14.25" customHeight="1">
      <c r="B27" s="503"/>
      <c r="C27" s="537" t="s">
        <v>262</v>
      </c>
      <c r="D27" s="538"/>
      <c r="E27" s="538"/>
      <c r="F27" s="538"/>
      <c r="G27" s="538"/>
      <c r="H27" s="539" t="s">
        <v>37</v>
      </c>
      <c r="I27" s="571">
        <v>203.12</v>
      </c>
      <c r="J27" s="1435">
        <f>Data!B7</f>
        <v>96.888000000000005</v>
      </c>
      <c r="K27" s="1436">
        <f>Data!C7</f>
        <v>105.404</v>
      </c>
      <c r="L27" s="801"/>
      <c r="M27" s="802"/>
      <c r="N27" s="551"/>
      <c r="O27" s="552"/>
      <c r="P27" s="551"/>
      <c r="Q27" s="552"/>
      <c r="R27" s="551"/>
      <c r="S27" s="552"/>
      <c r="T27" s="506"/>
      <c r="U27" s="566"/>
      <c r="Y27" s="566"/>
      <c r="Z27" s="1064">
        <v>17</v>
      </c>
      <c r="AA27" s="1117">
        <v>155.96560000000002</v>
      </c>
      <c r="AD27" s="1064">
        <v>17</v>
      </c>
      <c r="AE27" s="1117">
        <v>59.367200000000004</v>
      </c>
      <c r="AG27" s="502">
        <f>60.14-7.47</f>
        <v>52.67</v>
      </c>
      <c r="AH27" s="502">
        <f>AG27/31.865</f>
        <v>1.652910717087714</v>
      </c>
    </row>
    <row r="28" spans="2:34" ht="14.25" customHeight="1">
      <c r="B28" s="503"/>
      <c r="C28" s="537" t="s">
        <v>263</v>
      </c>
      <c r="D28" s="538"/>
      <c r="E28" s="538"/>
      <c r="F28" s="538"/>
      <c r="G28" s="538"/>
      <c r="H28" s="539" t="s">
        <v>37</v>
      </c>
      <c r="I28" s="571">
        <v>166.84</v>
      </c>
      <c r="J28" s="1435">
        <f>Data!B8</f>
        <v>70.671000000000006</v>
      </c>
      <c r="K28" s="1436">
        <f>Data!C8</f>
        <v>75.590999999999994</v>
      </c>
      <c r="L28" s="807"/>
      <c r="M28" s="808"/>
      <c r="N28" s="573"/>
      <c r="O28" s="574"/>
      <c r="P28" s="573"/>
      <c r="Q28" s="574"/>
      <c r="R28" s="573"/>
      <c r="S28" s="574"/>
      <c r="T28" s="506"/>
      <c r="Z28" s="1064">
        <v>18</v>
      </c>
      <c r="AA28" s="1117">
        <v>157.4324</v>
      </c>
      <c r="AD28" s="1064">
        <v>18</v>
      </c>
      <c r="AE28" s="1117">
        <v>59.684199999999997</v>
      </c>
      <c r="AG28" s="502">
        <f>51.74-7.47</f>
        <v>44.27</v>
      </c>
    </row>
    <row r="29" spans="2:34" ht="14.25" customHeight="1">
      <c r="B29" s="503"/>
      <c r="C29" s="537" t="s">
        <v>264</v>
      </c>
      <c r="D29" s="538"/>
      <c r="E29" s="538"/>
      <c r="F29" s="538"/>
      <c r="G29" s="556"/>
      <c r="H29" s="539" t="s">
        <v>37</v>
      </c>
      <c r="I29" s="575">
        <v>45.87</v>
      </c>
      <c r="J29" s="1435">
        <f>IFERROR(VLOOKUP(J26,ATB!$AN$9:$AO$212,2,0),"")</f>
        <v>11.711</v>
      </c>
      <c r="K29" s="1436">
        <f>IFERROR(VLOOKUP(K26,ATB!$AN$9:$AO$212,2,0),"")</f>
        <v>9.01</v>
      </c>
      <c r="L29" s="801"/>
      <c r="M29" s="802"/>
      <c r="N29" s="551"/>
      <c r="O29" s="552"/>
      <c r="P29" s="551"/>
      <c r="Q29" s="552"/>
      <c r="R29" s="551"/>
      <c r="S29" s="552"/>
      <c r="T29" s="506"/>
      <c r="Z29" s="1064">
        <v>19</v>
      </c>
      <c r="AA29" s="1117">
        <v>156.4718</v>
      </c>
      <c r="AD29" s="1064">
        <v>19</v>
      </c>
      <c r="AE29" s="1117">
        <v>59.994399999999999</v>
      </c>
      <c r="AG29" s="502">
        <f>((AG27-AG28)/AG28)*100</f>
        <v>18.974474813643546</v>
      </c>
    </row>
    <row r="30" spans="2:34" ht="14.25" customHeight="1">
      <c r="B30" s="503"/>
      <c r="C30" s="537" t="s">
        <v>265</v>
      </c>
      <c r="D30" s="538"/>
      <c r="E30" s="538"/>
      <c r="F30" s="538"/>
      <c r="G30" s="556"/>
      <c r="H30" s="539" t="s">
        <v>37</v>
      </c>
      <c r="I30" s="575">
        <f>I27-I28</f>
        <v>36.28</v>
      </c>
      <c r="J30" s="1091">
        <f>IF(OR(J26="",J27="",J28="",J29=""),"",J27-J28)</f>
        <v>26.216999999999999</v>
      </c>
      <c r="K30" s="792">
        <f>IF(OR(K26="",K27="",K28="",K29=""),"",K27-K28)</f>
        <v>29.813000000000002</v>
      </c>
      <c r="L30" s="803"/>
      <c r="M30" s="804"/>
      <c r="N30" s="554"/>
      <c r="O30" s="555"/>
      <c r="P30" s="554"/>
      <c r="Q30" s="555"/>
      <c r="R30" s="554"/>
      <c r="S30" s="555"/>
      <c r="T30" s="506"/>
      <c r="Z30" s="1064">
        <v>20</v>
      </c>
      <c r="AA30" s="1117">
        <v>127.3896</v>
      </c>
      <c r="AD30" s="1064">
        <v>20</v>
      </c>
      <c r="AE30" s="1117">
        <v>40.2316</v>
      </c>
    </row>
    <row r="31" spans="2:34" ht="14.25" customHeight="1">
      <c r="B31" s="503"/>
      <c r="C31" s="537" t="s">
        <v>266</v>
      </c>
      <c r="D31" s="538"/>
      <c r="E31" s="538"/>
      <c r="F31" s="538"/>
      <c r="G31" s="556"/>
      <c r="H31" s="539" t="s">
        <v>37</v>
      </c>
      <c r="I31" s="575">
        <f>+I28-I29</f>
        <v>120.97</v>
      </c>
      <c r="J31" s="1091">
        <f>IF(OR(J26="",J27="",J28="",J29=""),"",J28-J29)</f>
        <v>58.960000000000008</v>
      </c>
      <c r="K31" s="792">
        <f>IF(OR(K26="",K27="",K28="",K29=""),"",K28-K29)</f>
        <v>66.580999999999989</v>
      </c>
      <c r="L31" s="803"/>
      <c r="M31" s="804"/>
      <c r="N31" s="554"/>
      <c r="O31" s="555"/>
      <c r="P31" s="554"/>
      <c r="Q31" s="555"/>
      <c r="R31" s="554"/>
      <c r="S31" s="555"/>
      <c r="T31" s="506"/>
      <c r="V31" s="576"/>
      <c r="Z31" s="532"/>
      <c r="AA31" s="572"/>
      <c r="AD31" s="532"/>
      <c r="AE31" s="572"/>
    </row>
    <row r="32" spans="2:34" ht="14.25" customHeight="1">
      <c r="B32" s="503"/>
      <c r="C32" s="537" t="s">
        <v>267</v>
      </c>
      <c r="D32" s="538"/>
      <c r="E32" s="538"/>
      <c r="F32" s="538"/>
      <c r="G32" s="556"/>
      <c r="H32" s="577" t="s">
        <v>1</v>
      </c>
      <c r="I32" s="575">
        <f>+(I30/I31)*100</f>
        <v>29.990906836405724</v>
      </c>
      <c r="J32" s="1091">
        <f>IF(OR(J26="",J27="",J28="",J29=""),"",(J30/J31)*100)</f>
        <v>44.465739484396195</v>
      </c>
      <c r="K32" s="792">
        <f>IF(OR(K26="",K27="",K28="",K29=""),"",(K30/K31)*100)</f>
        <v>44.777038494465401</v>
      </c>
      <c r="L32" s="803"/>
      <c r="M32" s="804"/>
      <c r="N32" s="554"/>
      <c r="O32" s="555"/>
      <c r="P32" s="554"/>
      <c r="Q32" s="555"/>
      <c r="R32" s="554"/>
      <c r="S32" s="555"/>
      <c r="T32" s="506"/>
      <c r="Z32" s="532"/>
      <c r="AA32" s="572"/>
      <c r="AD32" s="532"/>
      <c r="AE32" s="572"/>
    </row>
    <row r="33" spans="2:31" ht="14.25" customHeight="1">
      <c r="B33" s="503"/>
      <c r="C33" s="561" t="s">
        <v>268</v>
      </c>
      <c r="D33" s="562"/>
      <c r="E33" s="562"/>
      <c r="F33" s="562"/>
      <c r="G33" s="563"/>
      <c r="H33" s="578" t="s">
        <v>1</v>
      </c>
      <c r="I33" s="579"/>
      <c r="J33" s="1092">
        <f>IF(OR(J26="",J27="",J28="",J29=""),"",AVERAGE(J32:K32))</f>
        <v>44.621388989430798</v>
      </c>
      <c r="K33" s="794"/>
      <c r="L33" s="4250"/>
      <c r="M33" s="4251"/>
      <c r="N33" s="4252"/>
      <c r="O33" s="4253"/>
      <c r="P33" s="4252"/>
      <c r="Q33" s="4253"/>
      <c r="R33" s="4252"/>
      <c r="S33" s="4253"/>
      <c r="T33" s="580"/>
      <c r="U33" s="581"/>
      <c r="V33" s="581"/>
      <c r="W33" s="581"/>
      <c r="X33" s="581"/>
      <c r="Y33" s="566"/>
      <c r="Z33" s="1064"/>
      <c r="AA33" s="1116">
        <v>152.10219999999998</v>
      </c>
      <c r="AB33" s="1065"/>
      <c r="AC33" s="1065"/>
      <c r="AD33" s="1064"/>
      <c r="AE33" s="1116">
        <v>52.9908</v>
      </c>
    </row>
    <row r="34" spans="2:31" ht="14.25" customHeight="1">
      <c r="B34" s="503"/>
      <c r="C34" s="523" t="s">
        <v>817</v>
      </c>
      <c r="G34" s="527"/>
      <c r="H34" s="582"/>
      <c r="I34" s="582"/>
      <c r="J34" s="1094"/>
      <c r="K34" s="584"/>
      <c r="L34" s="583"/>
      <c r="M34" s="584"/>
      <c r="N34" s="585"/>
      <c r="O34" s="586"/>
      <c r="P34" s="585"/>
      <c r="Q34" s="586"/>
      <c r="R34" s="585"/>
      <c r="S34" s="586"/>
      <c r="T34" s="587"/>
      <c r="U34" s="588"/>
      <c r="V34" s="588"/>
      <c r="W34" s="588"/>
      <c r="X34" s="588"/>
      <c r="Y34" s="566"/>
      <c r="Z34" s="2736"/>
      <c r="AA34" s="2737">
        <v>152.85700000000003</v>
      </c>
      <c r="AB34" s="1065"/>
      <c r="AC34" s="1065"/>
      <c r="AD34" s="2736"/>
      <c r="AE34" s="2737">
        <v>53.7774</v>
      </c>
    </row>
    <row r="35" spans="2:31" ht="14.25" customHeight="1">
      <c r="B35" s="503"/>
      <c r="C35" s="533" t="s">
        <v>269</v>
      </c>
      <c r="D35" s="534"/>
      <c r="E35" s="534"/>
      <c r="F35" s="534"/>
      <c r="G35" s="589"/>
      <c r="H35" s="590"/>
      <c r="I35" s="591"/>
      <c r="J35" s="1444">
        <f>Data!B9</f>
        <v>1</v>
      </c>
      <c r="K35" s="1446"/>
      <c r="L35" s="809"/>
      <c r="M35" s="810"/>
      <c r="N35" s="592"/>
      <c r="O35" s="593"/>
      <c r="P35" s="592"/>
      <c r="Q35" s="593"/>
      <c r="R35" s="592"/>
      <c r="S35" s="593"/>
      <c r="T35" s="587"/>
      <c r="U35" s="588"/>
      <c r="V35" s="588"/>
      <c r="W35" s="588"/>
      <c r="X35" s="588"/>
      <c r="Y35" s="566"/>
      <c r="Z35" s="532"/>
      <c r="AA35" s="572"/>
      <c r="AD35" s="532"/>
      <c r="AE35" s="572"/>
    </row>
    <row r="36" spans="2:31" ht="14.25" customHeight="1">
      <c r="B36" s="503"/>
      <c r="C36" s="537" t="s">
        <v>270</v>
      </c>
      <c r="D36" s="538"/>
      <c r="E36" s="538"/>
      <c r="F36" s="538"/>
      <c r="G36" s="556"/>
      <c r="H36" s="539" t="s">
        <v>37</v>
      </c>
      <c r="I36" s="594"/>
      <c r="J36" s="1445">
        <f>Data!B10</f>
        <v>94.968999999999994</v>
      </c>
      <c r="K36" s="1447"/>
      <c r="L36" s="601"/>
      <c r="M36" s="811"/>
      <c r="N36" s="595"/>
      <c r="O36" s="596"/>
      <c r="P36" s="595"/>
      <c r="Q36" s="596"/>
      <c r="R36" s="595"/>
      <c r="S36" s="596"/>
      <c r="T36" s="587"/>
      <c r="U36" s="588"/>
      <c r="V36" s="588"/>
      <c r="W36" s="588"/>
      <c r="X36" s="588"/>
      <c r="Y36" s="566"/>
      <c r="Z36" s="532"/>
      <c r="AA36" s="572"/>
      <c r="AD36" s="532"/>
      <c r="AE36" s="529"/>
    </row>
    <row r="37" spans="2:31" ht="14.25" customHeight="1">
      <c r="B37" s="503"/>
      <c r="C37" s="537" t="s">
        <v>271</v>
      </c>
      <c r="D37" s="538"/>
      <c r="E37" s="538"/>
      <c r="F37" s="538"/>
      <c r="G37" s="538"/>
      <c r="H37" s="539" t="s">
        <v>37</v>
      </c>
      <c r="I37" s="594"/>
      <c r="J37" s="1095">
        <f>IF(OR(J35="",J36=""),"",VLOOKUP(J35,$J$50:$L$110,2,FALSE))</f>
        <v>36.499000000000002</v>
      </c>
      <c r="K37" s="795"/>
      <c r="L37" s="597"/>
      <c r="M37" s="598"/>
      <c r="N37" s="599"/>
      <c r="O37" s="600"/>
      <c r="P37" s="599"/>
      <c r="Q37" s="600"/>
      <c r="R37" s="599"/>
      <c r="S37" s="600"/>
      <c r="T37" s="587"/>
      <c r="U37" s="588"/>
      <c r="V37" s="588"/>
      <c r="W37" s="588"/>
      <c r="X37" s="588"/>
      <c r="Y37" s="566"/>
      <c r="Z37" s="532"/>
      <c r="AA37" s="572"/>
      <c r="AD37" s="532"/>
      <c r="AE37" s="529"/>
    </row>
    <row r="38" spans="2:31" ht="14.25" customHeight="1">
      <c r="B38" s="503"/>
      <c r="C38" s="537" t="s">
        <v>272</v>
      </c>
      <c r="D38" s="538"/>
      <c r="E38" s="538"/>
      <c r="F38" s="538"/>
      <c r="G38" s="538"/>
      <c r="H38" s="539" t="s">
        <v>273</v>
      </c>
      <c r="I38" s="594"/>
      <c r="J38" s="1095">
        <f>IF(OR(J35="",J36=""),"",VLOOKUP(J35,$J$50:$L$69,3,FALSE))</f>
        <v>34.70071298263835</v>
      </c>
      <c r="K38" s="795"/>
      <c r="L38" s="601"/>
      <c r="M38" s="598"/>
      <c r="N38" s="601"/>
      <c r="O38" s="598"/>
      <c r="P38" s="601"/>
      <c r="Q38" s="598"/>
      <c r="R38" s="601"/>
      <c r="S38" s="598"/>
      <c r="T38" s="587"/>
      <c r="U38" s="588"/>
      <c r="V38" s="588"/>
      <c r="W38" s="588"/>
      <c r="X38" s="588"/>
      <c r="Y38" s="566"/>
      <c r="Z38" s="1066"/>
      <c r="AA38" s="1067"/>
      <c r="AB38" s="1068"/>
      <c r="AC38" s="1068"/>
      <c r="AD38" s="1066"/>
      <c r="AE38" s="1067"/>
    </row>
    <row r="39" spans="2:31" ht="14.25" customHeight="1">
      <c r="B39" s="503"/>
      <c r="C39" s="561" t="s">
        <v>274</v>
      </c>
      <c r="D39" s="562"/>
      <c r="E39" s="562"/>
      <c r="F39" s="562"/>
      <c r="G39" s="562"/>
      <c r="H39" s="602" t="s">
        <v>275</v>
      </c>
      <c r="I39" s="603"/>
      <c r="J39" s="1092">
        <f>IF(OR(J35="",J36=""),"",(J36-J37)/J38)</f>
        <v>1.684979787857789</v>
      </c>
      <c r="K39" s="796"/>
      <c r="L39" s="604"/>
      <c r="M39" s="605"/>
      <c r="N39" s="604"/>
      <c r="O39" s="605"/>
      <c r="P39" s="604"/>
      <c r="Q39" s="605"/>
      <c r="R39" s="604"/>
      <c r="S39" s="605"/>
      <c r="T39" s="587"/>
      <c r="U39" s="588"/>
      <c r="V39" s="588"/>
      <c r="W39" s="588"/>
      <c r="X39" s="588"/>
      <c r="Y39" s="566"/>
      <c r="Z39" s="1066"/>
      <c r="AA39" s="1067"/>
      <c r="AB39" s="1068"/>
      <c r="AC39" s="1068"/>
      <c r="AD39" s="1066"/>
      <c r="AE39" s="1067"/>
    </row>
    <row r="40" spans="2:31" ht="14.25" customHeight="1">
      <c r="B40" s="503"/>
      <c r="H40" s="527"/>
      <c r="I40" s="606"/>
      <c r="J40" s="1096"/>
      <c r="K40" s="607"/>
      <c r="L40" s="607"/>
      <c r="M40" s="607"/>
      <c r="N40" s="607"/>
      <c r="O40" s="607"/>
      <c r="P40" s="607"/>
      <c r="Q40" s="607"/>
      <c r="R40" s="607"/>
      <c r="S40" s="607"/>
      <c r="T40" s="587"/>
      <c r="U40" s="588"/>
      <c r="V40" s="588"/>
      <c r="W40" s="588"/>
      <c r="X40" s="588"/>
      <c r="Y40" s="566"/>
      <c r="Z40" s="1066"/>
      <c r="AA40" s="1067"/>
      <c r="AB40" s="1068"/>
      <c r="AC40" s="1068"/>
      <c r="AD40" s="1066"/>
      <c r="AE40" s="1067"/>
    </row>
    <row r="41" spans="2:31" ht="14.25" customHeight="1">
      <c r="B41" s="503"/>
      <c r="C41" s="533" t="s">
        <v>276</v>
      </c>
      <c r="D41" s="534"/>
      <c r="E41" s="534"/>
      <c r="F41" s="534"/>
      <c r="G41" s="534"/>
      <c r="H41" s="590" t="s">
        <v>275</v>
      </c>
      <c r="I41" s="608"/>
      <c r="J41" s="1097">
        <f>IF(OR(J33="",J35="",J36=""),"",J39/(1+(J33/100)))</f>
        <v>1.1650972236070354</v>
      </c>
      <c r="K41" s="797"/>
      <c r="L41" s="609"/>
      <c r="M41" s="610"/>
      <c r="N41" s="609"/>
      <c r="O41" s="610"/>
      <c r="P41" s="609"/>
      <c r="Q41" s="610"/>
      <c r="R41" s="609"/>
      <c r="S41" s="610"/>
      <c r="T41" s="587"/>
      <c r="U41" s="611"/>
      <c r="V41" s="611"/>
      <c r="W41" s="611"/>
      <c r="X41" s="611"/>
      <c r="Z41" s="1066"/>
      <c r="AA41" s="1067"/>
      <c r="AB41" s="1068"/>
      <c r="AC41" s="1068"/>
      <c r="AD41" s="1066"/>
      <c r="AE41" s="1067"/>
    </row>
    <row r="42" spans="2:31" ht="14.25" customHeight="1">
      <c r="B42" s="503"/>
      <c r="C42" s="537" t="s">
        <v>277</v>
      </c>
      <c r="D42" s="538"/>
      <c r="E42" s="538"/>
      <c r="F42" s="538"/>
      <c r="G42" s="538"/>
      <c r="H42" s="539"/>
      <c r="I42" s="612"/>
      <c r="J42" s="1098">
        <f>IF(OR(J24="",J33="",J35="",J36=""),"",((J24*1)/J41)-1)</f>
        <v>1.2742616566143372</v>
      </c>
      <c r="K42" s="798"/>
      <c r="L42" s="613"/>
      <c r="M42" s="614"/>
      <c r="N42" s="613"/>
      <c r="O42" s="614"/>
      <c r="P42" s="613"/>
      <c r="Q42" s="614"/>
      <c r="R42" s="613"/>
      <c r="S42" s="614"/>
      <c r="T42" s="587"/>
      <c r="U42" s="611"/>
      <c r="V42" s="611"/>
      <c r="W42" s="611"/>
      <c r="X42" s="611"/>
      <c r="Z42" s="1066"/>
      <c r="AA42" s="1067"/>
      <c r="AB42" s="1068"/>
      <c r="AC42" s="1068"/>
      <c r="AD42" s="1066"/>
      <c r="AE42" s="1067"/>
    </row>
    <row r="43" spans="2:31" ht="14.25" customHeight="1">
      <c r="B43" s="503"/>
      <c r="C43" s="537" t="s">
        <v>278</v>
      </c>
      <c r="D43" s="538"/>
      <c r="E43" s="538"/>
      <c r="F43" s="538"/>
      <c r="G43" s="538"/>
      <c r="H43" s="539"/>
      <c r="I43" s="612"/>
      <c r="J43" s="1098">
        <f>IF(OR(J33="",J35="",J36="",J42=""),"",J42/(1+J42))</f>
        <v>0.56029685630426251</v>
      </c>
      <c r="K43" s="798"/>
      <c r="L43" s="613"/>
      <c r="M43" s="614"/>
      <c r="N43" s="613"/>
      <c r="O43" s="614"/>
      <c r="P43" s="613"/>
      <c r="Q43" s="614"/>
      <c r="R43" s="613"/>
      <c r="S43" s="614"/>
      <c r="T43" s="615"/>
      <c r="U43" s="582"/>
      <c r="Z43" s="1066"/>
      <c r="AA43" s="1067"/>
      <c r="AB43" s="1068"/>
      <c r="AC43" s="1068"/>
      <c r="AD43" s="1066"/>
      <c r="AE43" s="1067"/>
    </row>
    <row r="44" spans="2:31" ht="14.25" customHeight="1">
      <c r="B44" s="503"/>
      <c r="C44" s="561" t="s">
        <v>279</v>
      </c>
      <c r="D44" s="562"/>
      <c r="E44" s="562"/>
      <c r="F44" s="562"/>
      <c r="G44" s="562"/>
      <c r="H44" s="602" t="s">
        <v>1</v>
      </c>
      <c r="I44" s="603"/>
      <c r="J44" s="1092">
        <f>IF(OR(J33="",J35="",J36="",J45=""),"",IF(J45&gt;=100,100,J45))</f>
        <v>92.786985756071715</v>
      </c>
      <c r="K44" s="796"/>
      <c r="L44" s="616"/>
      <c r="M44" s="605"/>
      <c r="N44" s="616"/>
      <c r="O44" s="605"/>
      <c r="P44" s="616"/>
      <c r="Q44" s="605"/>
      <c r="R44" s="616"/>
      <c r="S44" s="605"/>
      <c r="T44" s="615"/>
      <c r="U44" s="617"/>
      <c r="V44" s="582"/>
      <c r="W44" s="582"/>
      <c r="X44" s="582"/>
      <c r="Y44" s="582"/>
      <c r="Z44" s="1066"/>
      <c r="AA44" s="1067"/>
      <c r="AB44" s="1068"/>
      <c r="AC44" s="1068"/>
      <c r="AD44" s="1066"/>
      <c r="AE44" s="1067"/>
    </row>
    <row r="45" spans="2:31" ht="14.25" customHeight="1">
      <c r="B45" s="503"/>
      <c r="J45" s="1069">
        <f>IF(OR(J24="",J33="",J35="",J36=""),"",(J33*J24)/J42)</f>
        <v>92.786985756071715</v>
      </c>
      <c r="K45" s="568"/>
      <c r="L45" s="618" t="str">
        <f>IF(OR(L24="",L33="",L35="",L36=""),"",(L33*L24)/L42)</f>
        <v/>
      </c>
      <c r="M45" s="568"/>
      <c r="N45" s="618"/>
      <c r="O45" s="568"/>
      <c r="P45" s="618"/>
      <c r="Q45" s="568"/>
      <c r="R45" s="618"/>
      <c r="S45" s="568"/>
      <c r="T45" s="506"/>
      <c r="V45" s="617"/>
      <c r="W45" s="617"/>
      <c r="X45" s="617"/>
      <c r="Y45" s="617"/>
      <c r="Z45" s="1066"/>
      <c r="AA45" s="1067"/>
      <c r="AB45" s="1068"/>
      <c r="AC45" s="1068"/>
      <c r="AD45" s="1066"/>
      <c r="AE45" s="1067"/>
    </row>
    <row r="46" spans="2:31" ht="14.25" customHeight="1">
      <c r="B46" s="513"/>
      <c r="C46" s="505"/>
      <c r="D46" s="505"/>
      <c r="E46" s="505"/>
      <c r="F46" s="505"/>
      <c r="G46" s="505"/>
      <c r="H46" s="505"/>
      <c r="I46" s="505"/>
      <c r="J46" s="1070"/>
      <c r="K46" s="505"/>
      <c r="L46" s="505"/>
      <c r="M46" s="505"/>
      <c r="N46" s="505"/>
      <c r="O46" s="505"/>
      <c r="P46" s="505"/>
      <c r="Q46" s="505"/>
      <c r="R46" s="505"/>
      <c r="S46" s="505"/>
      <c r="T46" s="515"/>
      <c r="Z46" s="1066"/>
      <c r="AA46" s="1067"/>
      <c r="AB46" s="1068"/>
      <c r="AC46" s="1068"/>
      <c r="AD46" s="1066"/>
      <c r="AE46" s="1067"/>
    </row>
    <row r="47" spans="2:31">
      <c r="T47" s="527"/>
      <c r="Z47" s="1066"/>
      <c r="AA47" s="1067"/>
      <c r="AB47" s="1068"/>
      <c r="AC47" s="1068"/>
      <c r="AD47" s="1066"/>
      <c r="AE47" s="1067"/>
    </row>
    <row r="48" spans="2:31">
      <c r="J48" s="1062" t="s">
        <v>280</v>
      </c>
      <c r="K48" s="519"/>
      <c r="L48" s="519"/>
      <c r="Z48" s="1066"/>
      <c r="AA48" s="1067"/>
      <c r="AB48" s="1068"/>
      <c r="AC48" s="1068"/>
      <c r="AD48" s="1066"/>
      <c r="AE48" s="1067"/>
    </row>
    <row r="49" spans="10:31">
      <c r="J49" s="1071" t="s">
        <v>281</v>
      </c>
      <c r="K49" s="522" t="s">
        <v>245</v>
      </c>
      <c r="L49" s="522" t="s">
        <v>282</v>
      </c>
      <c r="N49" s="1072" t="s">
        <v>283</v>
      </c>
      <c r="O49" s="1072"/>
      <c r="P49" s="4241">
        <v>45818</v>
      </c>
      <c r="Q49" s="4241"/>
      <c r="R49" s="281"/>
      <c r="S49" s="281"/>
      <c r="Z49" s="1066"/>
      <c r="AA49" s="1067"/>
      <c r="AB49" s="1068"/>
      <c r="AC49" s="1068"/>
      <c r="AD49" s="1066"/>
      <c r="AE49" s="1067"/>
    </row>
    <row r="50" spans="10:31" ht="16.5" thickBot="1">
      <c r="J50" s="1073">
        <v>1</v>
      </c>
      <c r="K50" s="619">
        <f>Q54</f>
        <v>36.499000000000002</v>
      </c>
      <c r="L50" s="620">
        <f>S54</f>
        <v>34.70071298263835</v>
      </c>
      <c r="N50" s="281"/>
      <c r="O50" s="281"/>
      <c r="P50" s="281"/>
      <c r="Q50" s="281"/>
      <c r="R50" s="281"/>
      <c r="S50" s="281"/>
      <c r="Z50" s="1066"/>
      <c r="AA50" s="1067"/>
      <c r="AB50" s="1068"/>
      <c r="AC50" s="1068"/>
      <c r="AD50" s="1066"/>
      <c r="AE50" s="1067"/>
    </row>
    <row r="51" spans="10:31">
      <c r="J51" s="1073">
        <v>2</v>
      </c>
      <c r="K51" s="619">
        <f t="shared" ref="K51:K112" si="0">Q55</f>
        <v>36.805</v>
      </c>
      <c r="L51" s="620">
        <f t="shared" ref="L51:L112" si="1">S55</f>
        <v>35.056617731178228</v>
      </c>
      <c r="N51" s="4242" t="s">
        <v>284</v>
      </c>
      <c r="O51" s="4244" t="s">
        <v>12</v>
      </c>
      <c r="P51" s="4244" t="s">
        <v>285</v>
      </c>
      <c r="Q51" s="4244" t="s">
        <v>286</v>
      </c>
      <c r="R51" s="4244" t="s">
        <v>167</v>
      </c>
      <c r="S51" s="4239" t="s">
        <v>287</v>
      </c>
      <c r="Z51" s="1066"/>
      <c r="AA51" s="1067"/>
      <c r="AB51" s="1068"/>
      <c r="AC51" s="1068"/>
      <c r="AD51" s="1066"/>
      <c r="AE51" s="1067"/>
    </row>
    <row r="52" spans="10:31">
      <c r="J52" s="1073">
        <v>3</v>
      </c>
      <c r="K52" s="619">
        <f t="shared" si="0"/>
        <v>36.847000000000001</v>
      </c>
      <c r="L52" s="620">
        <f t="shared" si="1"/>
        <v>34.878665356908293</v>
      </c>
      <c r="N52" s="4243"/>
      <c r="O52" s="4245"/>
      <c r="P52" s="4245"/>
      <c r="Q52" s="4245"/>
      <c r="R52" s="4245"/>
      <c r="S52" s="4240"/>
      <c r="Z52" s="1066"/>
      <c r="AA52" s="1067"/>
      <c r="AB52" s="1068"/>
      <c r="AC52" s="1068"/>
      <c r="AD52" s="1066"/>
      <c r="AE52" s="1067"/>
    </row>
    <row r="53" spans="10:31" ht="21.75" thickBot="1">
      <c r="J53" s="1073">
        <v>4</v>
      </c>
      <c r="K53" s="619">
        <f t="shared" si="0"/>
        <v>36.923999999999999</v>
      </c>
      <c r="L53" s="620">
        <f t="shared" si="1"/>
        <v>35.234570105448178</v>
      </c>
      <c r="N53" s="1074" t="s">
        <v>60</v>
      </c>
      <c r="O53" s="1075" t="s">
        <v>288</v>
      </c>
      <c r="P53" s="1076" t="s">
        <v>288</v>
      </c>
      <c r="Q53" s="1075" t="s">
        <v>289</v>
      </c>
      <c r="R53" s="1075" t="s">
        <v>807</v>
      </c>
      <c r="S53" s="1077" t="s">
        <v>808</v>
      </c>
      <c r="Z53" s="1066"/>
      <c r="AA53" s="1067"/>
      <c r="AB53" s="1068"/>
      <c r="AC53" s="1068"/>
      <c r="AD53" s="1066"/>
      <c r="AE53" s="1067"/>
    </row>
    <row r="54" spans="10:31" ht="18.75">
      <c r="J54" s="1073">
        <v>5</v>
      </c>
      <c r="K54" s="619">
        <f t="shared" si="0"/>
        <v>37.892000000000003</v>
      </c>
      <c r="L54" s="620">
        <f t="shared" si="1"/>
        <v>36.124331976797876</v>
      </c>
      <c r="N54" s="1078">
        <v>1</v>
      </c>
      <c r="O54" s="1079">
        <v>47.6</v>
      </c>
      <c r="P54" s="1080">
        <v>19.5</v>
      </c>
      <c r="Q54" s="1081">
        <v>36.499000000000002</v>
      </c>
      <c r="R54" s="1402">
        <f t="shared" ref="R54:R60" si="2">IF(OR(O54=""),"",PI()*(O54/2)^2)</f>
        <v>1779.5237426994026</v>
      </c>
      <c r="S54" s="1083">
        <f>IF(OR(O54="",P54=""),"",R54*P54/1000)</f>
        <v>34.70071298263835</v>
      </c>
      <c r="Z54" s="532"/>
      <c r="AA54" s="572"/>
      <c r="AD54" s="532"/>
      <c r="AE54" s="572"/>
    </row>
    <row r="55" spans="10:31" ht="18.75">
      <c r="J55" s="1073">
        <v>6</v>
      </c>
      <c r="K55" s="619">
        <f t="shared" si="0"/>
        <v>36.616999999999997</v>
      </c>
      <c r="L55" s="620">
        <f t="shared" si="1"/>
        <v>34.878665356908293</v>
      </c>
      <c r="N55" s="1078">
        <v>2</v>
      </c>
      <c r="O55" s="1079">
        <v>47.6</v>
      </c>
      <c r="P55" s="1080">
        <v>19.7</v>
      </c>
      <c r="Q55" s="1081">
        <v>36.805</v>
      </c>
      <c r="R55" s="1402">
        <f t="shared" si="2"/>
        <v>1779.5237426994026</v>
      </c>
      <c r="S55" s="1083">
        <f t="shared" ref="S55:S60" si="3">IF(OR(O55="",P55=""),"",R55*P55/1000)</f>
        <v>35.056617731178228</v>
      </c>
      <c r="Z55" s="532"/>
      <c r="AA55" s="572"/>
      <c r="AD55" s="532"/>
      <c r="AE55" s="572"/>
    </row>
    <row r="56" spans="10:31" ht="18.75">
      <c r="J56" s="1073">
        <v>7</v>
      </c>
      <c r="K56" s="619">
        <f t="shared" si="0"/>
        <v>37.048000000000002</v>
      </c>
      <c r="L56" s="620">
        <f t="shared" si="1"/>
        <v>35.234570105448178</v>
      </c>
      <c r="N56" s="1078">
        <v>3</v>
      </c>
      <c r="O56" s="1079">
        <v>47.6</v>
      </c>
      <c r="P56" s="1080">
        <v>19.600000000000001</v>
      </c>
      <c r="Q56" s="1081">
        <v>36.847000000000001</v>
      </c>
      <c r="R56" s="1402">
        <f t="shared" si="2"/>
        <v>1779.5237426994026</v>
      </c>
      <c r="S56" s="1083">
        <f t="shared" si="3"/>
        <v>34.878665356908293</v>
      </c>
      <c r="Z56" s="532"/>
      <c r="AA56" s="572"/>
      <c r="AD56" s="532"/>
      <c r="AE56" s="572"/>
    </row>
    <row r="57" spans="10:31" ht="18.75">
      <c r="J57" s="1073">
        <v>8</v>
      </c>
      <c r="K57" s="619">
        <f t="shared" si="0"/>
        <v>38.21</v>
      </c>
      <c r="L57" s="620">
        <f t="shared" si="1"/>
        <v>42.634577881054753</v>
      </c>
      <c r="N57" s="1078">
        <v>4</v>
      </c>
      <c r="O57" s="1079">
        <v>47.6</v>
      </c>
      <c r="P57" s="1080">
        <v>19.8</v>
      </c>
      <c r="Q57" s="1081">
        <v>36.923999999999999</v>
      </c>
      <c r="R57" s="1402">
        <f t="shared" si="2"/>
        <v>1779.5237426994026</v>
      </c>
      <c r="S57" s="1083">
        <f t="shared" si="3"/>
        <v>35.234570105448178</v>
      </c>
      <c r="Z57" s="532"/>
      <c r="AA57" s="572"/>
      <c r="AD57" s="532"/>
      <c r="AE57" s="572"/>
    </row>
    <row r="58" spans="10:31" ht="18.75">
      <c r="J58" s="1073">
        <v>9</v>
      </c>
      <c r="K58" s="619">
        <f t="shared" si="0"/>
        <v>39.840000000000003</v>
      </c>
      <c r="L58" s="620">
        <f t="shared" si="1"/>
        <v>42.839060268973483</v>
      </c>
      <c r="N58" s="1078">
        <v>5</v>
      </c>
      <c r="O58" s="1079">
        <v>47.6</v>
      </c>
      <c r="P58" s="1080">
        <v>20.3</v>
      </c>
      <c r="Q58" s="1081">
        <v>37.892000000000003</v>
      </c>
      <c r="R58" s="1402">
        <f t="shared" si="2"/>
        <v>1779.5237426994026</v>
      </c>
      <c r="S58" s="1083">
        <f t="shared" si="3"/>
        <v>36.124331976797876</v>
      </c>
      <c r="Z58" s="532"/>
      <c r="AA58" s="572"/>
      <c r="AD58" s="532"/>
      <c r="AE58" s="572"/>
    </row>
    <row r="59" spans="10:31" ht="18.75">
      <c r="J59" s="1073">
        <v>10</v>
      </c>
      <c r="K59" s="619">
        <f t="shared" si="0"/>
        <v>38.75</v>
      </c>
      <c r="L59" s="620">
        <f t="shared" si="1"/>
        <v>42.611276467449855</v>
      </c>
      <c r="N59" s="1078">
        <v>6</v>
      </c>
      <c r="O59" s="1079">
        <v>47.6</v>
      </c>
      <c r="P59" s="1080">
        <v>19.600000000000001</v>
      </c>
      <c r="Q59" s="1081">
        <v>36.616999999999997</v>
      </c>
      <c r="R59" s="1402">
        <f t="shared" si="2"/>
        <v>1779.5237426994026</v>
      </c>
      <c r="S59" s="1083">
        <f t="shared" si="3"/>
        <v>34.878665356908293</v>
      </c>
      <c r="Z59" s="532"/>
      <c r="AA59" s="572"/>
      <c r="AD59" s="532"/>
      <c r="AE59" s="572"/>
    </row>
    <row r="60" spans="10:31" ht="18.75">
      <c r="J60" s="1073">
        <v>11</v>
      </c>
      <c r="K60" s="619">
        <f t="shared" si="0"/>
        <v>39.04</v>
      </c>
      <c r="L60" s="620">
        <f t="shared" si="1"/>
        <v>42.736819075014118</v>
      </c>
      <c r="N60" s="1078">
        <v>7</v>
      </c>
      <c r="O60" s="1079">
        <v>47.6</v>
      </c>
      <c r="P60" s="1080">
        <v>19.8</v>
      </c>
      <c r="Q60" s="1081">
        <v>37.048000000000002</v>
      </c>
      <c r="R60" s="1402">
        <f t="shared" si="2"/>
        <v>1779.5237426994026</v>
      </c>
      <c r="S60" s="1083">
        <f t="shared" si="3"/>
        <v>35.234570105448178</v>
      </c>
      <c r="Z60" s="532"/>
      <c r="AA60" s="572"/>
      <c r="AD60" s="532"/>
      <c r="AE60" s="572"/>
    </row>
    <row r="61" spans="10:31" ht="18.75">
      <c r="J61" s="1073">
        <v>12</v>
      </c>
      <c r="K61" s="619">
        <f t="shared" si="0"/>
        <v>39.03</v>
      </c>
      <c r="L61" s="620">
        <f t="shared" si="1"/>
        <v>42.736819075014118</v>
      </c>
      <c r="N61" s="1078">
        <v>8</v>
      </c>
      <c r="O61" s="1079">
        <v>51.024999999999999</v>
      </c>
      <c r="P61" s="1080">
        <v>20.85</v>
      </c>
      <c r="Q61" s="1081">
        <v>38.21</v>
      </c>
      <c r="R61" s="1082">
        <f t="shared" ref="R61:R118" si="4">IF(OR(O61=""),"",PI()*(O61/2)^2)</f>
        <v>2044.8238791872784</v>
      </c>
      <c r="S61" s="1083">
        <f t="shared" ref="S61:S118" si="5">IF(OR(O61="",P61=""),"",R61*P61/1000)</f>
        <v>42.634577881054753</v>
      </c>
      <c r="Z61" s="532"/>
      <c r="AA61" s="572"/>
      <c r="AD61" s="532"/>
      <c r="AE61" s="572"/>
    </row>
    <row r="62" spans="10:31" ht="18.75">
      <c r="J62" s="1073">
        <v>13</v>
      </c>
      <c r="K62" s="619">
        <f t="shared" si="0"/>
        <v>44.24</v>
      </c>
      <c r="L62" s="620">
        <f t="shared" si="1"/>
        <v>41.918425708908167</v>
      </c>
      <c r="N62" s="1078">
        <v>9</v>
      </c>
      <c r="O62" s="1079">
        <v>51.024999999999999</v>
      </c>
      <c r="P62" s="1080">
        <v>20.95</v>
      </c>
      <c r="Q62" s="1081">
        <v>39.840000000000003</v>
      </c>
      <c r="R62" s="1082">
        <f t="shared" si="4"/>
        <v>2044.8238791872784</v>
      </c>
      <c r="S62" s="1083">
        <f t="shared" si="5"/>
        <v>42.839060268973483</v>
      </c>
      <c r="Z62" s="532"/>
      <c r="AA62" s="572"/>
      <c r="AD62" s="532"/>
      <c r="AE62" s="572"/>
    </row>
    <row r="63" spans="10:31" ht="18.75">
      <c r="J63" s="1073">
        <v>14</v>
      </c>
      <c r="K63" s="619">
        <f t="shared" si="0"/>
        <v>41.73</v>
      </c>
      <c r="L63" s="620">
        <f t="shared" si="1"/>
        <v>42.79709205178218</v>
      </c>
      <c r="M63" s="621"/>
      <c r="N63" s="1078">
        <v>10</v>
      </c>
      <c r="O63" s="1079">
        <v>50.95</v>
      </c>
      <c r="P63" s="1080">
        <v>20.9</v>
      </c>
      <c r="Q63" s="1081">
        <v>38.75</v>
      </c>
      <c r="R63" s="1082">
        <f t="shared" si="4"/>
        <v>2038.8170558588447</v>
      </c>
      <c r="S63" s="1083">
        <f t="shared" si="5"/>
        <v>42.611276467449855</v>
      </c>
    </row>
    <row r="64" spans="10:31" ht="18.75">
      <c r="J64" s="1073">
        <v>15</v>
      </c>
      <c r="K64" s="619">
        <f t="shared" si="0"/>
        <v>40.840000000000003</v>
      </c>
      <c r="L64" s="620">
        <f t="shared" si="1"/>
        <v>42.314867875535192</v>
      </c>
      <c r="M64" s="621"/>
      <c r="N64" s="1078">
        <v>11</v>
      </c>
      <c r="O64" s="1079">
        <v>51.024999999999999</v>
      </c>
      <c r="P64" s="1080">
        <v>20.9</v>
      </c>
      <c r="Q64" s="1081">
        <v>39.04</v>
      </c>
      <c r="R64" s="1082">
        <f t="shared" si="4"/>
        <v>2044.8238791872784</v>
      </c>
      <c r="S64" s="1083">
        <f t="shared" si="5"/>
        <v>42.736819075014118</v>
      </c>
    </row>
    <row r="65" spans="10:19" ht="18.75">
      <c r="J65" s="1073">
        <v>16</v>
      </c>
      <c r="K65" s="619">
        <f t="shared" si="0"/>
        <v>41.21</v>
      </c>
      <c r="L65" s="620">
        <f t="shared" si="1"/>
        <v>42.551062567349895</v>
      </c>
      <c r="N65" s="1078">
        <v>12</v>
      </c>
      <c r="O65" s="1079">
        <v>51.024999999999999</v>
      </c>
      <c r="P65" s="1080">
        <v>20.9</v>
      </c>
      <c r="Q65" s="1081">
        <v>39.03</v>
      </c>
      <c r="R65" s="1082">
        <f t="shared" si="4"/>
        <v>2044.8238791872784</v>
      </c>
      <c r="S65" s="1083">
        <f t="shared" si="5"/>
        <v>42.736819075014118</v>
      </c>
    </row>
    <row r="66" spans="10:19" ht="18.75">
      <c r="J66" s="1073">
        <v>17</v>
      </c>
      <c r="K66" s="619">
        <f t="shared" si="0"/>
        <v>42.72</v>
      </c>
      <c r="L66" s="620">
        <f t="shared" si="1"/>
        <v>42.56030604105338</v>
      </c>
      <c r="N66" s="1084">
        <v>13</v>
      </c>
      <c r="O66" s="1085">
        <v>50.624999999999993</v>
      </c>
      <c r="P66" s="1086">
        <v>20.824999999999999</v>
      </c>
      <c r="Q66" s="1087">
        <v>44.24</v>
      </c>
      <c r="R66" s="1082">
        <f t="shared" si="4"/>
        <v>2012.8895898635376</v>
      </c>
      <c r="S66" s="1083">
        <f t="shared" si="5"/>
        <v>41.918425708908167</v>
      </c>
    </row>
    <row r="67" spans="10:19" ht="18.75">
      <c r="J67" s="1073">
        <v>18</v>
      </c>
      <c r="K67" s="619">
        <f t="shared" si="0"/>
        <v>42.01</v>
      </c>
      <c r="L67" s="620">
        <f t="shared" si="1"/>
        <v>42.384277573215755</v>
      </c>
      <c r="N67" s="1084">
        <v>14</v>
      </c>
      <c r="O67" s="1085">
        <v>51</v>
      </c>
      <c r="P67" s="1086">
        <v>20.95</v>
      </c>
      <c r="Q67" s="1087">
        <v>41.73</v>
      </c>
      <c r="R67" s="1082">
        <f t="shared" si="4"/>
        <v>2042.8206229967629</v>
      </c>
      <c r="S67" s="1083">
        <f t="shared" si="5"/>
        <v>42.79709205178218</v>
      </c>
    </row>
    <row r="68" spans="10:19" ht="18.75">
      <c r="J68" s="1073">
        <v>19</v>
      </c>
      <c r="K68" s="619">
        <f t="shared" si="0"/>
        <v>41.53</v>
      </c>
      <c r="L68" s="620">
        <f t="shared" si="1"/>
        <v>42.908205778346833</v>
      </c>
      <c r="N68" s="1088">
        <v>15</v>
      </c>
      <c r="O68" s="1085">
        <v>50.924999999999997</v>
      </c>
      <c r="P68" s="1086">
        <v>20.774999999999999</v>
      </c>
      <c r="Q68" s="1087">
        <v>40.840000000000003</v>
      </c>
      <c r="R68" s="1082">
        <f t="shared" si="4"/>
        <v>2036.8167449114414</v>
      </c>
      <c r="S68" s="1083">
        <f t="shared" si="5"/>
        <v>42.314867875535192</v>
      </c>
    </row>
    <row r="69" spans="10:19" ht="18.75">
      <c r="J69" s="1073">
        <v>20</v>
      </c>
      <c r="K69" s="619">
        <f t="shared" si="0"/>
        <v>40.32</v>
      </c>
      <c r="L69" s="620">
        <f t="shared" si="1"/>
        <v>42.634577881054753</v>
      </c>
      <c r="N69" s="1088">
        <v>16</v>
      </c>
      <c r="O69" s="1085">
        <v>50.975000000000001</v>
      </c>
      <c r="P69" s="1086">
        <v>20.85</v>
      </c>
      <c r="Q69" s="1087">
        <v>41.21</v>
      </c>
      <c r="R69" s="1082">
        <f t="shared" si="4"/>
        <v>2040.8183485539516</v>
      </c>
      <c r="S69" s="1083">
        <f t="shared" si="5"/>
        <v>42.551062567349895</v>
      </c>
    </row>
    <row r="70" spans="10:19" ht="18.75">
      <c r="J70" s="1073">
        <v>21</v>
      </c>
      <c r="K70" s="619">
        <f t="shared" si="0"/>
        <v>41.69</v>
      </c>
      <c r="L70" s="620">
        <f t="shared" si="1"/>
        <v>42.407394761863969</v>
      </c>
      <c r="N70" s="1088">
        <v>17</v>
      </c>
      <c r="O70" s="1085">
        <v>50.95</v>
      </c>
      <c r="P70" s="1086">
        <v>20.875</v>
      </c>
      <c r="Q70" s="1087">
        <v>42.72</v>
      </c>
      <c r="R70" s="1082">
        <f t="shared" si="4"/>
        <v>2038.8170558588447</v>
      </c>
      <c r="S70" s="1083">
        <f t="shared" si="5"/>
        <v>42.56030604105338</v>
      </c>
    </row>
    <row r="71" spans="10:19" ht="18.75">
      <c r="J71" s="1073">
        <v>22</v>
      </c>
      <c r="K71" s="619">
        <f t="shared" si="0"/>
        <v>40.96</v>
      </c>
      <c r="L71" s="620">
        <f t="shared" si="1"/>
        <v>42.685698478034439</v>
      </c>
      <c r="N71" s="1088">
        <v>18</v>
      </c>
      <c r="O71" s="1085">
        <v>50.875</v>
      </c>
      <c r="P71" s="1086">
        <v>20.849999999999998</v>
      </c>
      <c r="Q71" s="1087">
        <v>42.01</v>
      </c>
      <c r="R71" s="1082">
        <f t="shared" si="4"/>
        <v>2032.8190682597485</v>
      </c>
      <c r="S71" s="1083">
        <f t="shared" si="5"/>
        <v>42.384277573215755</v>
      </c>
    </row>
    <row r="72" spans="10:19" ht="18.75">
      <c r="J72" s="1073">
        <v>23</v>
      </c>
      <c r="K72" s="619">
        <f t="shared" si="0"/>
        <v>41.54</v>
      </c>
      <c r="L72" s="620">
        <f t="shared" si="1"/>
        <v>42.704123943491432</v>
      </c>
      <c r="N72" s="1088">
        <v>19</v>
      </c>
      <c r="O72" s="1085">
        <v>50.975000000000001</v>
      </c>
      <c r="P72" s="1086">
        <v>21.024999999999999</v>
      </c>
      <c r="Q72" s="1087">
        <v>41.53</v>
      </c>
      <c r="R72" s="1082">
        <f t="shared" si="4"/>
        <v>2040.8183485539516</v>
      </c>
      <c r="S72" s="1083">
        <f t="shared" si="5"/>
        <v>42.908205778346833</v>
      </c>
    </row>
    <row r="73" spans="10:19" ht="18.75">
      <c r="J73" s="1073">
        <v>24</v>
      </c>
      <c r="K73" s="619">
        <f t="shared" si="0"/>
        <v>39.1</v>
      </c>
      <c r="L73" s="620">
        <f t="shared" si="1"/>
        <v>42.89018086595317</v>
      </c>
      <c r="N73" s="1088">
        <v>20</v>
      </c>
      <c r="O73" s="1085">
        <v>51.024999999999999</v>
      </c>
      <c r="P73" s="1086">
        <v>20.85</v>
      </c>
      <c r="Q73" s="1087">
        <v>40.32</v>
      </c>
      <c r="R73" s="1082">
        <f t="shared" si="4"/>
        <v>2044.8238791872784</v>
      </c>
      <c r="S73" s="1083">
        <f t="shared" si="5"/>
        <v>42.634577881054753</v>
      </c>
    </row>
    <row r="74" spans="10:19" ht="18.75">
      <c r="J74" s="1073">
        <v>25</v>
      </c>
      <c r="K74" s="619">
        <f t="shared" si="0"/>
        <v>39.49</v>
      </c>
      <c r="L74" s="620">
        <f t="shared" si="1"/>
        <v>42.89018086595317</v>
      </c>
      <c r="N74" s="1088">
        <v>21</v>
      </c>
      <c r="O74" s="1085">
        <v>50.95</v>
      </c>
      <c r="P74" s="1086">
        <v>20.8</v>
      </c>
      <c r="Q74" s="1087">
        <v>41.69</v>
      </c>
      <c r="R74" s="1082">
        <f t="shared" si="4"/>
        <v>2038.8170558588447</v>
      </c>
      <c r="S74" s="1083">
        <f t="shared" si="5"/>
        <v>42.407394761863969</v>
      </c>
    </row>
    <row r="75" spans="10:19" ht="18.75">
      <c r="J75" s="1073">
        <v>26</v>
      </c>
      <c r="K75" s="619">
        <f t="shared" si="0"/>
        <v>39.15</v>
      </c>
      <c r="L75" s="620">
        <f t="shared" si="1"/>
        <v>42.778707647922907</v>
      </c>
      <c r="N75" s="1088">
        <v>22</v>
      </c>
      <c r="O75" s="1085">
        <v>51.024999999999999</v>
      </c>
      <c r="P75" s="1086">
        <v>20.875</v>
      </c>
      <c r="Q75" s="1087">
        <v>40.96</v>
      </c>
      <c r="R75" s="1082">
        <f t="shared" si="4"/>
        <v>2044.8238791872784</v>
      </c>
      <c r="S75" s="1083">
        <f t="shared" si="5"/>
        <v>42.685698478034439</v>
      </c>
    </row>
    <row r="76" spans="10:19" ht="18.75">
      <c r="J76" s="1073">
        <v>27</v>
      </c>
      <c r="K76" s="619">
        <f t="shared" si="0"/>
        <v>39.299999999999997</v>
      </c>
      <c r="L76" s="620">
        <f t="shared" si="1"/>
        <v>42.676366242066628</v>
      </c>
      <c r="N76" s="1088">
        <v>23</v>
      </c>
      <c r="O76" s="1085">
        <v>50.975000000000001</v>
      </c>
      <c r="P76" s="1086">
        <v>20.924999999999997</v>
      </c>
      <c r="Q76" s="1087">
        <v>41.54</v>
      </c>
      <c r="R76" s="1082">
        <f t="shared" si="4"/>
        <v>2040.8183485539516</v>
      </c>
      <c r="S76" s="1083">
        <f t="shared" si="5"/>
        <v>42.704123943491432</v>
      </c>
    </row>
    <row r="77" spans="10:19" ht="18.75">
      <c r="J77" s="1073">
        <v>28</v>
      </c>
      <c r="K77" s="619">
        <f t="shared" si="0"/>
        <v>39.840000000000003</v>
      </c>
      <c r="L77" s="620">
        <f t="shared" si="1"/>
        <v>42.950303598506935</v>
      </c>
      <c r="N77" s="1089">
        <v>24</v>
      </c>
      <c r="O77" s="1079">
        <v>51.024999999999999</v>
      </c>
      <c r="P77" s="1079">
        <v>20.975000000000001</v>
      </c>
      <c r="Q77" s="1081">
        <v>39.1</v>
      </c>
      <c r="R77" s="1082">
        <f t="shared" si="4"/>
        <v>2044.8238791872784</v>
      </c>
      <c r="S77" s="1083">
        <f t="shared" si="5"/>
        <v>42.89018086595317</v>
      </c>
    </row>
    <row r="78" spans="10:19" ht="18.75">
      <c r="J78" s="1073">
        <v>29</v>
      </c>
      <c r="K78" s="619">
        <f t="shared" si="0"/>
        <v>37.6</v>
      </c>
      <c r="L78" s="620">
        <f t="shared" si="1"/>
        <v>42.643880505057432</v>
      </c>
      <c r="N78" s="1089">
        <v>25</v>
      </c>
      <c r="O78" s="1079">
        <v>51.024999999999999</v>
      </c>
      <c r="P78" s="1079">
        <v>20.975000000000001</v>
      </c>
      <c r="Q78" s="1081">
        <v>39.49</v>
      </c>
      <c r="R78" s="1082">
        <f t="shared" si="4"/>
        <v>2044.8238791872784</v>
      </c>
      <c r="S78" s="1083">
        <f t="shared" si="5"/>
        <v>42.89018086595317</v>
      </c>
    </row>
    <row r="79" spans="10:19" ht="18.75">
      <c r="J79" s="1073">
        <v>30</v>
      </c>
      <c r="K79" s="619">
        <f t="shared" si="0"/>
        <v>39.11</v>
      </c>
      <c r="L79" s="620">
        <f t="shared" si="1"/>
        <v>42.8481625673571</v>
      </c>
      <c r="N79" s="1089">
        <v>26</v>
      </c>
      <c r="O79" s="1079">
        <v>51.05</v>
      </c>
      <c r="P79" s="1079">
        <v>20.9</v>
      </c>
      <c r="Q79" s="1081">
        <v>39.15</v>
      </c>
      <c r="R79" s="1082">
        <f t="shared" si="4"/>
        <v>2046.828117125498</v>
      </c>
      <c r="S79" s="1083">
        <f t="shared" si="5"/>
        <v>42.778707647922907</v>
      </c>
    </row>
    <row r="80" spans="10:19" ht="18.75">
      <c r="J80" s="1073">
        <v>31</v>
      </c>
      <c r="K80" s="619">
        <f t="shared" si="0"/>
        <v>38.69</v>
      </c>
      <c r="L80" s="620">
        <f t="shared" si="1"/>
        <v>42.778707647922907</v>
      </c>
      <c r="N80" s="1089">
        <v>27</v>
      </c>
      <c r="O80" s="1079">
        <v>51.05</v>
      </c>
      <c r="P80" s="1079">
        <v>20.849999999999998</v>
      </c>
      <c r="Q80" s="1081">
        <v>39.299999999999997</v>
      </c>
      <c r="R80" s="1082">
        <f t="shared" si="4"/>
        <v>2046.828117125498</v>
      </c>
      <c r="S80" s="1083">
        <f t="shared" si="5"/>
        <v>42.676366242066628</v>
      </c>
    </row>
    <row r="81" spans="10:19" ht="18.75">
      <c r="J81" s="1073">
        <v>32</v>
      </c>
      <c r="K81" s="619">
        <f t="shared" si="0"/>
        <v>38.020000000000003</v>
      </c>
      <c r="L81" s="620">
        <f t="shared" si="1"/>
        <v>42.535496147557211</v>
      </c>
      <c r="N81" s="1089">
        <v>28</v>
      </c>
      <c r="O81" s="1079">
        <v>51</v>
      </c>
      <c r="P81" s="1079">
        <v>21.024999999999999</v>
      </c>
      <c r="Q81" s="1081">
        <v>39.840000000000003</v>
      </c>
      <c r="R81" s="1082">
        <f t="shared" si="4"/>
        <v>2042.8206229967629</v>
      </c>
      <c r="S81" s="1083">
        <f t="shared" si="5"/>
        <v>42.950303598506935</v>
      </c>
    </row>
    <row r="82" spans="10:19" ht="18.75">
      <c r="J82" s="1073">
        <v>33</v>
      </c>
      <c r="K82" s="619">
        <f t="shared" si="0"/>
        <v>39.31</v>
      </c>
      <c r="L82" s="620">
        <f t="shared" si="1"/>
        <v>42.843724380510508</v>
      </c>
      <c r="N82" s="1089">
        <v>29</v>
      </c>
      <c r="O82" s="1079">
        <v>51</v>
      </c>
      <c r="P82" s="1079">
        <v>20.875</v>
      </c>
      <c r="Q82" s="1081">
        <v>37.6</v>
      </c>
      <c r="R82" s="1082">
        <f t="shared" si="4"/>
        <v>2042.8206229967629</v>
      </c>
      <c r="S82" s="1083">
        <f t="shared" si="5"/>
        <v>42.643880505057432</v>
      </c>
    </row>
    <row r="83" spans="10:19" ht="18.75">
      <c r="J83" s="1073">
        <v>34</v>
      </c>
      <c r="K83" s="619">
        <f t="shared" si="0"/>
        <v>39.25</v>
      </c>
      <c r="L83" s="620">
        <f t="shared" si="1"/>
        <v>42.611276467449855</v>
      </c>
      <c r="N83" s="1089">
        <v>30</v>
      </c>
      <c r="O83" s="1079">
        <v>51</v>
      </c>
      <c r="P83" s="1079">
        <v>20.975000000000001</v>
      </c>
      <c r="Q83" s="1081">
        <v>39.11</v>
      </c>
      <c r="R83" s="1082">
        <f t="shared" si="4"/>
        <v>2042.8206229967629</v>
      </c>
      <c r="S83" s="1083">
        <f t="shared" si="5"/>
        <v>42.8481625673571</v>
      </c>
    </row>
    <row r="84" spans="10:19" ht="18.75">
      <c r="J84" s="1073">
        <v>35</v>
      </c>
      <c r="K84" s="619">
        <f t="shared" si="0"/>
        <v>39.28</v>
      </c>
      <c r="L84" s="620">
        <f t="shared" si="1"/>
        <v>42.407394761863969</v>
      </c>
      <c r="N84" s="1089">
        <v>31</v>
      </c>
      <c r="O84" s="1079">
        <v>51.05</v>
      </c>
      <c r="P84" s="1079">
        <v>20.9</v>
      </c>
      <c r="Q84" s="1081">
        <v>38.69</v>
      </c>
      <c r="R84" s="1082">
        <f t="shared" si="4"/>
        <v>2046.828117125498</v>
      </c>
      <c r="S84" s="1083">
        <f t="shared" si="5"/>
        <v>42.778707647922907</v>
      </c>
    </row>
    <row r="85" spans="10:19" ht="18.75">
      <c r="J85" s="1073">
        <v>36</v>
      </c>
      <c r="K85" s="619">
        <f t="shared" si="0"/>
        <v>39.549999999999997</v>
      </c>
      <c r="L85" s="620">
        <f t="shared" si="1"/>
        <v>42.643880505057432</v>
      </c>
      <c r="N85" s="1089">
        <v>32</v>
      </c>
      <c r="O85" s="1079">
        <v>51.150000000000006</v>
      </c>
      <c r="P85" s="1079">
        <v>20.7</v>
      </c>
      <c r="Q85" s="1081">
        <v>38.020000000000003</v>
      </c>
      <c r="R85" s="1082">
        <f t="shared" si="4"/>
        <v>2054.8548863554211</v>
      </c>
      <c r="S85" s="1083">
        <f t="shared" si="5"/>
        <v>42.535496147557211</v>
      </c>
    </row>
    <row r="86" spans="10:19" ht="18.75">
      <c r="J86" s="1073">
        <v>37</v>
      </c>
      <c r="K86" s="619">
        <f t="shared" si="0"/>
        <v>39.200000000000003</v>
      </c>
      <c r="L86" s="620">
        <f t="shared" si="1"/>
        <v>42.82987835085104</v>
      </c>
      <c r="N86" s="1089">
        <v>33</v>
      </c>
      <c r="O86" s="1079">
        <v>51.15</v>
      </c>
      <c r="P86" s="1079">
        <v>20.85</v>
      </c>
      <c r="Q86" s="1081">
        <v>39.31</v>
      </c>
      <c r="R86" s="1082">
        <f t="shared" si="4"/>
        <v>2054.8548863554201</v>
      </c>
      <c r="S86" s="1083">
        <f t="shared" si="5"/>
        <v>42.843724380510508</v>
      </c>
    </row>
    <row r="87" spans="10:19" ht="18.75">
      <c r="J87" s="1073">
        <v>38</v>
      </c>
      <c r="K87" s="619">
        <f t="shared" si="0"/>
        <v>39.53</v>
      </c>
      <c r="L87" s="620">
        <f t="shared" si="1"/>
        <v>42.694951020632338</v>
      </c>
      <c r="N87" s="1089">
        <v>34</v>
      </c>
      <c r="O87" s="1079">
        <v>50.95</v>
      </c>
      <c r="P87" s="1079">
        <v>20.9</v>
      </c>
      <c r="Q87" s="1081">
        <v>39.25</v>
      </c>
      <c r="R87" s="1082">
        <f t="shared" si="4"/>
        <v>2038.8170558588447</v>
      </c>
      <c r="S87" s="1083">
        <f t="shared" si="5"/>
        <v>42.611276467449855</v>
      </c>
    </row>
    <row r="88" spans="10:19" ht="18.75">
      <c r="J88" s="1073">
        <v>39</v>
      </c>
      <c r="K88" s="619">
        <f t="shared" si="0"/>
        <v>39.590000000000003</v>
      </c>
      <c r="L88" s="620">
        <f t="shared" si="1"/>
        <v>42.602083026063738</v>
      </c>
      <c r="N88" s="1089">
        <v>35</v>
      </c>
      <c r="O88" s="1079">
        <v>50.95</v>
      </c>
      <c r="P88" s="1079">
        <v>20.8</v>
      </c>
      <c r="Q88" s="1081">
        <v>39.28</v>
      </c>
      <c r="R88" s="1082">
        <f t="shared" si="4"/>
        <v>2038.8170558588447</v>
      </c>
      <c r="S88" s="1083">
        <f t="shared" si="5"/>
        <v>42.407394761863969</v>
      </c>
    </row>
    <row r="89" spans="10:19" ht="18.75">
      <c r="J89" s="1073">
        <v>40</v>
      </c>
      <c r="K89" s="619">
        <f t="shared" si="0"/>
        <v>39.619999999999997</v>
      </c>
      <c r="L89" s="620">
        <f t="shared" si="1"/>
        <v>42.694951020632338</v>
      </c>
      <c r="N89" s="1089">
        <v>36</v>
      </c>
      <c r="O89" s="1079">
        <v>51</v>
      </c>
      <c r="P89" s="1079">
        <v>20.875</v>
      </c>
      <c r="Q89" s="1081">
        <v>39.549999999999997</v>
      </c>
      <c r="R89" s="1082">
        <f t="shared" si="4"/>
        <v>2042.8206229967629</v>
      </c>
      <c r="S89" s="1083">
        <f t="shared" si="5"/>
        <v>42.643880505057432</v>
      </c>
    </row>
    <row r="90" spans="10:19" ht="18.75">
      <c r="J90" s="1073">
        <v>41</v>
      </c>
      <c r="K90" s="619">
        <f t="shared" si="0"/>
        <v>39.56</v>
      </c>
      <c r="L90" s="620">
        <f t="shared" si="1"/>
        <v>42.678209544067201</v>
      </c>
      <c r="N90" s="1089">
        <v>37</v>
      </c>
      <c r="O90" s="1079">
        <v>51.05</v>
      </c>
      <c r="P90" s="1079">
        <v>20.924999999999997</v>
      </c>
      <c r="Q90" s="1081">
        <v>39.200000000000003</v>
      </c>
      <c r="R90" s="1082">
        <f t="shared" si="4"/>
        <v>2046.828117125498</v>
      </c>
      <c r="S90" s="1083">
        <f t="shared" si="5"/>
        <v>42.82987835085104</v>
      </c>
    </row>
    <row r="91" spans="10:19" ht="18.75">
      <c r="J91" s="1073">
        <v>42</v>
      </c>
      <c r="K91" s="619">
        <f t="shared" si="0"/>
        <v>38.78</v>
      </c>
      <c r="L91" s="620">
        <f t="shared" si="1"/>
        <v>42.997838496987178</v>
      </c>
      <c r="N91" s="1089">
        <v>38</v>
      </c>
      <c r="O91" s="1079">
        <v>51</v>
      </c>
      <c r="P91" s="1079">
        <v>20.9</v>
      </c>
      <c r="Q91" s="1081">
        <v>39.53</v>
      </c>
      <c r="R91" s="1082">
        <f t="shared" si="4"/>
        <v>2042.8206229967629</v>
      </c>
      <c r="S91" s="1083">
        <f t="shared" si="5"/>
        <v>42.694951020632338</v>
      </c>
    </row>
    <row r="92" spans="10:19" ht="18.75">
      <c r="J92" s="1073">
        <v>43</v>
      </c>
      <c r="K92" s="619">
        <f t="shared" si="0"/>
        <v>39.19</v>
      </c>
      <c r="L92" s="620">
        <f t="shared" si="1"/>
        <v>42.811275360865437</v>
      </c>
      <c r="N92" s="1089">
        <v>39</v>
      </c>
      <c r="O92" s="1079">
        <v>50.975000000000001</v>
      </c>
      <c r="P92" s="1079">
        <v>20.875</v>
      </c>
      <c r="Q92" s="1081">
        <v>39.590000000000003</v>
      </c>
      <c r="R92" s="1082">
        <f t="shared" si="4"/>
        <v>2040.8183485539516</v>
      </c>
      <c r="S92" s="1083">
        <f t="shared" si="5"/>
        <v>42.602083026063738</v>
      </c>
    </row>
    <row r="93" spans="10:19" ht="18.75">
      <c r="J93" s="1073">
        <v>44</v>
      </c>
      <c r="K93" s="619">
        <f t="shared" si="0"/>
        <v>39.14</v>
      </c>
      <c r="L93" s="620">
        <f t="shared" si="1"/>
        <v>42.750532973704438</v>
      </c>
      <c r="N93" s="1089">
        <v>40</v>
      </c>
      <c r="O93" s="1079">
        <v>51</v>
      </c>
      <c r="P93" s="1079">
        <v>20.9</v>
      </c>
      <c r="Q93" s="1081">
        <v>39.619999999999997</v>
      </c>
      <c r="R93" s="1082">
        <f t="shared" si="4"/>
        <v>2042.8206229967629</v>
      </c>
      <c r="S93" s="1083">
        <f t="shared" si="5"/>
        <v>42.694951020632338</v>
      </c>
    </row>
    <row r="94" spans="10:19" ht="18.75">
      <c r="J94" s="1073">
        <v>45</v>
      </c>
      <c r="K94" s="619">
        <f t="shared" si="0"/>
        <v>39.619999999999997</v>
      </c>
      <c r="L94" s="620">
        <f t="shared" si="1"/>
        <v>42.778707647922907</v>
      </c>
      <c r="N94" s="1089">
        <v>41</v>
      </c>
      <c r="O94" s="1079">
        <v>50.99</v>
      </c>
      <c r="P94" s="1079">
        <v>20.9</v>
      </c>
      <c r="Q94" s="1081">
        <v>39.56</v>
      </c>
      <c r="R94" s="1082">
        <f t="shared" si="4"/>
        <v>2042.019595409914</v>
      </c>
      <c r="S94" s="1083">
        <f t="shared" si="5"/>
        <v>42.678209544067201</v>
      </c>
    </row>
    <row r="95" spans="10:19" ht="18.75">
      <c r="J95" s="1073">
        <v>46</v>
      </c>
      <c r="K95" s="619">
        <f t="shared" si="0"/>
        <v>39.200000000000003</v>
      </c>
      <c r="L95" s="620">
        <f t="shared" si="1"/>
        <v>42.592809989482511</v>
      </c>
      <c r="N95" s="1089">
        <v>42</v>
      </c>
      <c r="O95" s="1079">
        <v>51.150000000000006</v>
      </c>
      <c r="P95" s="1079">
        <v>20.924999999999997</v>
      </c>
      <c r="Q95" s="1081">
        <v>38.78</v>
      </c>
      <c r="R95" s="1082">
        <f t="shared" si="4"/>
        <v>2054.8548863554211</v>
      </c>
      <c r="S95" s="1083">
        <f t="shared" si="5"/>
        <v>42.997838496987178</v>
      </c>
    </row>
    <row r="96" spans="10:19" ht="18.75">
      <c r="J96" s="1073">
        <v>47</v>
      </c>
      <c r="K96" s="619">
        <f t="shared" si="0"/>
        <v>39.17</v>
      </c>
      <c r="L96" s="620">
        <f t="shared" si="1"/>
        <v>42.592809989482511</v>
      </c>
      <c r="N96" s="1089">
        <v>43</v>
      </c>
      <c r="O96" s="1079">
        <v>51.1</v>
      </c>
      <c r="P96" s="1079">
        <v>20.875</v>
      </c>
      <c r="Q96" s="1081">
        <v>39.19</v>
      </c>
      <c r="R96" s="1082">
        <f t="shared" si="4"/>
        <v>2050.8395382450508</v>
      </c>
      <c r="S96" s="1083">
        <f t="shared" si="5"/>
        <v>42.811275360865437</v>
      </c>
    </row>
    <row r="97" spans="10:19" ht="18.75">
      <c r="J97" s="1073">
        <v>48</v>
      </c>
      <c r="K97" s="619">
        <f t="shared" si="0"/>
        <v>39.24</v>
      </c>
      <c r="L97" s="620">
        <f t="shared" si="1"/>
        <v>42.82987835085104</v>
      </c>
      <c r="N97" s="1089">
        <v>44</v>
      </c>
      <c r="O97" s="1079">
        <v>51.125</v>
      </c>
      <c r="P97" s="1079">
        <v>20.824999999999999</v>
      </c>
      <c r="Q97" s="1081">
        <v>39.14</v>
      </c>
      <c r="R97" s="1082">
        <f t="shared" si="4"/>
        <v>2052.8467214263837</v>
      </c>
      <c r="S97" s="1083">
        <f t="shared" si="5"/>
        <v>42.750532973704438</v>
      </c>
    </row>
    <row r="98" spans="10:19" ht="18.75">
      <c r="J98" s="1073">
        <v>49</v>
      </c>
      <c r="K98" s="619">
        <f t="shared" si="0"/>
        <v>38.590000000000003</v>
      </c>
      <c r="L98" s="620">
        <f t="shared" si="1"/>
        <v>42.932219756707326</v>
      </c>
      <c r="N98" s="1089">
        <v>45</v>
      </c>
      <c r="O98" s="1079">
        <v>51.05</v>
      </c>
      <c r="P98" s="1079">
        <v>20.9</v>
      </c>
      <c r="Q98" s="1081">
        <v>39.619999999999997</v>
      </c>
      <c r="R98" s="1082">
        <f t="shared" si="4"/>
        <v>2046.828117125498</v>
      </c>
      <c r="S98" s="1083">
        <f t="shared" si="5"/>
        <v>42.778707647922907</v>
      </c>
    </row>
    <row r="99" spans="10:19" ht="18.75">
      <c r="J99" s="1073">
        <v>50</v>
      </c>
      <c r="K99" s="619">
        <f t="shared" si="0"/>
        <v>39.69</v>
      </c>
      <c r="L99" s="620">
        <f t="shared" si="1"/>
        <v>42.895095752669413</v>
      </c>
      <c r="N99" s="1089">
        <v>46</v>
      </c>
      <c r="O99" s="1079">
        <v>51</v>
      </c>
      <c r="P99" s="1079">
        <v>20.85</v>
      </c>
      <c r="Q99" s="1081">
        <v>39.200000000000003</v>
      </c>
      <c r="R99" s="1082">
        <f t="shared" si="4"/>
        <v>2042.8206229967629</v>
      </c>
      <c r="S99" s="1083">
        <f t="shared" si="5"/>
        <v>42.592809989482511</v>
      </c>
    </row>
    <row r="100" spans="10:19" ht="18.75">
      <c r="J100" s="1073">
        <v>51</v>
      </c>
      <c r="K100" s="619">
        <f t="shared" si="0"/>
        <v>38.96</v>
      </c>
      <c r="L100" s="620">
        <f t="shared" si="1"/>
        <v>42.689200433454715</v>
      </c>
      <c r="N100" s="1089">
        <v>47</v>
      </c>
      <c r="O100" s="1079">
        <v>51</v>
      </c>
      <c r="P100" s="1079">
        <v>20.85</v>
      </c>
      <c r="Q100" s="1081">
        <v>39.17</v>
      </c>
      <c r="R100" s="1082">
        <f t="shared" si="4"/>
        <v>2042.8206229967629</v>
      </c>
      <c r="S100" s="1083">
        <f t="shared" si="5"/>
        <v>42.592809989482511</v>
      </c>
    </row>
    <row r="101" spans="10:19" ht="18.75">
      <c r="J101" s="1073">
        <v>52</v>
      </c>
      <c r="K101" s="619">
        <f t="shared" si="0"/>
        <v>39.44</v>
      </c>
      <c r="L101" s="620">
        <f t="shared" si="1"/>
        <v>42.811275360865437</v>
      </c>
      <c r="N101" s="1089">
        <v>48</v>
      </c>
      <c r="O101" s="1079">
        <v>51.05</v>
      </c>
      <c r="P101" s="1079">
        <v>20.924999999999997</v>
      </c>
      <c r="Q101" s="1081">
        <v>39.24</v>
      </c>
      <c r="R101" s="1082">
        <f t="shared" si="4"/>
        <v>2046.828117125498</v>
      </c>
      <c r="S101" s="1083">
        <f t="shared" si="5"/>
        <v>42.82987835085104</v>
      </c>
    </row>
    <row r="102" spans="10:19" ht="18.75">
      <c r="J102" s="1073">
        <v>53</v>
      </c>
      <c r="K102" s="619">
        <f t="shared" si="0"/>
        <v>39.47</v>
      </c>
      <c r="L102" s="620">
        <f t="shared" si="1"/>
        <v>42.647890637633118</v>
      </c>
      <c r="N102" s="1089">
        <v>49</v>
      </c>
      <c r="O102" s="1079">
        <v>51.05</v>
      </c>
      <c r="P102" s="1079">
        <v>20.975000000000001</v>
      </c>
      <c r="Q102" s="1081">
        <v>38.590000000000003</v>
      </c>
      <c r="R102" s="1082">
        <f t="shared" si="4"/>
        <v>2046.828117125498</v>
      </c>
      <c r="S102" s="1083">
        <f t="shared" si="5"/>
        <v>42.932219756707326</v>
      </c>
    </row>
    <row r="103" spans="10:19" ht="18.75">
      <c r="J103" s="1073">
        <v>54</v>
      </c>
      <c r="K103" s="619">
        <f t="shared" si="0"/>
        <v>39.409999999999997</v>
      </c>
      <c r="L103" s="620">
        <f t="shared" si="1"/>
        <v>43.198721895996897</v>
      </c>
      <c r="N103" s="1089">
        <v>50</v>
      </c>
      <c r="O103" s="1079">
        <v>51.150000000000006</v>
      </c>
      <c r="P103" s="1079">
        <v>20.875</v>
      </c>
      <c r="Q103" s="1081">
        <v>39.69</v>
      </c>
      <c r="R103" s="1082">
        <f t="shared" si="4"/>
        <v>2054.8548863554211</v>
      </c>
      <c r="S103" s="1083">
        <f t="shared" si="5"/>
        <v>42.895095752669413</v>
      </c>
    </row>
    <row r="104" spans="10:19" ht="18.75">
      <c r="J104" s="1073">
        <v>55</v>
      </c>
      <c r="K104" s="619">
        <f t="shared" si="0"/>
        <v>39.049999999999997</v>
      </c>
      <c r="L104" s="620">
        <f t="shared" si="1"/>
        <v>42.666954239097869</v>
      </c>
      <c r="N104" s="1089">
        <v>51</v>
      </c>
      <c r="O104" s="1079">
        <v>50.875</v>
      </c>
      <c r="P104" s="1079">
        <v>21</v>
      </c>
      <c r="Q104" s="1081">
        <v>38.96</v>
      </c>
      <c r="R104" s="1082">
        <f t="shared" si="4"/>
        <v>2032.8190682597485</v>
      </c>
      <c r="S104" s="1083">
        <f t="shared" si="5"/>
        <v>42.689200433454715</v>
      </c>
    </row>
    <row r="105" spans="10:19" ht="18.75">
      <c r="J105" s="1073">
        <v>56</v>
      </c>
      <c r="K105" s="619">
        <f t="shared" si="0"/>
        <v>39.229999999999997</v>
      </c>
      <c r="L105" s="620">
        <f t="shared" si="1"/>
        <v>42.718175072518164</v>
      </c>
      <c r="N105" s="1089">
        <v>52</v>
      </c>
      <c r="O105" s="1079">
        <v>51.1</v>
      </c>
      <c r="P105" s="1079">
        <v>20.875</v>
      </c>
      <c r="Q105" s="1081">
        <v>39.44</v>
      </c>
      <c r="R105" s="1082">
        <f t="shared" si="4"/>
        <v>2050.8395382450508</v>
      </c>
      <c r="S105" s="1083">
        <f t="shared" si="5"/>
        <v>42.811275360865437</v>
      </c>
    </row>
    <row r="106" spans="10:19" ht="18.75">
      <c r="J106" s="1073">
        <v>57</v>
      </c>
      <c r="K106" s="619">
        <f t="shared" si="0"/>
        <v>39.659999999999997</v>
      </c>
      <c r="L106" s="620">
        <f t="shared" si="1"/>
        <v>42.694951020632338</v>
      </c>
      <c r="N106" s="1089">
        <v>53</v>
      </c>
      <c r="O106" s="1079">
        <v>51.125</v>
      </c>
      <c r="P106" s="1079">
        <v>20.774999999999999</v>
      </c>
      <c r="Q106" s="1081">
        <v>39.47</v>
      </c>
      <c r="R106" s="1082">
        <f t="shared" si="4"/>
        <v>2052.8467214263837</v>
      </c>
      <c r="S106" s="1083">
        <f t="shared" si="5"/>
        <v>42.647890637633118</v>
      </c>
    </row>
    <row r="107" spans="10:19" ht="18.75">
      <c r="J107" s="1073">
        <v>58</v>
      </c>
      <c r="K107" s="619">
        <f t="shared" si="0"/>
        <v>39.21</v>
      </c>
      <c r="L107" s="620">
        <f t="shared" si="1"/>
        <v>42.532336687095388</v>
      </c>
      <c r="N107" s="1089">
        <v>54</v>
      </c>
      <c r="O107" s="1079">
        <v>51.3</v>
      </c>
      <c r="P107" s="1079">
        <v>20.9</v>
      </c>
      <c r="Q107" s="1081">
        <v>39.409999999999997</v>
      </c>
      <c r="R107" s="1082">
        <f t="shared" si="4"/>
        <v>2066.9244926314304</v>
      </c>
      <c r="S107" s="1083">
        <f t="shared" si="5"/>
        <v>43.198721895996897</v>
      </c>
    </row>
    <row r="108" spans="10:19" ht="18.75">
      <c r="J108" s="1073">
        <v>59</v>
      </c>
      <c r="K108" s="619">
        <f t="shared" si="0"/>
        <v>39.17</v>
      </c>
      <c r="L108" s="620">
        <f t="shared" si="1"/>
        <v>43.133413682515908</v>
      </c>
      <c r="N108" s="1089">
        <v>55</v>
      </c>
      <c r="O108" s="1079">
        <v>51.074999999999996</v>
      </c>
      <c r="P108" s="1079">
        <v>20.824999999999999</v>
      </c>
      <c r="Q108" s="1081">
        <v>39.049999999999997</v>
      </c>
      <c r="R108" s="1082">
        <f t="shared" si="4"/>
        <v>2048.8333368114222</v>
      </c>
      <c r="S108" s="1083">
        <f t="shared" si="5"/>
        <v>42.666954239097869</v>
      </c>
    </row>
    <row r="109" spans="10:19" ht="18.75">
      <c r="J109" s="1073">
        <v>60</v>
      </c>
      <c r="K109" s="619">
        <f t="shared" si="0"/>
        <v>39.57</v>
      </c>
      <c r="L109" s="620">
        <f t="shared" si="1"/>
        <v>42.778707647922907</v>
      </c>
      <c r="N109" s="1089">
        <v>56</v>
      </c>
      <c r="O109" s="1079">
        <v>51.075000000000003</v>
      </c>
      <c r="P109" s="1079">
        <v>20.85</v>
      </c>
      <c r="Q109" s="1081">
        <v>39.229999999999997</v>
      </c>
      <c r="R109" s="1082">
        <f t="shared" si="4"/>
        <v>2048.8333368114227</v>
      </c>
      <c r="S109" s="1083">
        <f t="shared" si="5"/>
        <v>42.718175072518164</v>
      </c>
    </row>
    <row r="110" spans="10:19" ht="18.75">
      <c r="J110" s="1073">
        <v>61</v>
      </c>
      <c r="K110" s="619">
        <f t="shared" si="0"/>
        <v>37.83</v>
      </c>
      <c r="L110" s="620">
        <f t="shared" si="1"/>
        <v>42.653103484777589</v>
      </c>
      <c r="N110" s="1089">
        <v>57</v>
      </c>
      <c r="O110" s="1079">
        <v>51</v>
      </c>
      <c r="P110" s="1079">
        <v>20.9</v>
      </c>
      <c r="Q110" s="1081">
        <v>39.659999999999997</v>
      </c>
      <c r="R110" s="1082">
        <f t="shared" si="4"/>
        <v>2042.8206229967629</v>
      </c>
      <c r="S110" s="1083">
        <f t="shared" si="5"/>
        <v>42.694951020632338</v>
      </c>
    </row>
    <row r="111" spans="10:19" ht="18.75">
      <c r="J111" s="1073">
        <v>62</v>
      </c>
      <c r="K111" s="619">
        <f t="shared" si="0"/>
        <v>0</v>
      </c>
      <c r="L111" s="620" t="str">
        <f t="shared" si="1"/>
        <v/>
      </c>
      <c r="N111" s="1089">
        <v>58</v>
      </c>
      <c r="O111" s="1079">
        <v>51.024999999999999</v>
      </c>
      <c r="P111" s="1079">
        <v>20.8</v>
      </c>
      <c r="Q111" s="1081">
        <v>39.21</v>
      </c>
      <c r="R111" s="1082">
        <f t="shared" si="4"/>
        <v>2044.8238791872784</v>
      </c>
      <c r="S111" s="1083">
        <f t="shared" si="5"/>
        <v>42.532336687095388</v>
      </c>
    </row>
    <row r="112" spans="10:19" ht="18.75">
      <c r="J112" s="1073">
        <v>63</v>
      </c>
      <c r="K112" s="619">
        <f t="shared" si="0"/>
        <v>0</v>
      </c>
      <c r="L112" s="620" t="str">
        <f t="shared" si="1"/>
        <v/>
      </c>
      <c r="N112" s="1089">
        <v>59</v>
      </c>
      <c r="O112" s="1079">
        <v>51.199999999999996</v>
      </c>
      <c r="P112" s="1079">
        <v>20.95</v>
      </c>
      <c r="Q112" s="1081">
        <v>39.17</v>
      </c>
      <c r="R112" s="1082">
        <f t="shared" si="4"/>
        <v>2058.8741614566065</v>
      </c>
      <c r="S112" s="1083">
        <f t="shared" si="5"/>
        <v>43.133413682515908</v>
      </c>
    </row>
    <row r="113" spans="14:19" ht="18.75">
      <c r="N113" s="1089">
        <v>60</v>
      </c>
      <c r="O113" s="1079">
        <v>51.05</v>
      </c>
      <c r="P113" s="1079">
        <v>20.9</v>
      </c>
      <c r="Q113" s="1081">
        <v>39.57</v>
      </c>
      <c r="R113" s="1082">
        <f t="shared" si="4"/>
        <v>2046.828117125498</v>
      </c>
      <c r="S113" s="1083">
        <f t="shared" si="5"/>
        <v>42.778707647922907</v>
      </c>
    </row>
    <row r="114" spans="14:19" ht="18.75">
      <c r="N114" s="1089">
        <v>61</v>
      </c>
      <c r="O114" s="1079">
        <v>50.975000000000001</v>
      </c>
      <c r="P114" s="1079">
        <v>20.9</v>
      </c>
      <c r="Q114" s="1081">
        <v>37.83</v>
      </c>
      <c r="R114" s="1082">
        <f t="shared" si="4"/>
        <v>2040.8183485539516</v>
      </c>
      <c r="S114" s="1083">
        <f t="shared" si="5"/>
        <v>42.653103484777589</v>
      </c>
    </row>
    <row r="115" spans="14:19" ht="18.75">
      <c r="N115" s="1089">
        <v>62</v>
      </c>
      <c r="O115" s="1079"/>
      <c r="P115" s="1079"/>
      <c r="Q115" s="1090"/>
      <c r="R115" s="1082" t="str">
        <f t="shared" si="4"/>
        <v/>
      </c>
      <c r="S115" s="1083" t="str">
        <f t="shared" si="5"/>
        <v/>
      </c>
    </row>
    <row r="116" spans="14:19" ht="18.75">
      <c r="N116" s="1089">
        <v>63</v>
      </c>
      <c r="O116" s="1079"/>
      <c r="P116" s="1079"/>
      <c r="Q116" s="1090"/>
      <c r="R116" s="1082" t="str">
        <f t="shared" si="4"/>
        <v/>
      </c>
      <c r="S116" s="1083" t="str">
        <f t="shared" si="5"/>
        <v/>
      </c>
    </row>
    <row r="117" spans="14:19" ht="18.75">
      <c r="N117" s="1089">
        <v>64</v>
      </c>
      <c r="O117" s="1079"/>
      <c r="P117" s="1079"/>
      <c r="Q117" s="1090"/>
      <c r="R117" s="1082" t="str">
        <f t="shared" si="4"/>
        <v/>
      </c>
      <c r="S117" s="1083" t="str">
        <f t="shared" si="5"/>
        <v/>
      </c>
    </row>
    <row r="118" spans="14:19" ht="18.75">
      <c r="N118" s="1089">
        <v>65</v>
      </c>
      <c r="O118" s="1079"/>
      <c r="P118" s="1079"/>
      <c r="Q118" s="1090"/>
      <c r="R118" s="1082" t="str">
        <f t="shared" si="4"/>
        <v/>
      </c>
      <c r="S118" s="1083" t="str">
        <f t="shared" si="5"/>
        <v/>
      </c>
    </row>
    <row r="119" spans="14:19" ht="18.75">
      <c r="N119" s="1089">
        <v>66</v>
      </c>
      <c r="O119" s="1079"/>
      <c r="P119" s="1079"/>
      <c r="Q119" s="1090"/>
      <c r="R119" s="1082" t="str">
        <f>IF(OR(O119=""),"",PI()*(O119/2)^2)</f>
        <v/>
      </c>
      <c r="S119" s="1083" t="str">
        <f t="shared" ref="S119:S124" si="6">IF(OR(O119="",P119=""),"",R119*P119/1000)</f>
        <v/>
      </c>
    </row>
    <row r="120" spans="14:19" ht="18.75">
      <c r="N120" s="1089">
        <v>67</v>
      </c>
      <c r="O120" s="1079"/>
      <c r="P120" s="1079"/>
      <c r="Q120" s="1090"/>
      <c r="R120" s="1082" t="str">
        <f>IF(OR(O120=""),"",PI()*(O120/2)^2)</f>
        <v/>
      </c>
      <c r="S120" s="1083" t="str">
        <f t="shared" si="6"/>
        <v/>
      </c>
    </row>
    <row r="121" spans="14:19" ht="18.75">
      <c r="N121" s="1089">
        <v>68</v>
      </c>
      <c r="O121" s="1079"/>
      <c r="P121" s="1079"/>
      <c r="Q121" s="1090"/>
      <c r="R121" s="1082" t="str">
        <f>IF(OR(O121=""),"",PI()*(O121/2)^2)</f>
        <v/>
      </c>
      <c r="S121" s="1083" t="str">
        <f t="shared" si="6"/>
        <v/>
      </c>
    </row>
    <row r="122" spans="14:19" ht="18.75">
      <c r="N122" s="1089">
        <v>69</v>
      </c>
      <c r="O122" s="1079"/>
      <c r="P122" s="1079"/>
      <c r="Q122" s="1090"/>
      <c r="R122" s="1082" t="str">
        <f>IF(OR(O122=""),"",PI()*(O122/2)^2)</f>
        <v/>
      </c>
      <c r="S122" s="1083" t="str">
        <f t="shared" si="6"/>
        <v/>
      </c>
    </row>
    <row r="123" spans="14:19" ht="18.75">
      <c r="N123" s="1089">
        <v>70</v>
      </c>
      <c r="O123" s="1079"/>
      <c r="P123" s="1079"/>
      <c r="Q123" s="1090"/>
      <c r="R123" s="1082" t="str">
        <f>IF(OR(O123=""),"",PI()*(O123/2)^2)</f>
        <v/>
      </c>
      <c r="S123" s="1083" t="str">
        <f t="shared" si="6"/>
        <v/>
      </c>
    </row>
    <row r="124" spans="14:19" ht="18.75">
      <c r="N124" s="1089"/>
      <c r="O124" s="1079"/>
      <c r="P124" s="1079"/>
      <c r="Q124" s="1090"/>
      <c r="R124" s="1082"/>
      <c r="S124" s="1083" t="str">
        <f t="shared" si="6"/>
        <v/>
      </c>
    </row>
  </sheetData>
  <mergeCells count="42">
    <mergeCell ref="M4:N4"/>
    <mergeCell ref="C11:H11"/>
    <mergeCell ref="J11:K11"/>
    <mergeCell ref="L11:M11"/>
    <mergeCell ref="N11:O11"/>
    <mergeCell ref="P11:Q11"/>
    <mergeCell ref="R11:S11"/>
    <mergeCell ref="R4:T4"/>
    <mergeCell ref="R5:T5"/>
    <mergeCell ref="P4:Q4"/>
    <mergeCell ref="P5:Q5"/>
    <mergeCell ref="R14:S15"/>
    <mergeCell ref="J12:K12"/>
    <mergeCell ref="L12:M12"/>
    <mergeCell ref="N12:O12"/>
    <mergeCell ref="P12:Q12"/>
    <mergeCell ref="R12:S12"/>
    <mergeCell ref="J13:K13"/>
    <mergeCell ref="L13:M13"/>
    <mergeCell ref="N13:O13"/>
    <mergeCell ref="P13:Q13"/>
    <mergeCell ref="R13:S13"/>
    <mergeCell ref="C14:H15"/>
    <mergeCell ref="J14:K15"/>
    <mergeCell ref="L14:M15"/>
    <mergeCell ref="N14:O15"/>
    <mergeCell ref="P14:Q15"/>
    <mergeCell ref="L24:M24"/>
    <mergeCell ref="N24:O24"/>
    <mergeCell ref="P24:Q24"/>
    <mergeCell ref="R24:S24"/>
    <mergeCell ref="L33:M33"/>
    <mergeCell ref="N33:O33"/>
    <mergeCell ref="P33:Q33"/>
    <mergeCell ref="R33:S33"/>
    <mergeCell ref="S51:S52"/>
    <mergeCell ref="P49:Q49"/>
    <mergeCell ref="N51:N52"/>
    <mergeCell ref="O51:O52"/>
    <mergeCell ref="P51:P52"/>
    <mergeCell ref="Q51:Q52"/>
    <mergeCell ref="R51:R52"/>
  </mergeCells>
  <printOptions horizontalCentered="1" verticalCentered="1"/>
  <pageMargins left="7.874015748031496E-2" right="0.11811023622047245" top="0.19685039370078741" bottom="3.937007874015748E-2" header="0.35433070866141736" footer="0.55118110236220474"/>
  <pageSetup paperSize="9" scale="77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BC78-9AAD-1241-B8D2-E042D5B2FF2D}">
  <sheetPr codeName="Sheet5">
    <tabColor theme="8" tint="-0.499984740745262"/>
    <pageSetUpPr fitToPage="1"/>
  </sheetPr>
  <dimension ref="A1:BA112"/>
  <sheetViews>
    <sheetView showGridLines="0" topLeftCell="A16" zoomScaleNormal="100" workbookViewId="0">
      <selection activeCell="J44" sqref="J44"/>
    </sheetView>
  </sheetViews>
  <sheetFormatPr defaultColWidth="9.125" defaultRowHeight="13.5"/>
  <cols>
    <col min="1" max="1" width="4.625" style="47" customWidth="1"/>
    <col min="2" max="2" width="10.875" style="47" customWidth="1"/>
    <col min="3" max="3" width="13.625" style="47" customWidth="1"/>
    <col min="4" max="4" width="12.125" style="47" customWidth="1"/>
    <col min="5" max="5" width="10.125" style="47" customWidth="1"/>
    <col min="6" max="6" width="12.5" style="47" customWidth="1"/>
    <col min="7" max="7" width="13.375" style="47" customWidth="1"/>
    <col min="8" max="8" width="11.5" style="47" customWidth="1"/>
    <col min="9" max="9" width="15.5" style="47" customWidth="1"/>
    <col min="10" max="10" width="4.625" style="47" customWidth="1"/>
    <col min="11" max="11" width="13.625" style="47" customWidth="1"/>
    <col min="12" max="12" width="9.125" style="47"/>
    <col min="13" max="13" width="9.5" style="47" customWidth="1"/>
    <col min="14" max="14" width="9.125" style="47"/>
    <col min="15" max="21" width="8.875" style="47" customWidth="1"/>
    <col min="22" max="28" width="9.125" style="47"/>
    <col min="29" max="29" width="14.375" style="47" customWidth="1"/>
    <col min="30" max="30" width="13.125" style="67" customWidth="1"/>
    <col min="31" max="34" width="9.125" style="47"/>
    <col min="35" max="35" width="9.5" style="47" customWidth="1"/>
    <col min="36" max="43" width="9.125" style="47"/>
    <col min="44" max="44" width="9.125" style="68"/>
    <col min="45" max="256" width="9.125" style="47"/>
    <col min="257" max="257" width="4.625" style="47" customWidth="1"/>
    <col min="258" max="258" width="10.875" style="47" customWidth="1"/>
    <col min="259" max="259" width="13.625" style="47" customWidth="1"/>
    <col min="260" max="260" width="12.125" style="47" customWidth="1"/>
    <col min="261" max="261" width="10.125" style="47" customWidth="1"/>
    <col min="262" max="262" width="12.5" style="47" customWidth="1"/>
    <col min="263" max="263" width="13.375" style="47" customWidth="1"/>
    <col min="264" max="264" width="11.5" style="47" customWidth="1"/>
    <col min="265" max="265" width="15.5" style="47" customWidth="1"/>
    <col min="266" max="266" width="4.625" style="47" customWidth="1"/>
    <col min="267" max="267" width="13.625" style="47" customWidth="1"/>
    <col min="268" max="268" width="9.125" style="47"/>
    <col min="269" max="269" width="9.5" style="47" customWidth="1"/>
    <col min="270" max="270" width="9.125" style="47"/>
    <col min="271" max="277" width="8.875" style="47" customWidth="1"/>
    <col min="278" max="284" width="9.125" style="47"/>
    <col min="285" max="285" width="14.375" style="47" customWidth="1"/>
    <col min="286" max="286" width="13.125" style="47" customWidth="1"/>
    <col min="287" max="290" width="9.125" style="47"/>
    <col min="291" max="291" width="9.5" style="47" customWidth="1"/>
    <col min="292" max="512" width="9.125" style="47"/>
    <col min="513" max="513" width="4.625" style="47" customWidth="1"/>
    <col min="514" max="514" width="10.875" style="47" customWidth="1"/>
    <col min="515" max="515" width="13.625" style="47" customWidth="1"/>
    <col min="516" max="516" width="12.125" style="47" customWidth="1"/>
    <col min="517" max="517" width="10.125" style="47" customWidth="1"/>
    <col min="518" max="518" width="12.5" style="47" customWidth="1"/>
    <col min="519" max="519" width="13.375" style="47" customWidth="1"/>
    <col min="520" max="520" width="11.5" style="47" customWidth="1"/>
    <col min="521" max="521" width="15.5" style="47" customWidth="1"/>
    <col min="522" max="522" width="4.625" style="47" customWidth="1"/>
    <col min="523" max="523" width="13.625" style="47" customWidth="1"/>
    <col min="524" max="524" width="9.125" style="47"/>
    <col min="525" max="525" width="9.5" style="47" customWidth="1"/>
    <col min="526" max="526" width="9.125" style="47"/>
    <col min="527" max="533" width="8.875" style="47" customWidth="1"/>
    <col min="534" max="540" width="9.125" style="47"/>
    <col min="541" max="541" width="14.375" style="47" customWidth="1"/>
    <col min="542" max="542" width="13.125" style="47" customWidth="1"/>
    <col min="543" max="546" width="9.125" style="47"/>
    <col min="547" max="547" width="9.5" style="47" customWidth="1"/>
    <col min="548" max="768" width="9.125" style="47"/>
    <col min="769" max="769" width="4.625" style="47" customWidth="1"/>
    <col min="770" max="770" width="10.875" style="47" customWidth="1"/>
    <col min="771" max="771" width="13.625" style="47" customWidth="1"/>
    <col min="772" max="772" width="12.125" style="47" customWidth="1"/>
    <col min="773" max="773" width="10.125" style="47" customWidth="1"/>
    <col min="774" max="774" width="12.5" style="47" customWidth="1"/>
    <col min="775" max="775" width="13.375" style="47" customWidth="1"/>
    <col min="776" max="776" width="11.5" style="47" customWidth="1"/>
    <col min="777" max="777" width="15.5" style="47" customWidth="1"/>
    <col min="778" max="778" width="4.625" style="47" customWidth="1"/>
    <col min="779" max="779" width="13.625" style="47" customWidth="1"/>
    <col min="780" max="780" width="9.125" style="47"/>
    <col min="781" max="781" width="9.5" style="47" customWidth="1"/>
    <col min="782" max="782" width="9.125" style="47"/>
    <col min="783" max="789" width="8.875" style="47" customWidth="1"/>
    <col min="790" max="796" width="9.125" style="47"/>
    <col min="797" max="797" width="14.375" style="47" customWidth="1"/>
    <col min="798" max="798" width="13.125" style="47" customWidth="1"/>
    <col min="799" max="802" width="9.125" style="47"/>
    <col min="803" max="803" width="9.5" style="47" customWidth="1"/>
    <col min="804" max="1024" width="9.125" style="47"/>
    <col min="1025" max="1025" width="4.625" style="47" customWidth="1"/>
    <col min="1026" max="1026" width="10.875" style="47" customWidth="1"/>
    <col min="1027" max="1027" width="13.625" style="47" customWidth="1"/>
    <col min="1028" max="1028" width="12.125" style="47" customWidth="1"/>
    <col min="1029" max="1029" width="10.125" style="47" customWidth="1"/>
    <col min="1030" max="1030" width="12.5" style="47" customWidth="1"/>
    <col min="1031" max="1031" width="13.375" style="47" customWidth="1"/>
    <col min="1032" max="1032" width="11.5" style="47" customWidth="1"/>
    <col min="1033" max="1033" width="15.5" style="47" customWidth="1"/>
    <col min="1034" max="1034" width="4.625" style="47" customWidth="1"/>
    <col min="1035" max="1035" width="13.625" style="47" customWidth="1"/>
    <col min="1036" max="1036" width="9.125" style="47"/>
    <col min="1037" max="1037" width="9.5" style="47" customWidth="1"/>
    <col min="1038" max="1038" width="9.125" style="47"/>
    <col min="1039" max="1045" width="8.875" style="47" customWidth="1"/>
    <col min="1046" max="1052" width="9.125" style="47"/>
    <col min="1053" max="1053" width="14.375" style="47" customWidth="1"/>
    <col min="1054" max="1054" width="13.125" style="47" customWidth="1"/>
    <col min="1055" max="1058" width="9.125" style="47"/>
    <col min="1059" max="1059" width="9.5" style="47" customWidth="1"/>
    <col min="1060" max="1280" width="9.125" style="47"/>
    <col min="1281" max="1281" width="4.625" style="47" customWidth="1"/>
    <col min="1282" max="1282" width="10.875" style="47" customWidth="1"/>
    <col min="1283" max="1283" width="13.625" style="47" customWidth="1"/>
    <col min="1284" max="1284" width="12.125" style="47" customWidth="1"/>
    <col min="1285" max="1285" width="10.125" style="47" customWidth="1"/>
    <col min="1286" max="1286" width="12.5" style="47" customWidth="1"/>
    <col min="1287" max="1287" width="13.375" style="47" customWidth="1"/>
    <col min="1288" max="1288" width="11.5" style="47" customWidth="1"/>
    <col min="1289" max="1289" width="15.5" style="47" customWidth="1"/>
    <col min="1290" max="1290" width="4.625" style="47" customWidth="1"/>
    <col min="1291" max="1291" width="13.625" style="47" customWidth="1"/>
    <col min="1292" max="1292" width="9.125" style="47"/>
    <col min="1293" max="1293" width="9.5" style="47" customWidth="1"/>
    <col min="1294" max="1294" width="9.125" style="47"/>
    <col min="1295" max="1301" width="8.875" style="47" customWidth="1"/>
    <col min="1302" max="1308" width="9.125" style="47"/>
    <col min="1309" max="1309" width="14.375" style="47" customWidth="1"/>
    <col min="1310" max="1310" width="13.125" style="47" customWidth="1"/>
    <col min="1311" max="1314" width="9.125" style="47"/>
    <col min="1315" max="1315" width="9.5" style="47" customWidth="1"/>
    <col min="1316" max="1536" width="9.125" style="47"/>
    <col min="1537" max="1537" width="4.625" style="47" customWidth="1"/>
    <col min="1538" max="1538" width="10.875" style="47" customWidth="1"/>
    <col min="1539" max="1539" width="13.625" style="47" customWidth="1"/>
    <col min="1540" max="1540" width="12.125" style="47" customWidth="1"/>
    <col min="1541" max="1541" width="10.125" style="47" customWidth="1"/>
    <col min="1542" max="1542" width="12.5" style="47" customWidth="1"/>
    <col min="1543" max="1543" width="13.375" style="47" customWidth="1"/>
    <col min="1544" max="1544" width="11.5" style="47" customWidth="1"/>
    <col min="1545" max="1545" width="15.5" style="47" customWidth="1"/>
    <col min="1546" max="1546" width="4.625" style="47" customWidth="1"/>
    <col min="1547" max="1547" width="13.625" style="47" customWidth="1"/>
    <col min="1548" max="1548" width="9.125" style="47"/>
    <col min="1549" max="1549" width="9.5" style="47" customWidth="1"/>
    <col min="1550" max="1550" width="9.125" style="47"/>
    <col min="1551" max="1557" width="8.875" style="47" customWidth="1"/>
    <col min="1558" max="1564" width="9.125" style="47"/>
    <col min="1565" max="1565" width="14.375" style="47" customWidth="1"/>
    <col min="1566" max="1566" width="13.125" style="47" customWidth="1"/>
    <col min="1567" max="1570" width="9.125" style="47"/>
    <col min="1571" max="1571" width="9.5" style="47" customWidth="1"/>
    <col min="1572" max="1792" width="9.125" style="47"/>
    <col min="1793" max="1793" width="4.625" style="47" customWidth="1"/>
    <col min="1794" max="1794" width="10.875" style="47" customWidth="1"/>
    <col min="1795" max="1795" width="13.625" style="47" customWidth="1"/>
    <col min="1796" max="1796" width="12.125" style="47" customWidth="1"/>
    <col min="1797" max="1797" width="10.125" style="47" customWidth="1"/>
    <col min="1798" max="1798" width="12.5" style="47" customWidth="1"/>
    <col min="1799" max="1799" width="13.375" style="47" customWidth="1"/>
    <col min="1800" max="1800" width="11.5" style="47" customWidth="1"/>
    <col min="1801" max="1801" width="15.5" style="47" customWidth="1"/>
    <col min="1802" max="1802" width="4.625" style="47" customWidth="1"/>
    <col min="1803" max="1803" width="13.625" style="47" customWidth="1"/>
    <col min="1804" max="1804" width="9.125" style="47"/>
    <col min="1805" max="1805" width="9.5" style="47" customWidth="1"/>
    <col min="1806" max="1806" width="9.125" style="47"/>
    <col min="1807" max="1813" width="8.875" style="47" customWidth="1"/>
    <col min="1814" max="1820" width="9.125" style="47"/>
    <col min="1821" max="1821" width="14.375" style="47" customWidth="1"/>
    <col min="1822" max="1822" width="13.125" style="47" customWidth="1"/>
    <col min="1823" max="1826" width="9.125" style="47"/>
    <col min="1827" max="1827" width="9.5" style="47" customWidth="1"/>
    <col min="1828" max="2048" width="9.125" style="47"/>
    <col min="2049" max="2049" width="4.625" style="47" customWidth="1"/>
    <col min="2050" max="2050" width="10.875" style="47" customWidth="1"/>
    <col min="2051" max="2051" width="13.625" style="47" customWidth="1"/>
    <col min="2052" max="2052" width="12.125" style="47" customWidth="1"/>
    <col min="2053" max="2053" width="10.125" style="47" customWidth="1"/>
    <col min="2054" max="2054" width="12.5" style="47" customWidth="1"/>
    <col min="2055" max="2055" width="13.375" style="47" customWidth="1"/>
    <col min="2056" max="2056" width="11.5" style="47" customWidth="1"/>
    <col min="2057" max="2057" width="15.5" style="47" customWidth="1"/>
    <col min="2058" max="2058" width="4.625" style="47" customWidth="1"/>
    <col min="2059" max="2059" width="13.625" style="47" customWidth="1"/>
    <col min="2060" max="2060" width="9.125" style="47"/>
    <col min="2061" max="2061" width="9.5" style="47" customWidth="1"/>
    <col min="2062" max="2062" width="9.125" style="47"/>
    <col min="2063" max="2069" width="8.875" style="47" customWidth="1"/>
    <col min="2070" max="2076" width="9.125" style="47"/>
    <col min="2077" max="2077" width="14.375" style="47" customWidth="1"/>
    <col min="2078" max="2078" width="13.125" style="47" customWidth="1"/>
    <col min="2079" max="2082" width="9.125" style="47"/>
    <col min="2083" max="2083" width="9.5" style="47" customWidth="1"/>
    <col min="2084" max="2304" width="9.125" style="47"/>
    <col min="2305" max="2305" width="4.625" style="47" customWidth="1"/>
    <col min="2306" max="2306" width="10.875" style="47" customWidth="1"/>
    <col min="2307" max="2307" width="13.625" style="47" customWidth="1"/>
    <col min="2308" max="2308" width="12.125" style="47" customWidth="1"/>
    <col min="2309" max="2309" width="10.125" style="47" customWidth="1"/>
    <col min="2310" max="2310" width="12.5" style="47" customWidth="1"/>
    <col min="2311" max="2311" width="13.375" style="47" customWidth="1"/>
    <col min="2312" max="2312" width="11.5" style="47" customWidth="1"/>
    <col min="2313" max="2313" width="15.5" style="47" customWidth="1"/>
    <col min="2314" max="2314" width="4.625" style="47" customWidth="1"/>
    <col min="2315" max="2315" width="13.625" style="47" customWidth="1"/>
    <col min="2316" max="2316" width="9.125" style="47"/>
    <col min="2317" max="2317" width="9.5" style="47" customWidth="1"/>
    <col min="2318" max="2318" width="9.125" style="47"/>
    <col min="2319" max="2325" width="8.875" style="47" customWidth="1"/>
    <col min="2326" max="2332" width="9.125" style="47"/>
    <col min="2333" max="2333" width="14.375" style="47" customWidth="1"/>
    <col min="2334" max="2334" width="13.125" style="47" customWidth="1"/>
    <col min="2335" max="2338" width="9.125" style="47"/>
    <col min="2339" max="2339" width="9.5" style="47" customWidth="1"/>
    <col min="2340" max="2560" width="9.125" style="47"/>
    <col min="2561" max="2561" width="4.625" style="47" customWidth="1"/>
    <col min="2562" max="2562" width="10.875" style="47" customWidth="1"/>
    <col min="2563" max="2563" width="13.625" style="47" customWidth="1"/>
    <col min="2564" max="2564" width="12.125" style="47" customWidth="1"/>
    <col min="2565" max="2565" width="10.125" style="47" customWidth="1"/>
    <col min="2566" max="2566" width="12.5" style="47" customWidth="1"/>
    <col min="2567" max="2567" width="13.375" style="47" customWidth="1"/>
    <col min="2568" max="2568" width="11.5" style="47" customWidth="1"/>
    <col min="2569" max="2569" width="15.5" style="47" customWidth="1"/>
    <col min="2570" max="2570" width="4.625" style="47" customWidth="1"/>
    <col min="2571" max="2571" width="13.625" style="47" customWidth="1"/>
    <col min="2572" max="2572" width="9.125" style="47"/>
    <col min="2573" max="2573" width="9.5" style="47" customWidth="1"/>
    <col min="2574" max="2574" width="9.125" style="47"/>
    <col min="2575" max="2581" width="8.875" style="47" customWidth="1"/>
    <col min="2582" max="2588" width="9.125" style="47"/>
    <col min="2589" max="2589" width="14.375" style="47" customWidth="1"/>
    <col min="2590" max="2590" width="13.125" style="47" customWidth="1"/>
    <col min="2591" max="2594" width="9.125" style="47"/>
    <col min="2595" max="2595" width="9.5" style="47" customWidth="1"/>
    <col min="2596" max="2816" width="9.125" style="47"/>
    <col min="2817" max="2817" width="4.625" style="47" customWidth="1"/>
    <col min="2818" max="2818" width="10.875" style="47" customWidth="1"/>
    <col min="2819" max="2819" width="13.625" style="47" customWidth="1"/>
    <col min="2820" max="2820" width="12.125" style="47" customWidth="1"/>
    <col min="2821" max="2821" width="10.125" style="47" customWidth="1"/>
    <col min="2822" max="2822" width="12.5" style="47" customWidth="1"/>
    <col min="2823" max="2823" width="13.375" style="47" customWidth="1"/>
    <col min="2824" max="2824" width="11.5" style="47" customWidth="1"/>
    <col min="2825" max="2825" width="15.5" style="47" customWidth="1"/>
    <col min="2826" max="2826" width="4.625" style="47" customWidth="1"/>
    <col min="2827" max="2827" width="13.625" style="47" customWidth="1"/>
    <col min="2828" max="2828" width="9.125" style="47"/>
    <col min="2829" max="2829" width="9.5" style="47" customWidth="1"/>
    <col min="2830" max="2830" width="9.125" style="47"/>
    <col min="2831" max="2837" width="8.875" style="47" customWidth="1"/>
    <col min="2838" max="2844" width="9.125" style="47"/>
    <col min="2845" max="2845" width="14.375" style="47" customWidth="1"/>
    <col min="2846" max="2846" width="13.125" style="47" customWidth="1"/>
    <col min="2847" max="2850" width="9.125" style="47"/>
    <col min="2851" max="2851" width="9.5" style="47" customWidth="1"/>
    <col min="2852" max="3072" width="9.125" style="47"/>
    <col min="3073" max="3073" width="4.625" style="47" customWidth="1"/>
    <col min="3074" max="3074" width="10.875" style="47" customWidth="1"/>
    <col min="3075" max="3075" width="13.625" style="47" customWidth="1"/>
    <col min="3076" max="3076" width="12.125" style="47" customWidth="1"/>
    <col min="3077" max="3077" width="10.125" style="47" customWidth="1"/>
    <col min="3078" max="3078" width="12.5" style="47" customWidth="1"/>
    <col min="3079" max="3079" width="13.375" style="47" customWidth="1"/>
    <col min="3080" max="3080" width="11.5" style="47" customWidth="1"/>
    <col min="3081" max="3081" width="15.5" style="47" customWidth="1"/>
    <col min="3082" max="3082" width="4.625" style="47" customWidth="1"/>
    <col min="3083" max="3083" width="13.625" style="47" customWidth="1"/>
    <col min="3084" max="3084" width="9.125" style="47"/>
    <col min="3085" max="3085" width="9.5" style="47" customWidth="1"/>
    <col min="3086" max="3086" width="9.125" style="47"/>
    <col min="3087" max="3093" width="8.875" style="47" customWidth="1"/>
    <col min="3094" max="3100" width="9.125" style="47"/>
    <col min="3101" max="3101" width="14.375" style="47" customWidth="1"/>
    <col min="3102" max="3102" width="13.125" style="47" customWidth="1"/>
    <col min="3103" max="3106" width="9.125" style="47"/>
    <col min="3107" max="3107" width="9.5" style="47" customWidth="1"/>
    <col min="3108" max="3328" width="9.125" style="47"/>
    <col min="3329" max="3329" width="4.625" style="47" customWidth="1"/>
    <col min="3330" max="3330" width="10.875" style="47" customWidth="1"/>
    <col min="3331" max="3331" width="13.625" style="47" customWidth="1"/>
    <col min="3332" max="3332" width="12.125" style="47" customWidth="1"/>
    <col min="3333" max="3333" width="10.125" style="47" customWidth="1"/>
    <col min="3334" max="3334" width="12.5" style="47" customWidth="1"/>
    <col min="3335" max="3335" width="13.375" style="47" customWidth="1"/>
    <col min="3336" max="3336" width="11.5" style="47" customWidth="1"/>
    <col min="3337" max="3337" width="15.5" style="47" customWidth="1"/>
    <col min="3338" max="3338" width="4.625" style="47" customWidth="1"/>
    <col min="3339" max="3339" width="13.625" style="47" customWidth="1"/>
    <col min="3340" max="3340" width="9.125" style="47"/>
    <col min="3341" max="3341" width="9.5" style="47" customWidth="1"/>
    <col min="3342" max="3342" width="9.125" style="47"/>
    <col min="3343" max="3349" width="8.875" style="47" customWidth="1"/>
    <col min="3350" max="3356" width="9.125" style="47"/>
    <col min="3357" max="3357" width="14.375" style="47" customWidth="1"/>
    <col min="3358" max="3358" width="13.125" style="47" customWidth="1"/>
    <col min="3359" max="3362" width="9.125" style="47"/>
    <col min="3363" max="3363" width="9.5" style="47" customWidth="1"/>
    <col min="3364" max="3584" width="9.125" style="47"/>
    <col min="3585" max="3585" width="4.625" style="47" customWidth="1"/>
    <col min="3586" max="3586" width="10.875" style="47" customWidth="1"/>
    <col min="3587" max="3587" width="13.625" style="47" customWidth="1"/>
    <col min="3588" max="3588" width="12.125" style="47" customWidth="1"/>
    <col min="3589" max="3589" width="10.125" style="47" customWidth="1"/>
    <col min="3590" max="3590" width="12.5" style="47" customWidth="1"/>
    <col min="3591" max="3591" width="13.375" style="47" customWidth="1"/>
    <col min="3592" max="3592" width="11.5" style="47" customWidth="1"/>
    <col min="3593" max="3593" width="15.5" style="47" customWidth="1"/>
    <col min="3594" max="3594" width="4.625" style="47" customWidth="1"/>
    <col min="3595" max="3595" width="13.625" style="47" customWidth="1"/>
    <col min="3596" max="3596" width="9.125" style="47"/>
    <col min="3597" max="3597" width="9.5" style="47" customWidth="1"/>
    <col min="3598" max="3598" width="9.125" style="47"/>
    <col min="3599" max="3605" width="8.875" style="47" customWidth="1"/>
    <col min="3606" max="3612" width="9.125" style="47"/>
    <col min="3613" max="3613" width="14.375" style="47" customWidth="1"/>
    <col min="3614" max="3614" width="13.125" style="47" customWidth="1"/>
    <col min="3615" max="3618" width="9.125" style="47"/>
    <col min="3619" max="3619" width="9.5" style="47" customWidth="1"/>
    <col min="3620" max="3840" width="9.125" style="47"/>
    <col min="3841" max="3841" width="4.625" style="47" customWidth="1"/>
    <col min="3842" max="3842" width="10.875" style="47" customWidth="1"/>
    <col min="3843" max="3843" width="13.625" style="47" customWidth="1"/>
    <col min="3844" max="3844" width="12.125" style="47" customWidth="1"/>
    <col min="3845" max="3845" width="10.125" style="47" customWidth="1"/>
    <col min="3846" max="3846" width="12.5" style="47" customWidth="1"/>
    <col min="3847" max="3847" width="13.375" style="47" customWidth="1"/>
    <col min="3848" max="3848" width="11.5" style="47" customWidth="1"/>
    <col min="3849" max="3849" width="15.5" style="47" customWidth="1"/>
    <col min="3850" max="3850" width="4.625" style="47" customWidth="1"/>
    <col min="3851" max="3851" width="13.625" style="47" customWidth="1"/>
    <col min="3852" max="3852" width="9.125" style="47"/>
    <col min="3853" max="3853" width="9.5" style="47" customWidth="1"/>
    <col min="3854" max="3854" width="9.125" style="47"/>
    <col min="3855" max="3861" width="8.875" style="47" customWidth="1"/>
    <col min="3862" max="3868" width="9.125" style="47"/>
    <col min="3869" max="3869" width="14.375" style="47" customWidth="1"/>
    <col min="3870" max="3870" width="13.125" style="47" customWidth="1"/>
    <col min="3871" max="3874" width="9.125" style="47"/>
    <col min="3875" max="3875" width="9.5" style="47" customWidth="1"/>
    <col min="3876" max="4096" width="9.125" style="47"/>
    <col min="4097" max="4097" width="4.625" style="47" customWidth="1"/>
    <col min="4098" max="4098" width="10.875" style="47" customWidth="1"/>
    <col min="4099" max="4099" width="13.625" style="47" customWidth="1"/>
    <col min="4100" max="4100" width="12.125" style="47" customWidth="1"/>
    <col min="4101" max="4101" width="10.125" style="47" customWidth="1"/>
    <col min="4102" max="4102" width="12.5" style="47" customWidth="1"/>
    <col min="4103" max="4103" width="13.375" style="47" customWidth="1"/>
    <col min="4104" max="4104" width="11.5" style="47" customWidth="1"/>
    <col min="4105" max="4105" width="15.5" style="47" customWidth="1"/>
    <col min="4106" max="4106" width="4.625" style="47" customWidth="1"/>
    <col min="4107" max="4107" width="13.625" style="47" customWidth="1"/>
    <col min="4108" max="4108" width="9.125" style="47"/>
    <col min="4109" max="4109" width="9.5" style="47" customWidth="1"/>
    <col min="4110" max="4110" width="9.125" style="47"/>
    <col min="4111" max="4117" width="8.875" style="47" customWidth="1"/>
    <col min="4118" max="4124" width="9.125" style="47"/>
    <col min="4125" max="4125" width="14.375" style="47" customWidth="1"/>
    <col min="4126" max="4126" width="13.125" style="47" customWidth="1"/>
    <col min="4127" max="4130" width="9.125" style="47"/>
    <col min="4131" max="4131" width="9.5" style="47" customWidth="1"/>
    <col min="4132" max="4352" width="9.125" style="47"/>
    <col min="4353" max="4353" width="4.625" style="47" customWidth="1"/>
    <col min="4354" max="4354" width="10.875" style="47" customWidth="1"/>
    <col min="4355" max="4355" width="13.625" style="47" customWidth="1"/>
    <col min="4356" max="4356" width="12.125" style="47" customWidth="1"/>
    <col min="4357" max="4357" width="10.125" style="47" customWidth="1"/>
    <col min="4358" max="4358" width="12.5" style="47" customWidth="1"/>
    <col min="4359" max="4359" width="13.375" style="47" customWidth="1"/>
    <col min="4360" max="4360" width="11.5" style="47" customWidth="1"/>
    <col min="4361" max="4361" width="15.5" style="47" customWidth="1"/>
    <col min="4362" max="4362" width="4.625" style="47" customWidth="1"/>
    <col min="4363" max="4363" width="13.625" style="47" customWidth="1"/>
    <col min="4364" max="4364" width="9.125" style="47"/>
    <col min="4365" max="4365" width="9.5" style="47" customWidth="1"/>
    <col min="4366" max="4366" width="9.125" style="47"/>
    <col min="4367" max="4373" width="8.875" style="47" customWidth="1"/>
    <col min="4374" max="4380" width="9.125" style="47"/>
    <col min="4381" max="4381" width="14.375" style="47" customWidth="1"/>
    <col min="4382" max="4382" width="13.125" style="47" customWidth="1"/>
    <col min="4383" max="4386" width="9.125" style="47"/>
    <col min="4387" max="4387" width="9.5" style="47" customWidth="1"/>
    <col min="4388" max="4608" width="9.125" style="47"/>
    <col min="4609" max="4609" width="4.625" style="47" customWidth="1"/>
    <col min="4610" max="4610" width="10.875" style="47" customWidth="1"/>
    <col min="4611" max="4611" width="13.625" style="47" customWidth="1"/>
    <col min="4612" max="4612" width="12.125" style="47" customWidth="1"/>
    <col min="4613" max="4613" width="10.125" style="47" customWidth="1"/>
    <col min="4614" max="4614" width="12.5" style="47" customWidth="1"/>
    <col min="4615" max="4615" width="13.375" style="47" customWidth="1"/>
    <col min="4616" max="4616" width="11.5" style="47" customWidth="1"/>
    <col min="4617" max="4617" width="15.5" style="47" customWidth="1"/>
    <col min="4618" max="4618" width="4.625" style="47" customWidth="1"/>
    <col min="4619" max="4619" width="13.625" style="47" customWidth="1"/>
    <col min="4620" max="4620" width="9.125" style="47"/>
    <col min="4621" max="4621" width="9.5" style="47" customWidth="1"/>
    <col min="4622" max="4622" width="9.125" style="47"/>
    <col min="4623" max="4629" width="8.875" style="47" customWidth="1"/>
    <col min="4630" max="4636" width="9.125" style="47"/>
    <col min="4637" max="4637" width="14.375" style="47" customWidth="1"/>
    <col min="4638" max="4638" width="13.125" style="47" customWidth="1"/>
    <col min="4639" max="4642" width="9.125" style="47"/>
    <col min="4643" max="4643" width="9.5" style="47" customWidth="1"/>
    <col min="4644" max="4864" width="9.125" style="47"/>
    <col min="4865" max="4865" width="4.625" style="47" customWidth="1"/>
    <col min="4866" max="4866" width="10.875" style="47" customWidth="1"/>
    <col min="4867" max="4867" width="13.625" style="47" customWidth="1"/>
    <col min="4868" max="4868" width="12.125" style="47" customWidth="1"/>
    <col min="4869" max="4869" width="10.125" style="47" customWidth="1"/>
    <col min="4870" max="4870" width="12.5" style="47" customWidth="1"/>
    <col min="4871" max="4871" width="13.375" style="47" customWidth="1"/>
    <col min="4872" max="4872" width="11.5" style="47" customWidth="1"/>
    <col min="4873" max="4873" width="15.5" style="47" customWidth="1"/>
    <col min="4874" max="4874" width="4.625" style="47" customWidth="1"/>
    <col min="4875" max="4875" width="13.625" style="47" customWidth="1"/>
    <col min="4876" max="4876" width="9.125" style="47"/>
    <col min="4877" max="4877" width="9.5" style="47" customWidth="1"/>
    <col min="4878" max="4878" width="9.125" style="47"/>
    <col min="4879" max="4885" width="8.875" style="47" customWidth="1"/>
    <col min="4886" max="4892" width="9.125" style="47"/>
    <col min="4893" max="4893" width="14.375" style="47" customWidth="1"/>
    <col min="4894" max="4894" width="13.125" style="47" customWidth="1"/>
    <col min="4895" max="4898" width="9.125" style="47"/>
    <col min="4899" max="4899" width="9.5" style="47" customWidth="1"/>
    <col min="4900" max="5120" width="9.125" style="47"/>
    <col min="5121" max="5121" width="4.625" style="47" customWidth="1"/>
    <col min="5122" max="5122" width="10.875" style="47" customWidth="1"/>
    <col min="5123" max="5123" width="13.625" style="47" customWidth="1"/>
    <col min="5124" max="5124" width="12.125" style="47" customWidth="1"/>
    <col min="5125" max="5125" width="10.125" style="47" customWidth="1"/>
    <col min="5126" max="5126" width="12.5" style="47" customWidth="1"/>
    <col min="5127" max="5127" width="13.375" style="47" customWidth="1"/>
    <col min="5128" max="5128" width="11.5" style="47" customWidth="1"/>
    <col min="5129" max="5129" width="15.5" style="47" customWidth="1"/>
    <col min="5130" max="5130" width="4.625" style="47" customWidth="1"/>
    <col min="5131" max="5131" width="13.625" style="47" customWidth="1"/>
    <col min="5132" max="5132" width="9.125" style="47"/>
    <col min="5133" max="5133" width="9.5" style="47" customWidth="1"/>
    <col min="5134" max="5134" width="9.125" style="47"/>
    <col min="5135" max="5141" width="8.875" style="47" customWidth="1"/>
    <col min="5142" max="5148" width="9.125" style="47"/>
    <col min="5149" max="5149" width="14.375" style="47" customWidth="1"/>
    <col min="5150" max="5150" width="13.125" style="47" customWidth="1"/>
    <col min="5151" max="5154" width="9.125" style="47"/>
    <col min="5155" max="5155" width="9.5" style="47" customWidth="1"/>
    <col min="5156" max="5376" width="9.125" style="47"/>
    <col min="5377" max="5377" width="4.625" style="47" customWidth="1"/>
    <col min="5378" max="5378" width="10.875" style="47" customWidth="1"/>
    <col min="5379" max="5379" width="13.625" style="47" customWidth="1"/>
    <col min="5380" max="5380" width="12.125" style="47" customWidth="1"/>
    <col min="5381" max="5381" width="10.125" style="47" customWidth="1"/>
    <col min="5382" max="5382" width="12.5" style="47" customWidth="1"/>
    <col min="5383" max="5383" width="13.375" style="47" customWidth="1"/>
    <col min="5384" max="5384" width="11.5" style="47" customWidth="1"/>
    <col min="5385" max="5385" width="15.5" style="47" customWidth="1"/>
    <col min="5386" max="5386" width="4.625" style="47" customWidth="1"/>
    <col min="5387" max="5387" width="13.625" style="47" customWidth="1"/>
    <col min="5388" max="5388" width="9.125" style="47"/>
    <col min="5389" max="5389" width="9.5" style="47" customWidth="1"/>
    <col min="5390" max="5390" width="9.125" style="47"/>
    <col min="5391" max="5397" width="8.875" style="47" customWidth="1"/>
    <col min="5398" max="5404" width="9.125" style="47"/>
    <col min="5405" max="5405" width="14.375" style="47" customWidth="1"/>
    <col min="5406" max="5406" width="13.125" style="47" customWidth="1"/>
    <col min="5407" max="5410" width="9.125" style="47"/>
    <col min="5411" max="5411" width="9.5" style="47" customWidth="1"/>
    <col min="5412" max="5632" width="9.125" style="47"/>
    <col min="5633" max="5633" width="4.625" style="47" customWidth="1"/>
    <col min="5634" max="5634" width="10.875" style="47" customWidth="1"/>
    <col min="5635" max="5635" width="13.625" style="47" customWidth="1"/>
    <col min="5636" max="5636" width="12.125" style="47" customWidth="1"/>
    <col min="5637" max="5637" width="10.125" style="47" customWidth="1"/>
    <col min="5638" max="5638" width="12.5" style="47" customWidth="1"/>
    <col min="5639" max="5639" width="13.375" style="47" customWidth="1"/>
    <col min="5640" max="5640" width="11.5" style="47" customWidth="1"/>
    <col min="5641" max="5641" width="15.5" style="47" customWidth="1"/>
    <col min="5642" max="5642" width="4.625" style="47" customWidth="1"/>
    <col min="5643" max="5643" width="13.625" style="47" customWidth="1"/>
    <col min="5644" max="5644" width="9.125" style="47"/>
    <col min="5645" max="5645" width="9.5" style="47" customWidth="1"/>
    <col min="5646" max="5646" width="9.125" style="47"/>
    <col min="5647" max="5653" width="8.875" style="47" customWidth="1"/>
    <col min="5654" max="5660" width="9.125" style="47"/>
    <col min="5661" max="5661" width="14.375" style="47" customWidth="1"/>
    <col min="5662" max="5662" width="13.125" style="47" customWidth="1"/>
    <col min="5663" max="5666" width="9.125" style="47"/>
    <col min="5667" max="5667" width="9.5" style="47" customWidth="1"/>
    <col min="5668" max="5888" width="9.125" style="47"/>
    <col min="5889" max="5889" width="4.625" style="47" customWidth="1"/>
    <col min="5890" max="5890" width="10.875" style="47" customWidth="1"/>
    <col min="5891" max="5891" width="13.625" style="47" customWidth="1"/>
    <col min="5892" max="5892" width="12.125" style="47" customWidth="1"/>
    <col min="5893" max="5893" width="10.125" style="47" customWidth="1"/>
    <col min="5894" max="5894" width="12.5" style="47" customWidth="1"/>
    <col min="5895" max="5895" width="13.375" style="47" customWidth="1"/>
    <col min="5896" max="5896" width="11.5" style="47" customWidth="1"/>
    <col min="5897" max="5897" width="15.5" style="47" customWidth="1"/>
    <col min="5898" max="5898" width="4.625" style="47" customWidth="1"/>
    <col min="5899" max="5899" width="13.625" style="47" customWidth="1"/>
    <col min="5900" max="5900" width="9.125" style="47"/>
    <col min="5901" max="5901" width="9.5" style="47" customWidth="1"/>
    <col min="5902" max="5902" width="9.125" style="47"/>
    <col min="5903" max="5909" width="8.875" style="47" customWidth="1"/>
    <col min="5910" max="5916" width="9.125" style="47"/>
    <col min="5917" max="5917" width="14.375" style="47" customWidth="1"/>
    <col min="5918" max="5918" width="13.125" style="47" customWidth="1"/>
    <col min="5919" max="5922" width="9.125" style="47"/>
    <col min="5923" max="5923" width="9.5" style="47" customWidth="1"/>
    <col min="5924" max="6144" width="9.125" style="47"/>
    <col min="6145" max="6145" width="4.625" style="47" customWidth="1"/>
    <col min="6146" max="6146" width="10.875" style="47" customWidth="1"/>
    <col min="6147" max="6147" width="13.625" style="47" customWidth="1"/>
    <col min="6148" max="6148" width="12.125" style="47" customWidth="1"/>
    <col min="6149" max="6149" width="10.125" style="47" customWidth="1"/>
    <col min="6150" max="6150" width="12.5" style="47" customWidth="1"/>
    <col min="6151" max="6151" width="13.375" style="47" customWidth="1"/>
    <col min="6152" max="6152" width="11.5" style="47" customWidth="1"/>
    <col min="6153" max="6153" width="15.5" style="47" customWidth="1"/>
    <col min="6154" max="6154" width="4.625" style="47" customWidth="1"/>
    <col min="6155" max="6155" width="13.625" style="47" customWidth="1"/>
    <col min="6156" max="6156" width="9.125" style="47"/>
    <col min="6157" max="6157" width="9.5" style="47" customWidth="1"/>
    <col min="6158" max="6158" width="9.125" style="47"/>
    <col min="6159" max="6165" width="8.875" style="47" customWidth="1"/>
    <col min="6166" max="6172" width="9.125" style="47"/>
    <col min="6173" max="6173" width="14.375" style="47" customWidth="1"/>
    <col min="6174" max="6174" width="13.125" style="47" customWidth="1"/>
    <col min="6175" max="6178" width="9.125" style="47"/>
    <col min="6179" max="6179" width="9.5" style="47" customWidth="1"/>
    <col min="6180" max="6400" width="9.125" style="47"/>
    <col min="6401" max="6401" width="4.625" style="47" customWidth="1"/>
    <col min="6402" max="6402" width="10.875" style="47" customWidth="1"/>
    <col min="6403" max="6403" width="13.625" style="47" customWidth="1"/>
    <col min="6404" max="6404" width="12.125" style="47" customWidth="1"/>
    <col min="6405" max="6405" width="10.125" style="47" customWidth="1"/>
    <col min="6406" max="6406" width="12.5" style="47" customWidth="1"/>
    <col min="6407" max="6407" width="13.375" style="47" customWidth="1"/>
    <col min="6408" max="6408" width="11.5" style="47" customWidth="1"/>
    <col min="6409" max="6409" width="15.5" style="47" customWidth="1"/>
    <col min="6410" max="6410" width="4.625" style="47" customWidth="1"/>
    <col min="6411" max="6411" width="13.625" style="47" customWidth="1"/>
    <col min="6412" max="6412" width="9.125" style="47"/>
    <col min="6413" max="6413" width="9.5" style="47" customWidth="1"/>
    <col min="6414" max="6414" width="9.125" style="47"/>
    <col min="6415" max="6421" width="8.875" style="47" customWidth="1"/>
    <col min="6422" max="6428" width="9.125" style="47"/>
    <col min="6429" max="6429" width="14.375" style="47" customWidth="1"/>
    <col min="6430" max="6430" width="13.125" style="47" customWidth="1"/>
    <col min="6431" max="6434" width="9.125" style="47"/>
    <col min="6435" max="6435" width="9.5" style="47" customWidth="1"/>
    <col min="6436" max="6656" width="9.125" style="47"/>
    <col min="6657" max="6657" width="4.625" style="47" customWidth="1"/>
    <col min="6658" max="6658" width="10.875" style="47" customWidth="1"/>
    <col min="6659" max="6659" width="13.625" style="47" customWidth="1"/>
    <col min="6660" max="6660" width="12.125" style="47" customWidth="1"/>
    <col min="6661" max="6661" width="10.125" style="47" customWidth="1"/>
    <col min="6662" max="6662" width="12.5" style="47" customWidth="1"/>
    <col min="6663" max="6663" width="13.375" style="47" customWidth="1"/>
    <col min="6664" max="6664" width="11.5" style="47" customWidth="1"/>
    <col min="6665" max="6665" width="15.5" style="47" customWidth="1"/>
    <col min="6666" max="6666" width="4.625" style="47" customWidth="1"/>
    <col min="6667" max="6667" width="13.625" style="47" customWidth="1"/>
    <col min="6668" max="6668" width="9.125" style="47"/>
    <col min="6669" max="6669" width="9.5" style="47" customWidth="1"/>
    <col min="6670" max="6670" width="9.125" style="47"/>
    <col min="6671" max="6677" width="8.875" style="47" customWidth="1"/>
    <col min="6678" max="6684" width="9.125" style="47"/>
    <col min="6685" max="6685" width="14.375" style="47" customWidth="1"/>
    <col min="6686" max="6686" width="13.125" style="47" customWidth="1"/>
    <col min="6687" max="6690" width="9.125" style="47"/>
    <col min="6691" max="6691" width="9.5" style="47" customWidth="1"/>
    <col min="6692" max="6912" width="9.125" style="47"/>
    <col min="6913" max="6913" width="4.625" style="47" customWidth="1"/>
    <col min="6914" max="6914" width="10.875" style="47" customWidth="1"/>
    <col min="6915" max="6915" width="13.625" style="47" customWidth="1"/>
    <col min="6916" max="6916" width="12.125" style="47" customWidth="1"/>
    <col min="6917" max="6917" width="10.125" style="47" customWidth="1"/>
    <col min="6918" max="6918" width="12.5" style="47" customWidth="1"/>
    <col min="6919" max="6919" width="13.375" style="47" customWidth="1"/>
    <col min="6920" max="6920" width="11.5" style="47" customWidth="1"/>
    <col min="6921" max="6921" width="15.5" style="47" customWidth="1"/>
    <col min="6922" max="6922" width="4.625" style="47" customWidth="1"/>
    <col min="6923" max="6923" width="13.625" style="47" customWidth="1"/>
    <col min="6924" max="6924" width="9.125" style="47"/>
    <col min="6925" max="6925" width="9.5" style="47" customWidth="1"/>
    <col min="6926" max="6926" width="9.125" style="47"/>
    <col min="6927" max="6933" width="8.875" style="47" customWidth="1"/>
    <col min="6934" max="6940" width="9.125" style="47"/>
    <col min="6941" max="6941" width="14.375" style="47" customWidth="1"/>
    <col min="6942" max="6942" width="13.125" style="47" customWidth="1"/>
    <col min="6943" max="6946" width="9.125" style="47"/>
    <col min="6947" max="6947" width="9.5" style="47" customWidth="1"/>
    <col min="6948" max="7168" width="9.125" style="47"/>
    <col min="7169" max="7169" width="4.625" style="47" customWidth="1"/>
    <col min="7170" max="7170" width="10.875" style="47" customWidth="1"/>
    <col min="7171" max="7171" width="13.625" style="47" customWidth="1"/>
    <col min="7172" max="7172" width="12.125" style="47" customWidth="1"/>
    <col min="7173" max="7173" width="10.125" style="47" customWidth="1"/>
    <col min="7174" max="7174" width="12.5" style="47" customWidth="1"/>
    <col min="7175" max="7175" width="13.375" style="47" customWidth="1"/>
    <col min="7176" max="7176" width="11.5" style="47" customWidth="1"/>
    <col min="7177" max="7177" width="15.5" style="47" customWidth="1"/>
    <col min="7178" max="7178" width="4.625" style="47" customWidth="1"/>
    <col min="7179" max="7179" width="13.625" style="47" customWidth="1"/>
    <col min="7180" max="7180" width="9.125" style="47"/>
    <col min="7181" max="7181" width="9.5" style="47" customWidth="1"/>
    <col min="7182" max="7182" width="9.125" style="47"/>
    <col min="7183" max="7189" width="8.875" style="47" customWidth="1"/>
    <col min="7190" max="7196" width="9.125" style="47"/>
    <col min="7197" max="7197" width="14.375" style="47" customWidth="1"/>
    <col min="7198" max="7198" width="13.125" style="47" customWidth="1"/>
    <col min="7199" max="7202" width="9.125" style="47"/>
    <col min="7203" max="7203" width="9.5" style="47" customWidth="1"/>
    <col min="7204" max="7424" width="9.125" style="47"/>
    <col min="7425" max="7425" width="4.625" style="47" customWidth="1"/>
    <col min="7426" max="7426" width="10.875" style="47" customWidth="1"/>
    <col min="7427" max="7427" width="13.625" style="47" customWidth="1"/>
    <col min="7428" max="7428" width="12.125" style="47" customWidth="1"/>
    <col min="7429" max="7429" width="10.125" style="47" customWidth="1"/>
    <col min="7430" max="7430" width="12.5" style="47" customWidth="1"/>
    <col min="7431" max="7431" width="13.375" style="47" customWidth="1"/>
    <col min="7432" max="7432" width="11.5" style="47" customWidth="1"/>
    <col min="7433" max="7433" width="15.5" style="47" customWidth="1"/>
    <col min="7434" max="7434" width="4.625" style="47" customWidth="1"/>
    <col min="7435" max="7435" width="13.625" style="47" customWidth="1"/>
    <col min="7436" max="7436" width="9.125" style="47"/>
    <col min="7437" max="7437" width="9.5" style="47" customWidth="1"/>
    <col min="7438" max="7438" width="9.125" style="47"/>
    <col min="7439" max="7445" width="8.875" style="47" customWidth="1"/>
    <col min="7446" max="7452" width="9.125" style="47"/>
    <col min="7453" max="7453" width="14.375" style="47" customWidth="1"/>
    <col min="7454" max="7454" width="13.125" style="47" customWidth="1"/>
    <col min="7455" max="7458" width="9.125" style="47"/>
    <col min="7459" max="7459" width="9.5" style="47" customWidth="1"/>
    <col min="7460" max="7680" width="9.125" style="47"/>
    <col min="7681" max="7681" width="4.625" style="47" customWidth="1"/>
    <col min="7682" max="7682" width="10.875" style="47" customWidth="1"/>
    <col min="7683" max="7683" width="13.625" style="47" customWidth="1"/>
    <col min="7684" max="7684" width="12.125" style="47" customWidth="1"/>
    <col min="7685" max="7685" width="10.125" style="47" customWidth="1"/>
    <col min="7686" max="7686" width="12.5" style="47" customWidth="1"/>
    <col min="7687" max="7687" width="13.375" style="47" customWidth="1"/>
    <col min="7688" max="7688" width="11.5" style="47" customWidth="1"/>
    <col min="7689" max="7689" width="15.5" style="47" customWidth="1"/>
    <col min="7690" max="7690" width="4.625" style="47" customWidth="1"/>
    <col min="7691" max="7691" width="13.625" style="47" customWidth="1"/>
    <col min="7692" max="7692" width="9.125" style="47"/>
    <col min="7693" max="7693" width="9.5" style="47" customWidth="1"/>
    <col min="7694" max="7694" width="9.125" style="47"/>
    <col min="7695" max="7701" width="8.875" style="47" customWidth="1"/>
    <col min="7702" max="7708" width="9.125" style="47"/>
    <col min="7709" max="7709" width="14.375" style="47" customWidth="1"/>
    <col min="7710" max="7710" width="13.125" style="47" customWidth="1"/>
    <col min="7711" max="7714" width="9.125" style="47"/>
    <col min="7715" max="7715" width="9.5" style="47" customWidth="1"/>
    <col min="7716" max="7936" width="9.125" style="47"/>
    <col min="7937" max="7937" width="4.625" style="47" customWidth="1"/>
    <col min="7938" max="7938" width="10.875" style="47" customWidth="1"/>
    <col min="7939" max="7939" width="13.625" style="47" customWidth="1"/>
    <col min="7940" max="7940" width="12.125" style="47" customWidth="1"/>
    <col min="7941" max="7941" width="10.125" style="47" customWidth="1"/>
    <col min="7942" max="7942" width="12.5" style="47" customWidth="1"/>
    <col min="7943" max="7943" width="13.375" style="47" customWidth="1"/>
    <col min="7944" max="7944" width="11.5" style="47" customWidth="1"/>
    <col min="7945" max="7945" width="15.5" style="47" customWidth="1"/>
    <col min="7946" max="7946" width="4.625" style="47" customWidth="1"/>
    <col min="7947" max="7947" width="13.625" style="47" customWidth="1"/>
    <col min="7948" max="7948" width="9.125" style="47"/>
    <col min="7949" max="7949" width="9.5" style="47" customWidth="1"/>
    <col min="7950" max="7950" width="9.125" style="47"/>
    <col min="7951" max="7957" width="8.875" style="47" customWidth="1"/>
    <col min="7958" max="7964" width="9.125" style="47"/>
    <col min="7965" max="7965" width="14.375" style="47" customWidth="1"/>
    <col min="7966" max="7966" width="13.125" style="47" customWidth="1"/>
    <col min="7967" max="7970" width="9.125" style="47"/>
    <col min="7971" max="7971" width="9.5" style="47" customWidth="1"/>
    <col min="7972" max="8192" width="9.125" style="47"/>
    <col min="8193" max="8193" width="4.625" style="47" customWidth="1"/>
    <col min="8194" max="8194" width="10.875" style="47" customWidth="1"/>
    <col min="8195" max="8195" width="13.625" style="47" customWidth="1"/>
    <col min="8196" max="8196" width="12.125" style="47" customWidth="1"/>
    <col min="8197" max="8197" width="10.125" style="47" customWidth="1"/>
    <col min="8198" max="8198" width="12.5" style="47" customWidth="1"/>
    <col min="8199" max="8199" width="13.375" style="47" customWidth="1"/>
    <col min="8200" max="8200" width="11.5" style="47" customWidth="1"/>
    <col min="8201" max="8201" width="15.5" style="47" customWidth="1"/>
    <col min="8202" max="8202" width="4.625" style="47" customWidth="1"/>
    <col min="8203" max="8203" width="13.625" style="47" customWidth="1"/>
    <col min="8204" max="8204" width="9.125" style="47"/>
    <col min="8205" max="8205" width="9.5" style="47" customWidth="1"/>
    <col min="8206" max="8206" width="9.125" style="47"/>
    <col min="8207" max="8213" width="8.875" style="47" customWidth="1"/>
    <col min="8214" max="8220" width="9.125" style="47"/>
    <col min="8221" max="8221" width="14.375" style="47" customWidth="1"/>
    <col min="8222" max="8222" width="13.125" style="47" customWidth="1"/>
    <col min="8223" max="8226" width="9.125" style="47"/>
    <col min="8227" max="8227" width="9.5" style="47" customWidth="1"/>
    <col min="8228" max="8448" width="9.125" style="47"/>
    <col min="8449" max="8449" width="4.625" style="47" customWidth="1"/>
    <col min="8450" max="8450" width="10.875" style="47" customWidth="1"/>
    <col min="8451" max="8451" width="13.625" style="47" customWidth="1"/>
    <col min="8452" max="8452" width="12.125" style="47" customWidth="1"/>
    <col min="8453" max="8453" width="10.125" style="47" customWidth="1"/>
    <col min="8454" max="8454" width="12.5" style="47" customWidth="1"/>
    <col min="8455" max="8455" width="13.375" style="47" customWidth="1"/>
    <col min="8456" max="8456" width="11.5" style="47" customWidth="1"/>
    <col min="8457" max="8457" width="15.5" style="47" customWidth="1"/>
    <col min="8458" max="8458" width="4.625" style="47" customWidth="1"/>
    <col min="8459" max="8459" width="13.625" style="47" customWidth="1"/>
    <col min="8460" max="8460" width="9.125" style="47"/>
    <col min="8461" max="8461" width="9.5" style="47" customWidth="1"/>
    <col min="8462" max="8462" width="9.125" style="47"/>
    <col min="8463" max="8469" width="8.875" style="47" customWidth="1"/>
    <col min="8470" max="8476" width="9.125" style="47"/>
    <col min="8477" max="8477" width="14.375" style="47" customWidth="1"/>
    <col min="8478" max="8478" width="13.125" style="47" customWidth="1"/>
    <col min="8479" max="8482" width="9.125" style="47"/>
    <col min="8483" max="8483" width="9.5" style="47" customWidth="1"/>
    <col min="8484" max="8704" width="9.125" style="47"/>
    <col min="8705" max="8705" width="4.625" style="47" customWidth="1"/>
    <col min="8706" max="8706" width="10.875" style="47" customWidth="1"/>
    <col min="8707" max="8707" width="13.625" style="47" customWidth="1"/>
    <col min="8708" max="8708" width="12.125" style="47" customWidth="1"/>
    <col min="8709" max="8709" width="10.125" style="47" customWidth="1"/>
    <col min="8710" max="8710" width="12.5" style="47" customWidth="1"/>
    <col min="8711" max="8711" width="13.375" style="47" customWidth="1"/>
    <col min="8712" max="8712" width="11.5" style="47" customWidth="1"/>
    <col min="8713" max="8713" width="15.5" style="47" customWidth="1"/>
    <col min="8714" max="8714" width="4.625" style="47" customWidth="1"/>
    <col min="8715" max="8715" width="13.625" style="47" customWidth="1"/>
    <col min="8716" max="8716" width="9.125" style="47"/>
    <col min="8717" max="8717" width="9.5" style="47" customWidth="1"/>
    <col min="8718" max="8718" width="9.125" style="47"/>
    <col min="8719" max="8725" width="8.875" style="47" customWidth="1"/>
    <col min="8726" max="8732" width="9.125" style="47"/>
    <col min="8733" max="8733" width="14.375" style="47" customWidth="1"/>
    <col min="8734" max="8734" width="13.125" style="47" customWidth="1"/>
    <col min="8735" max="8738" width="9.125" style="47"/>
    <col min="8739" max="8739" width="9.5" style="47" customWidth="1"/>
    <col min="8740" max="8960" width="9.125" style="47"/>
    <col min="8961" max="8961" width="4.625" style="47" customWidth="1"/>
    <col min="8962" max="8962" width="10.875" style="47" customWidth="1"/>
    <col min="8963" max="8963" width="13.625" style="47" customWidth="1"/>
    <col min="8964" max="8964" width="12.125" style="47" customWidth="1"/>
    <col min="8965" max="8965" width="10.125" style="47" customWidth="1"/>
    <col min="8966" max="8966" width="12.5" style="47" customWidth="1"/>
    <col min="8967" max="8967" width="13.375" style="47" customWidth="1"/>
    <col min="8968" max="8968" width="11.5" style="47" customWidth="1"/>
    <col min="8969" max="8969" width="15.5" style="47" customWidth="1"/>
    <col min="8970" max="8970" width="4.625" style="47" customWidth="1"/>
    <col min="8971" max="8971" width="13.625" style="47" customWidth="1"/>
    <col min="8972" max="8972" width="9.125" style="47"/>
    <col min="8973" max="8973" width="9.5" style="47" customWidth="1"/>
    <col min="8974" max="8974" width="9.125" style="47"/>
    <col min="8975" max="8981" width="8.875" style="47" customWidth="1"/>
    <col min="8982" max="8988" width="9.125" style="47"/>
    <col min="8989" max="8989" width="14.375" style="47" customWidth="1"/>
    <col min="8990" max="8990" width="13.125" style="47" customWidth="1"/>
    <col min="8991" max="8994" width="9.125" style="47"/>
    <col min="8995" max="8995" width="9.5" style="47" customWidth="1"/>
    <col min="8996" max="9216" width="9.125" style="47"/>
    <col min="9217" max="9217" width="4.625" style="47" customWidth="1"/>
    <col min="9218" max="9218" width="10.875" style="47" customWidth="1"/>
    <col min="9219" max="9219" width="13.625" style="47" customWidth="1"/>
    <col min="9220" max="9220" width="12.125" style="47" customWidth="1"/>
    <col min="9221" max="9221" width="10.125" style="47" customWidth="1"/>
    <col min="9222" max="9222" width="12.5" style="47" customWidth="1"/>
    <col min="9223" max="9223" width="13.375" style="47" customWidth="1"/>
    <col min="9224" max="9224" width="11.5" style="47" customWidth="1"/>
    <col min="9225" max="9225" width="15.5" style="47" customWidth="1"/>
    <col min="9226" max="9226" width="4.625" style="47" customWidth="1"/>
    <col min="9227" max="9227" width="13.625" style="47" customWidth="1"/>
    <col min="9228" max="9228" width="9.125" style="47"/>
    <col min="9229" max="9229" width="9.5" style="47" customWidth="1"/>
    <col min="9230" max="9230" width="9.125" style="47"/>
    <col min="9231" max="9237" width="8.875" style="47" customWidth="1"/>
    <col min="9238" max="9244" width="9.125" style="47"/>
    <col min="9245" max="9245" width="14.375" style="47" customWidth="1"/>
    <col min="9246" max="9246" width="13.125" style="47" customWidth="1"/>
    <col min="9247" max="9250" width="9.125" style="47"/>
    <col min="9251" max="9251" width="9.5" style="47" customWidth="1"/>
    <col min="9252" max="9472" width="9.125" style="47"/>
    <col min="9473" max="9473" width="4.625" style="47" customWidth="1"/>
    <col min="9474" max="9474" width="10.875" style="47" customWidth="1"/>
    <col min="9475" max="9475" width="13.625" style="47" customWidth="1"/>
    <col min="9476" max="9476" width="12.125" style="47" customWidth="1"/>
    <col min="9477" max="9477" width="10.125" style="47" customWidth="1"/>
    <col min="9478" max="9478" width="12.5" style="47" customWidth="1"/>
    <col min="9479" max="9479" width="13.375" style="47" customWidth="1"/>
    <col min="9480" max="9480" width="11.5" style="47" customWidth="1"/>
    <col min="9481" max="9481" width="15.5" style="47" customWidth="1"/>
    <col min="9482" max="9482" width="4.625" style="47" customWidth="1"/>
    <col min="9483" max="9483" width="13.625" style="47" customWidth="1"/>
    <col min="9484" max="9484" width="9.125" style="47"/>
    <col min="9485" max="9485" width="9.5" style="47" customWidth="1"/>
    <col min="9486" max="9486" width="9.125" style="47"/>
    <col min="9487" max="9493" width="8.875" style="47" customWidth="1"/>
    <col min="9494" max="9500" width="9.125" style="47"/>
    <col min="9501" max="9501" width="14.375" style="47" customWidth="1"/>
    <col min="9502" max="9502" width="13.125" style="47" customWidth="1"/>
    <col min="9503" max="9506" width="9.125" style="47"/>
    <col min="9507" max="9507" width="9.5" style="47" customWidth="1"/>
    <col min="9508" max="9728" width="9.125" style="47"/>
    <col min="9729" max="9729" width="4.625" style="47" customWidth="1"/>
    <col min="9730" max="9730" width="10.875" style="47" customWidth="1"/>
    <col min="9731" max="9731" width="13.625" style="47" customWidth="1"/>
    <col min="9732" max="9732" width="12.125" style="47" customWidth="1"/>
    <col min="9733" max="9733" width="10.125" style="47" customWidth="1"/>
    <col min="9734" max="9734" width="12.5" style="47" customWidth="1"/>
    <col min="9735" max="9735" width="13.375" style="47" customWidth="1"/>
    <col min="9736" max="9736" width="11.5" style="47" customWidth="1"/>
    <col min="9737" max="9737" width="15.5" style="47" customWidth="1"/>
    <col min="9738" max="9738" width="4.625" style="47" customWidth="1"/>
    <col min="9739" max="9739" width="13.625" style="47" customWidth="1"/>
    <col min="9740" max="9740" width="9.125" style="47"/>
    <col min="9741" max="9741" width="9.5" style="47" customWidth="1"/>
    <col min="9742" max="9742" width="9.125" style="47"/>
    <col min="9743" max="9749" width="8.875" style="47" customWidth="1"/>
    <col min="9750" max="9756" width="9.125" style="47"/>
    <col min="9757" max="9757" width="14.375" style="47" customWidth="1"/>
    <col min="9758" max="9758" width="13.125" style="47" customWidth="1"/>
    <col min="9759" max="9762" width="9.125" style="47"/>
    <col min="9763" max="9763" width="9.5" style="47" customWidth="1"/>
    <col min="9764" max="9984" width="9.125" style="47"/>
    <col min="9985" max="9985" width="4.625" style="47" customWidth="1"/>
    <col min="9986" max="9986" width="10.875" style="47" customWidth="1"/>
    <col min="9987" max="9987" width="13.625" style="47" customWidth="1"/>
    <col min="9988" max="9988" width="12.125" style="47" customWidth="1"/>
    <col min="9989" max="9989" width="10.125" style="47" customWidth="1"/>
    <col min="9990" max="9990" width="12.5" style="47" customWidth="1"/>
    <col min="9991" max="9991" width="13.375" style="47" customWidth="1"/>
    <col min="9992" max="9992" width="11.5" style="47" customWidth="1"/>
    <col min="9993" max="9993" width="15.5" style="47" customWidth="1"/>
    <col min="9994" max="9994" width="4.625" style="47" customWidth="1"/>
    <col min="9995" max="9995" width="13.625" style="47" customWidth="1"/>
    <col min="9996" max="9996" width="9.125" style="47"/>
    <col min="9997" max="9997" width="9.5" style="47" customWidth="1"/>
    <col min="9998" max="9998" width="9.125" style="47"/>
    <col min="9999" max="10005" width="8.875" style="47" customWidth="1"/>
    <col min="10006" max="10012" width="9.125" style="47"/>
    <col min="10013" max="10013" width="14.375" style="47" customWidth="1"/>
    <col min="10014" max="10014" width="13.125" style="47" customWidth="1"/>
    <col min="10015" max="10018" width="9.125" style="47"/>
    <col min="10019" max="10019" width="9.5" style="47" customWidth="1"/>
    <col min="10020" max="10240" width="9.125" style="47"/>
    <col min="10241" max="10241" width="4.625" style="47" customWidth="1"/>
    <col min="10242" max="10242" width="10.875" style="47" customWidth="1"/>
    <col min="10243" max="10243" width="13.625" style="47" customWidth="1"/>
    <col min="10244" max="10244" width="12.125" style="47" customWidth="1"/>
    <col min="10245" max="10245" width="10.125" style="47" customWidth="1"/>
    <col min="10246" max="10246" width="12.5" style="47" customWidth="1"/>
    <col min="10247" max="10247" width="13.375" style="47" customWidth="1"/>
    <col min="10248" max="10248" width="11.5" style="47" customWidth="1"/>
    <col min="10249" max="10249" width="15.5" style="47" customWidth="1"/>
    <col min="10250" max="10250" width="4.625" style="47" customWidth="1"/>
    <col min="10251" max="10251" width="13.625" style="47" customWidth="1"/>
    <col min="10252" max="10252" width="9.125" style="47"/>
    <col min="10253" max="10253" width="9.5" style="47" customWidth="1"/>
    <col min="10254" max="10254" width="9.125" style="47"/>
    <col min="10255" max="10261" width="8.875" style="47" customWidth="1"/>
    <col min="10262" max="10268" width="9.125" style="47"/>
    <col min="10269" max="10269" width="14.375" style="47" customWidth="1"/>
    <col min="10270" max="10270" width="13.125" style="47" customWidth="1"/>
    <col min="10271" max="10274" width="9.125" style="47"/>
    <col min="10275" max="10275" width="9.5" style="47" customWidth="1"/>
    <col min="10276" max="10496" width="9.125" style="47"/>
    <col min="10497" max="10497" width="4.625" style="47" customWidth="1"/>
    <col min="10498" max="10498" width="10.875" style="47" customWidth="1"/>
    <col min="10499" max="10499" width="13.625" style="47" customWidth="1"/>
    <col min="10500" max="10500" width="12.125" style="47" customWidth="1"/>
    <col min="10501" max="10501" width="10.125" style="47" customWidth="1"/>
    <col min="10502" max="10502" width="12.5" style="47" customWidth="1"/>
    <col min="10503" max="10503" width="13.375" style="47" customWidth="1"/>
    <col min="10504" max="10504" width="11.5" style="47" customWidth="1"/>
    <col min="10505" max="10505" width="15.5" style="47" customWidth="1"/>
    <col min="10506" max="10506" width="4.625" style="47" customWidth="1"/>
    <col min="10507" max="10507" width="13.625" style="47" customWidth="1"/>
    <col min="10508" max="10508" width="9.125" style="47"/>
    <col min="10509" max="10509" width="9.5" style="47" customWidth="1"/>
    <col min="10510" max="10510" width="9.125" style="47"/>
    <col min="10511" max="10517" width="8.875" style="47" customWidth="1"/>
    <col min="10518" max="10524" width="9.125" style="47"/>
    <col min="10525" max="10525" width="14.375" style="47" customWidth="1"/>
    <col min="10526" max="10526" width="13.125" style="47" customWidth="1"/>
    <col min="10527" max="10530" width="9.125" style="47"/>
    <col min="10531" max="10531" width="9.5" style="47" customWidth="1"/>
    <col min="10532" max="10752" width="9.125" style="47"/>
    <col min="10753" max="10753" width="4.625" style="47" customWidth="1"/>
    <col min="10754" max="10754" width="10.875" style="47" customWidth="1"/>
    <col min="10755" max="10755" width="13.625" style="47" customWidth="1"/>
    <col min="10756" max="10756" width="12.125" style="47" customWidth="1"/>
    <col min="10757" max="10757" width="10.125" style="47" customWidth="1"/>
    <col min="10758" max="10758" width="12.5" style="47" customWidth="1"/>
    <col min="10759" max="10759" width="13.375" style="47" customWidth="1"/>
    <col min="10760" max="10760" width="11.5" style="47" customWidth="1"/>
    <col min="10761" max="10761" width="15.5" style="47" customWidth="1"/>
    <col min="10762" max="10762" width="4.625" style="47" customWidth="1"/>
    <col min="10763" max="10763" width="13.625" style="47" customWidth="1"/>
    <col min="10764" max="10764" width="9.125" style="47"/>
    <col min="10765" max="10765" width="9.5" style="47" customWidth="1"/>
    <col min="10766" max="10766" width="9.125" style="47"/>
    <col min="10767" max="10773" width="8.875" style="47" customWidth="1"/>
    <col min="10774" max="10780" width="9.125" style="47"/>
    <col min="10781" max="10781" width="14.375" style="47" customWidth="1"/>
    <col min="10782" max="10782" width="13.125" style="47" customWidth="1"/>
    <col min="10783" max="10786" width="9.125" style="47"/>
    <col min="10787" max="10787" width="9.5" style="47" customWidth="1"/>
    <col min="10788" max="11008" width="9.125" style="47"/>
    <col min="11009" max="11009" width="4.625" style="47" customWidth="1"/>
    <col min="11010" max="11010" width="10.875" style="47" customWidth="1"/>
    <col min="11011" max="11011" width="13.625" style="47" customWidth="1"/>
    <col min="11012" max="11012" width="12.125" style="47" customWidth="1"/>
    <col min="11013" max="11013" width="10.125" style="47" customWidth="1"/>
    <col min="11014" max="11014" width="12.5" style="47" customWidth="1"/>
    <col min="11015" max="11015" width="13.375" style="47" customWidth="1"/>
    <col min="11016" max="11016" width="11.5" style="47" customWidth="1"/>
    <col min="11017" max="11017" width="15.5" style="47" customWidth="1"/>
    <col min="11018" max="11018" width="4.625" style="47" customWidth="1"/>
    <col min="11019" max="11019" width="13.625" style="47" customWidth="1"/>
    <col min="11020" max="11020" width="9.125" style="47"/>
    <col min="11021" max="11021" width="9.5" style="47" customWidth="1"/>
    <col min="11022" max="11022" width="9.125" style="47"/>
    <col min="11023" max="11029" width="8.875" style="47" customWidth="1"/>
    <col min="11030" max="11036" width="9.125" style="47"/>
    <col min="11037" max="11037" width="14.375" style="47" customWidth="1"/>
    <col min="11038" max="11038" width="13.125" style="47" customWidth="1"/>
    <col min="11039" max="11042" width="9.125" style="47"/>
    <col min="11043" max="11043" width="9.5" style="47" customWidth="1"/>
    <col min="11044" max="11264" width="9.125" style="47"/>
    <col min="11265" max="11265" width="4.625" style="47" customWidth="1"/>
    <col min="11266" max="11266" width="10.875" style="47" customWidth="1"/>
    <col min="11267" max="11267" width="13.625" style="47" customWidth="1"/>
    <col min="11268" max="11268" width="12.125" style="47" customWidth="1"/>
    <col min="11269" max="11269" width="10.125" style="47" customWidth="1"/>
    <col min="11270" max="11270" width="12.5" style="47" customWidth="1"/>
    <col min="11271" max="11271" width="13.375" style="47" customWidth="1"/>
    <col min="11272" max="11272" width="11.5" style="47" customWidth="1"/>
    <col min="11273" max="11273" width="15.5" style="47" customWidth="1"/>
    <col min="11274" max="11274" width="4.625" style="47" customWidth="1"/>
    <col min="11275" max="11275" width="13.625" style="47" customWidth="1"/>
    <col min="11276" max="11276" width="9.125" style="47"/>
    <col min="11277" max="11277" width="9.5" style="47" customWidth="1"/>
    <col min="11278" max="11278" width="9.125" style="47"/>
    <col min="11279" max="11285" width="8.875" style="47" customWidth="1"/>
    <col min="11286" max="11292" width="9.125" style="47"/>
    <col min="11293" max="11293" width="14.375" style="47" customWidth="1"/>
    <col min="11294" max="11294" width="13.125" style="47" customWidth="1"/>
    <col min="11295" max="11298" width="9.125" style="47"/>
    <col min="11299" max="11299" width="9.5" style="47" customWidth="1"/>
    <col min="11300" max="11520" width="9.125" style="47"/>
    <col min="11521" max="11521" width="4.625" style="47" customWidth="1"/>
    <col min="11522" max="11522" width="10.875" style="47" customWidth="1"/>
    <col min="11523" max="11523" width="13.625" style="47" customWidth="1"/>
    <col min="11524" max="11524" width="12.125" style="47" customWidth="1"/>
    <col min="11525" max="11525" width="10.125" style="47" customWidth="1"/>
    <col min="11526" max="11526" width="12.5" style="47" customWidth="1"/>
    <col min="11527" max="11527" width="13.375" style="47" customWidth="1"/>
    <col min="11528" max="11528" width="11.5" style="47" customWidth="1"/>
    <col min="11529" max="11529" width="15.5" style="47" customWidth="1"/>
    <col min="11530" max="11530" width="4.625" style="47" customWidth="1"/>
    <col min="11531" max="11531" width="13.625" style="47" customWidth="1"/>
    <col min="11532" max="11532" width="9.125" style="47"/>
    <col min="11533" max="11533" width="9.5" style="47" customWidth="1"/>
    <col min="11534" max="11534" width="9.125" style="47"/>
    <col min="11535" max="11541" width="8.875" style="47" customWidth="1"/>
    <col min="11542" max="11548" width="9.125" style="47"/>
    <col min="11549" max="11549" width="14.375" style="47" customWidth="1"/>
    <col min="11550" max="11550" width="13.125" style="47" customWidth="1"/>
    <col min="11551" max="11554" width="9.125" style="47"/>
    <col min="11555" max="11555" width="9.5" style="47" customWidth="1"/>
    <col min="11556" max="11776" width="9.125" style="47"/>
    <col min="11777" max="11777" width="4.625" style="47" customWidth="1"/>
    <col min="11778" max="11778" width="10.875" style="47" customWidth="1"/>
    <col min="11779" max="11779" width="13.625" style="47" customWidth="1"/>
    <col min="11780" max="11780" width="12.125" style="47" customWidth="1"/>
    <col min="11781" max="11781" width="10.125" style="47" customWidth="1"/>
    <col min="11782" max="11782" width="12.5" style="47" customWidth="1"/>
    <col min="11783" max="11783" width="13.375" style="47" customWidth="1"/>
    <col min="11784" max="11784" width="11.5" style="47" customWidth="1"/>
    <col min="11785" max="11785" width="15.5" style="47" customWidth="1"/>
    <col min="11786" max="11786" width="4.625" style="47" customWidth="1"/>
    <col min="11787" max="11787" width="13.625" style="47" customWidth="1"/>
    <col min="11788" max="11788" width="9.125" style="47"/>
    <col min="11789" max="11789" width="9.5" style="47" customWidth="1"/>
    <col min="11790" max="11790" width="9.125" style="47"/>
    <col min="11791" max="11797" width="8.875" style="47" customWidth="1"/>
    <col min="11798" max="11804" width="9.125" style="47"/>
    <col min="11805" max="11805" width="14.375" style="47" customWidth="1"/>
    <col min="11806" max="11806" width="13.125" style="47" customWidth="1"/>
    <col min="11807" max="11810" width="9.125" style="47"/>
    <col min="11811" max="11811" width="9.5" style="47" customWidth="1"/>
    <col min="11812" max="12032" width="9.125" style="47"/>
    <col min="12033" max="12033" width="4.625" style="47" customWidth="1"/>
    <col min="12034" max="12034" width="10.875" style="47" customWidth="1"/>
    <col min="12035" max="12035" width="13.625" style="47" customWidth="1"/>
    <col min="12036" max="12036" width="12.125" style="47" customWidth="1"/>
    <col min="12037" max="12037" width="10.125" style="47" customWidth="1"/>
    <col min="12038" max="12038" width="12.5" style="47" customWidth="1"/>
    <col min="12039" max="12039" width="13.375" style="47" customWidth="1"/>
    <col min="12040" max="12040" width="11.5" style="47" customWidth="1"/>
    <col min="12041" max="12041" width="15.5" style="47" customWidth="1"/>
    <col min="12042" max="12042" width="4.625" style="47" customWidth="1"/>
    <col min="12043" max="12043" width="13.625" style="47" customWidth="1"/>
    <col min="12044" max="12044" width="9.125" style="47"/>
    <col min="12045" max="12045" width="9.5" style="47" customWidth="1"/>
    <col min="12046" max="12046" width="9.125" style="47"/>
    <col min="12047" max="12053" width="8.875" style="47" customWidth="1"/>
    <col min="12054" max="12060" width="9.125" style="47"/>
    <col min="12061" max="12061" width="14.375" style="47" customWidth="1"/>
    <col min="12062" max="12062" width="13.125" style="47" customWidth="1"/>
    <col min="12063" max="12066" width="9.125" style="47"/>
    <col min="12067" max="12067" width="9.5" style="47" customWidth="1"/>
    <col min="12068" max="12288" width="9.125" style="47"/>
    <col min="12289" max="12289" width="4.625" style="47" customWidth="1"/>
    <col min="12290" max="12290" width="10.875" style="47" customWidth="1"/>
    <col min="12291" max="12291" width="13.625" style="47" customWidth="1"/>
    <col min="12292" max="12292" width="12.125" style="47" customWidth="1"/>
    <col min="12293" max="12293" width="10.125" style="47" customWidth="1"/>
    <col min="12294" max="12294" width="12.5" style="47" customWidth="1"/>
    <col min="12295" max="12295" width="13.375" style="47" customWidth="1"/>
    <col min="12296" max="12296" width="11.5" style="47" customWidth="1"/>
    <col min="12297" max="12297" width="15.5" style="47" customWidth="1"/>
    <col min="12298" max="12298" width="4.625" style="47" customWidth="1"/>
    <col min="12299" max="12299" width="13.625" style="47" customWidth="1"/>
    <col min="12300" max="12300" width="9.125" style="47"/>
    <col min="12301" max="12301" width="9.5" style="47" customWidth="1"/>
    <col min="12302" max="12302" width="9.125" style="47"/>
    <col min="12303" max="12309" width="8.875" style="47" customWidth="1"/>
    <col min="12310" max="12316" width="9.125" style="47"/>
    <col min="12317" max="12317" width="14.375" style="47" customWidth="1"/>
    <col min="12318" max="12318" width="13.125" style="47" customWidth="1"/>
    <col min="12319" max="12322" width="9.125" style="47"/>
    <col min="12323" max="12323" width="9.5" style="47" customWidth="1"/>
    <col min="12324" max="12544" width="9.125" style="47"/>
    <col min="12545" max="12545" width="4.625" style="47" customWidth="1"/>
    <col min="12546" max="12546" width="10.875" style="47" customWidth="1"/>
    <col min="12547" max="12547" width="13.625" style="47" customWidth="1"/>
    <col min="12548" max="12548" width="12.125" style="47" customWidth="1"/>
    <col min="12549" max="12549" width="10.125" style="47" customWidth="1"/>
    <col min="12550" max="12550" width="12.5" style="47" customWidth="1"/>
    <col min="12551" max="12551" width="13.375" style="47" customWidth="1"/>
    <col min="12552" max="12552" width="11.5" style="47" customWidth="1"/>
    <col min="12553" max="12553" width="15.5" style="47" customWidth="1"/>
    <col min="12554" max="12554" width="4.625" style="47" customWidth="1"/>
    <col min="12555" max="12555" width="13.625" style="47" customWidth="1"/>
    <col min="12556" max="12556" width="9.125" style="47"/>
    <col min="12557" max="12557" width="9.5" style="47" customWidth="1"/>
    <col min="12558" max="12558" width="9.125" style="47"/>
    <col min="12559" max="12565" width="8.875" style="47" customWidth="1"/>
    <col min="12566" max="12572" width="9.125" style="47"/>
    <col min="12573" max="12573" width="14.375" style="47" customWidth="1"/>
    <col min="12574" max="12574" width="13.125" style="47" customWidth="1"/>
    <col min="12575" max="12578" width="9.125" style="47"/>
    <col min="12579" max="12579" width="9.5" style="47" customWidth="1"/>
    <col min="12580" max="12800" width="9.125" style="47"/>
    <col min="12801" max="12801" width="4.625" style="47" customWidth="1"/>
    <col min="12802" max="12802" width="10.875" style="47" customWidth="1"/>
    <col min="12803" max="12803" width="13.625" style="47" customWidth="1"/>
    <col min="12804" max="12804" width="12.125" style="47" customWidth="1"/>
    <col min="12805" max="12805" width="10.125" style="47" customWidth="1"/>
    <col min="12806" max="12806" width="12.5" style="47" customWidth="1"/>
    <col min="12807" max="12807" width="13.375" style="47" customWidth="1"/>
    <col min="12808" max="12808" width="11.5" style="47" customWidth="1"/>
    <col min="12809" max="12809" width="15.5" style="47" customWidth="1"/>
    <col min="12810" max="12810" width="4.625" style="47" customWidth="1"/>
    <col min="12811" max="12811" width="13.625" style="47" customWidth="1"/>
    <col min="12812" max="12812" width="9.125" style="47"/>
    <col min="12813" max="12813" width="9.5" style="47" customWidth="1"/>
    <col min="12814" max="12814" width="9.125" style="47"/>
    <col min="12815" max="12821" width="8.875" style="47" customWidth="1"/>
    <col min="12822" max="12828" width="9.125" style="47"/>
    <col min="12829" max="12829" width="14.375" style="47" customWidth="1"/>
    <col min="12830" max="12830" width="13.125" style="47" customWidth="1"/>
    <col min="12831" max="12834" width="9.125" style="47"/>
    <col min="12835" max="12835" width="9.5" style="47" customWidth="1"/>
    <col min="12836" max="13056" width="9.125" style="47"/>
    <col min="13057" max="13057" width="4.625" style="47" customWidth="1"/>
    <col min="13058" max="13058" width="10.875" style="47" customWidth="1"/>
    <col min="13059" max="13059" width="13.625" style="47" customWidth="1"/>
    <col min="13060" max="13060" width="12.125" style="47" customWidth="1"/>
    <col min="13061" max="13061" width="10.125" style="47" customWidth="1"/>
    <col min="13062" max="13062" width="12.5" style="47" customWidth="1"/>
    <col min="13063" max="13063" width="13.375" style="47" customWidth="1"/>
    <col min="13064" max="13064" width="11.5" style="47" customWidth="1"/>
    <col min="13065" max="13065" width="15.5" style="47" customWidth="1"/>
    <col min="13066" max="13066" width="4.625" style="47" customWidth="1"/>
    <col min="13067" max="13067" width="13.625" style="47" customWidth="1"/>
    <col min="13068" max="13068" width="9.125" style="47"/>
    <col min="13069" max="13069" width="9.5" style="47" customWidth="1"/>
    <col min="13070" max="13070" width="9.125" style="47"/>
    <col min="13071" max="13077" width="8.875" style="47" customWidth="1"/>
    <col min="13078" max="13084" width="9.125" style="47"/>
    <col min="13085" max="13085" width="14.375" style="47" customWidth="1"/>
    <col min="13086" max="13086" width="13.125" style="47" customWidth="1"/>
    <col min="13087" max="13090" width="9.125" style="47"/>
    <col min="13091" max="13091" width="9.5" style="47" customWidth="1"/>
    <col min="13092" max="13312" width="9.125" style="47"/>
    <col min="13313" max="13313" width="4.625" style="47" customWidth="1"/>
    <col min="13314" max="13314" width="10.875" style="47" customWidth="1"/>
    <col min="13315" max="13315" width="13.625" style="47" customWidth="1"/>
    <col min="13316" max="13316" width="12.125" style="47" customWidth="1"/>
    <col min="13317" max="13317" width="10.125" style="47" customWidth="1"/>
    <col min="13318" max="13318" width="12.5" style="47" customWidth="1"/>
    <col min="13319" max="13319" width="13.375" style="47" customWidth="1"/>
    <col min="13320" max="13320" width="11.5" style="47" customWidth="1"/>
    <col min="13321" max="13321" width="15.5" style="47" customWidth="1"/>
    <col min="13322" max="13322" width="4.625" style="47" customWidth="1"/>
    <col min="13323" max="13323" width="13.625" style="47" customWidth="1"/>
    <col min="13324" max="13324" width="9.125" style="47"/>
    <col min="13325" max="13325" width="9.5" style="47" customWidth="1"/>
    <col min="13326" max="13326" width="9.125" style="47"/>
    <col min="13327" max="13333" width="8.875" style="47" customWidth="1"/>
    <col min="13334" max="13340" width="9.125" style="47"/>
    <col min="13341" max="13341" width="14.375" style="47" customWidth="1"/>
    <col min="13342" max="13342" width="13.125" style="47" customWidth="1"/>
    <col min="13343" max="13346" width="9.125" style="47"/>
    <col min="13347" max="13347" width="9.5" style="47" customWidth="1"/>
    <col min="13348" max="13568" width="9.125" style="47"/>
    <col min="13569" max="13569" width="4.625" style="47" customWidth="1"/>
    <col min="13570" max="13570" width="10.875" style="47" customWidth="1"/>
    <col min="13571" max="13571" width="13.625" style="47" customWidth="1"/>
    <col min="13572" max="13572" width="12.125" style="47" customWidth="1"/>
    <col min="13573" max="13573" width="10.125" style="47" customWidth="1"/>
    <col min="13574" max="13574" width="12.5" style="47" customWidth="1"/>
    <col min="13575" max="13575" width="13.375" style="47" customWidth="1"/>
    <col min="13576" max="13576" width="11.5" style="47" customWidth="1"/>
    <col min="13577" max="13577" width="15.5" style="47" customWidth="1"/>
    <col min="13578" max="13578" width="4.625" style="47" customWidth="1"/>
    <col min="13579" max="13579" width="13.625" style="47" customWidth="1"/>
    <col min="13580" max="13580" width="9.125" style="47"/>
    <col min="13581" max="13581" width="9.5" style="47" customWidth="1"/>
    <col min="13582" max="13582" width="9.125" style="47"/>
    <col min="13583" max="13589" width="8.875" style="47" customWidth="1"/>
    <col min="13590" max="13596" width="9.125" style="47"/>
    <col min="13597" max="13597" width="14.375" style="47" customWidth="1"/>
    <col min="13598" max="13598" width="13.125" style="47" customWidth="1"/>
    <col min="13599" max="13602" width="9.125" style="47"/>
    <col min="13603" max="13603" width="9.5" style="47" customWidth="1"/>
    <col min="13604" max="13824" width="9.125" style="47"/>
    <col min="13825" max="13825" width="4.625" style="47" customWidth="1"/>
    <col min="13826" max="13826" width="10.875" style="47" customWidth="1"/>
    <col min="13827" max="13827" width="13.625" style="47" customWidth="1"/>
    <col min="13828" max="13828" width="12.125" style="47" customWidth="1"/>
    <col min="13829" max="13829" width="10.125" style="47" customWidth="1"/>
    <col min="13830" max="13830" width="12.5" style="47" customWidth="1"/>
    <col min="13831" max="13831" width="13.375" style="47" customWidth="1"/>
    <col min="13832" max="13832" width="11.5" style="47" customWidth="1"/>
    <col min="13833" max="13833" width="15.5" style="47" customWidth="1"/>
    <col min="13834" max="13834" width="4.625" style="47" customWidth="1"/>
    <col min="13835" max="13835" width="13.625" style="47" customWidth="1"/>
    <col min="13836" max="13836" width="9.125" style="47"/>
    <col min="13837" max="13837" width="9.5" style="47" customWidth="1"/>
    <col min="13838" max="13838" width="9.125" style="47"/>
    <col min="13839" max="13845" width="8.875" style="47" customWidth="1"/>
    <col min="13846" max="13852" width="9.125" style="47"/>
    <col min="13853" max="13853" width="14.375" style="47" customWidth="1"/>
    <col min="13854" max="13854" width="13.125" style="47" customWidth="1"/>
    <col min="13855" max="13858" width="9.125" style="47"/>
    <col min="13859" max="13859" width="9.5" style="47" customWidth="1"/>
    <col min="13860" max="14080" width="9.125" style="47"/>
    <col min="14081" max="14081" width="4.625" style="47" customWidth="1"/>
    <col min="14082" max="14082" width="10.875" style="47" customWidth="1"/>
    <col min="14083" max="14083" width="13.625" style="47" customWidth="1"/>
    <col min="14084" max="14084" width="12.125" style="47" customWidth="1"/>
    <col min="14085" max="14085" width="10.125" style="47" customWidth="1"/>
    <col min="14086" max="14086" width="12.5" style="47" customWidth="1"/>
    <col min="14087" max="14087" width="13.375" style="47" customWidth="1"/>
    <col min="14088" max="14088" width="11.5" style="47" customWidth="1"/>
    <col min="14089" max="14089" width="15.5" style="47" customWidth="1"/>
    <col min="14090" max="14090" width="4.625" style="47" customWidth="1"/>
    <col min="14091" max="14091" width="13.625" style="47" customWidth="1"/>
    <col min="14092" max="14092" width="9.125" style="47"/>
    <col min="14093" max="14093" width="9.5" style="47" customWidth="1"/>
    <col min="14094" max="14094" width="9.125" style="47"/>
    <col min="14095" max="14101" width="8.875" style="47" customWidth="1"/>
    <col min="14102" max="14108" width="9.125" style="47"/>
    <col min="14109" max="14109" width="14.375" style="47" customWidth="1"/>
    <col min="14110" max="14110" width="13.125" style="47" customWidth="1"/>
    <col min="14111" max="14114" width="9.125" style="47"/>
    <col min="14115" max="14115" width="9.5" style="47" customWidth="1"/>
    <col min="14116" max="14336" width="9.125" style="47"/>
    <col min="14337" max="14337" width="4.625" style="47" customWidth="1"/>
    <col min="14338" max="14338" width="10.875" style="47" customWidth="1"/>
    <col min="14339" max="14339" width="13.625" style="47" customWidth="1"/>
    <col min="14340" max="14340" width="12.125" style="47" customWidth="1"/>
    <col min="14341" max="14341" width="10.125" style="47" customWidth="1"/>
    <col min="14342" max="14342" width="12.5" style="47" customWidth="1"/>
    <col min="14343" max="14343" width="13.375" style="47" customWidth="1"/>
    <col min="14344" max="14344" width="11.5" style="47" customWidth="1"/>
    <col min="14345" max="14345" width="15.5" style="47" customWidth="1"/>
    <col min="14346" max="14346" width="4.625" style="47" customWidth="1"/>
    <col min="14347" max="14347" width="13.625" style="47" customWidth="1"/>
    <col min="14348" max="14348" width="9.125" style="47"/>
    <col min="14349" max="14349" width="9.5" style="47" customWidth="1"/>
    <col min="14350" max="14350" width="9.125" style="47"/>
    <col min="14351" max="14357" width="8.875" style="47" customWidth="1"/>
    <col min="14358" max="14364" width="9.125" style="47"/>
    <col min="14365" max="14365" width="14.375" style="47" customWidth="1"/>
    <col min="14366" max="14366" width="13.125" style="47" customWidth="1"/>
    <col min="14367" max="14370" width="9.125" style="47"/>
    <col min="14371" max="14371" width="9.5" style="47" customWidth="1"/>
    <col min="14372" max="14592" width="9.125" style="47"/>
    <col min="14593" max="14593" width="4.625" style="47" customWidth="1"/>
    <col min="14594" max="14594" width="10.875" style="47" customWidth="1"/>
    <col min="14595" max="14595" width="13.625" style="47" customWidth="1"/>
    <col min="14596" max="14596" width="12.125" style="47" customWidth="1"/>
    <col min="14597" max="14597" width="10.125" style="47" customWidth="1"/>
    <col min="14598" max="14598" width="12.5" style="47" customWidth="1"/>
    <col min="14599" max="14599" width="13.375" style="47" customWidth="1"/>
    <col min="14600" max="14600" width="11.5" style="47" customWidth="1"/>
    <col min="14601" max="14601" width="15.5" style="47" customWidth="1"/>
    <col min="14602" max="14602" width="4.625" style="47" customWidth="1"/>
    <col min="14603" max="14603" width="13.625" style="47" customWidth="1"/>
    <col min="14604" max="14604" width="9.125" style="47"/>
    <col min="14605" max="14605" width="9.5" style="47" customWidth="1"/>
    <col min="14606" max="14606" width="9.125" style="47"/>
    <col min="14607" max="14613" width="8.875" style="47" customWidth="1"/>
    <col min="14614" max="14620" width="9.125" style="47"/>
    <col min="14621" max="14621" width="14.375" style="47" customWidth="1"/>
    <col min="14622" max="14622" width="13.125" style="47" customWidth="1"/>
    <col min="14623" max="14626" width="9.125" style="47"/>
    <col min="14627" max="14627" width="9.5" style="47" customWidth="1"/>
    <col min="14628" max="14848" width="9.125" style="47"/>
    <col min="14849" max="14849" width="4.625" style="47" customWidth="1"/>
    <col min="14850" max="14850" width="10.875" style="47" customWidth="1"/>
    <col min="14851" max="14851" width="13.625" style="47" customWidth="1"/>
    <col min="14852" max="14852" width="12.125" style="47" customWidth="1"/>
    <col min="14853" max="14853" width="10.125" style="47" customWidth="1"/>
    <col min="14854" max="14854" width="12.5" style="47" customWidth="1"/>
    <col min="14855" max="14855" width="13.375" style="47" customWidth="1"/>
    <col min="14856" max="14856" width="11.5" style="47" customWidth="1"/>
    <col min="14857" max="14857" width="15.5" style="47" customWidth="1"/>
    <col min="14858" max="14858" width="4.625" style="47" customWidth="1"/>
    <col min="14859" max="14859" width="13.625" style="47" customWidth="1"/>
    <col min="14860" max="14860" width="9.125" style="47"/>
    <col min="14861" max="14861" width="9.5" style="47" customWidth="1"/>
    <col min="14862" max="14862" width="9.125" style="47"/>
    <col min="14863" max="14869" width="8.875" style="47" customWidth="1"/>
    <col min="14870" max="14876" width="9.125" style="47"/>
    <col min="14877" max="14877" width="14.375" style="47" customWidth="1"/>
    <col min="14878" max="14878" width="13.125" style="47" customWidth="1"/>
    <col min="14879" max="14882" width="9.125" style="47"/>
    <col min="14883" max="14883" width="9.5" style="47" customWidth="1"/>
    <col min="14884" max="15104" width="9.125" style="47"/>
    <col min="15105" max="15105" width="4.625" style="47" customWidth="1"/>
    <col min="15106" max="15106" width="10.875" style="47" customWidth="1"/>
    <col min="15107" max="15107" width="13.625" style="47" customWidth="1"/>
    <col min="15108" max="15108" width="12.125" style="47" customWidth="1"/>
    <col min="15109" max="15109" width="10.125" style="47" customWidth="1"/>
    <col min="15110" max="15110" width="12.5" style="47" customWidth="1"/>
    <col min="15111" max="15111" width="13.375" style="47" customWidth="1"/>
    <col min="15112" max="15112" width="11.5" style="47" customWidth="1"/>
    <col min="15113" max="15113" width="15.5" style="47" customWidth="1"/>
    <col min="15114" max="15114" width="4.625" style="47" customWidth="1"/>
    <col min="15115" max="15115" width="13.625" style="47" customWidth="1"/>
    <col min="15116" max="15116" width="9.125" style="47"/>
    <col min="15117" max="15117" width="9.5" style="47" customWidth="1"/>
    <col min="15118" max="15118" width="9.125" style="47"/>
    <col min="15119" max="15125" width="8.875" style="47" customWidth="1"/>
    <col min="15126" max="15132" width="9.125" style="47"/>
    <col min="15133" max="15133" width="14.375" style="47" customWidth="1"/>
    <col min="15134" max="15134" width="13.125" style="47" customWidth="1"/>
    <col min="15135" max="15138" width="9.125" style="47"/>
    <col min="15139" max="15139" width="9.5" style="47" customWidth="1"/>
    <col min="15140" max="15360" width="9.125" style="47"/>
    <col min="15361" max="15361" width="4.625" style="47" customWidth="1"/>
    <col min="15362" max="15362" width="10.875" style="47" customWidth="1"/>
    <col min="15363" max="15363" width="13.625" style="47" customWidth="1"/>
    <col min="15364" max="15364" width="12.125" style="47" customWidth="1"/>
    <col min="15365" max="15365" width="10.125" style="47" customWidth="1"/>
    <col min="15366" max="15366" width="12.5" style="47" customWidth="1"/>
    <col min="15367" max="15367" width="13.375" style="47" customWidth="1"/>
    <col min="15368" max="15368" width="11.5" style="47" customWidth="1"/>
    <col min="15369" max="15369" width="15.5" style="47" customWidth="1"/>
    <col min="15370" max="15370" width="4.625" style="47" customWidth="1"/>
    <col min="15371" max="15371" width="13.625" style="47" customWidth="1"/>
    <col min="15372" max="15372" width="9.125" style="47"/>
    <col min="15373" max="15373" width="9.5" style="47" customWidth="1"/>
    <col min="15374" max="15374" width="9.125" style="47"/>
    <col min="15375" max="15381" width="8.875" style="47" customWidth="1"/>
    <col min="15382" max="15388" width="9.125" style="47"/>
    <col min="15389" max="15389" width="14.375" style="47" customWidth="1"/>
    <col min="15390" max="15390" width="13.125" style="47" customWidth="1"/>
    <col min="15391" max="15394" width="9.125" style="47"/>
    <col min="15395" max="15395" width="9.5" style="47" customWidth="1"/>
    <col min="15396" max="15616" width="9.125" style="47"/>
    <col min="15617" max="15617" width="4.625" style="47" customWidth="1"/>
    <col min="15618" max="15618" width="10.875" style="47" customWidth="1"/>
    <col min="15619" max="15619" width="13.625" style="47" customWidth="1"/>
    <col min="15620" max="15620" width="12.125" style="47" customWidth="1"/>
    <col min="15621" max="15621" width="10.125" style="47" customWidth="1"/>
    <col min="15622" max="15622" width="12.5" style="47" customWidth="1"/>
    <col min="15623" max="15623" width="13.375" style="47" customWidth="1"/>
    <col min="15624" max="15624" width="11.5" style="47" customWidth="1"/>
    <col min="15625" max="15625" width="15.5" style="47" customWidth="1"/>
    <col min="15626" max="15626" width="4.625" style="47" customWidth="1"/>
    <col min="15627" max="15627" width="13.625" style="47" customWidth="1"/>
    <col min="15628" max="15628" width="9.125" style="47"/>
    <col min="15629" max="15629" width="9.5" style="47" customWidth="1"/>
    <col min="15630" max="15630" width="9.125" style="47"/>
    <col min="15631" max="15637" width="8.875" style="47" customWidth="1"/>
    <col min="15638" max="15644" width="9.125" style="47"/>
    <col min="15645" max="15645" width="14.375" style="47" customWidth="1"/>
    <col min="15646" max="15646" width="13.125" style="47" customWidth="1"/>
    <col min="15647" max="15650" width="9.125" style="47"/>
    <col min="15651" max="15651" width="9.5" style="47" customWidth="1"/>
    <col min="15652" max="15872" width="9.125" style="47"/>
    <col min="15873" max="15873" width="4.625" style="47" customWidth="1"/>
    <col min="15874" max="15874" width="10.875" style="47" customWidth="1"/>
    <col min="15875" max="15875" width="13.625" style="47" customWidth="1"/>
    <col min="15876" max="15876" width="12.125" style="47" customWidth="1"/>
    <col min="15877" max="15877" width="10.125" style="47" customWidth="1"/>
    <col min="15878" max="15878" width="12.5" style="47" customWidth="1"/>
    <col min="15879" max="15879" width="13.375" style="47" customWidth="1"/>
    <col min="15880" max="15880" width="11.5" style="47" customWidth="1"/>
    <col min="15881" max="15881" width="15.5" style="47" customWidth="1"/>
    <col min="15882" max="15882" width="4.625" style="47" customWidth="1"/>
    <col min="15883" max="15883" width="13.625" style="47" customWidth="1"/>
    <col min="15884" max="15884" width="9.125" style="47"/>
    <col min="15885" max="15885" width="9.5" style="47" customWidth="1"/>
    <col min="15886" max="15886" width="9.125" style="47"/>
    <col min="15887" max="15893" width="8.875" style="47" customWidth="1"/>
    <col min="15894" max="15900" width="9.125" style="47"/>
    <col min="15901" max="15901" width="14.375" style="47" customWidth="1"/>
    <col min="15902" max="15902" width="13.125" style="47" customWidth="1"/>
    <col min="15903" max="15906" width="9.125" style="47"/>
    <col min="15907" max="15907" width="9.5" style="47" customWidth="1"/>
    <col min="15908" max="16128" width="9.125" style="47"/>
    <col min="16129" max="16129" width="4.625" style="47" customWidth="1"/>
    <col min="16130" max="16130" width="10.875" style="47" customWidth="1"/>
    <col min="16131" max="16131" width="13.625" style="47" customWidth="1"/>
    <col min="16132" max="16132" width="12.125" style="47" customWidth="1"/>
    <col min="16133" max="16133" width="10.125" style="47" customWidth="1"/>
    <col min="16134" max="16134" width="12.5" style="47" customWidth="1"/>
    <col min="16135" max="16135" width="13.375" style="47" customWidth="1"/>
    <col min="16136" max="16136" width="11.5" style="47" customWidth="1"/>
    <col min="16137" max="16137" width="15.5" style="47" customWidth="1"/>
    <col min="16138" max="16138" width="4.625" style="47" customWidth="1"/>
    <col min="16139" max="16139" width="13.625" style="47" customWidth="1"/>
    <col min="16140" max="16140" width="9.125" style="47"/>
    <col min="16141" max="16141" width="9.5" style="47" customWidth="1"/>
    <col min="16142" max="16142" width="9.125" style="47"/>
    <col min="16143" max="16149" width="8.875" style="47" customWidth="1"/>
    <col min="16150" max="16156" width="9.125" style="47"/>
    <col min="16157" max="16157" width="14.375" style="47" customWidth="1"/>
    <col min="16158" max="16158" width="13.125" style="47" customWidth="1"/>
    <col min="16159" max="16162" width="9.125" style="47"/>
    <col min="16163" max="16163" width="9.5" style="47" customWidth="1"/>
    <col min="16164" max="16384" width="9.125" style="47"/>
  </cols>
  <sheetData>
    <row r="1" spans="1:53">
      <c r="A1" s="66"/>
      <c r="B1" s="66"/>
    </row>
    <row r="2" spans="1:53" ht="14.25" thickBot="1"/>
    <row r="3" spans="1:53" ht="15.95" customHeight="1">
      <c r="A3" s="69"/>
      <c r="B3" s="70"/>
      <c r="C3" s="70"/>
      <c r="D3" s="70"/>
      <c r="E3" s="70"/>
      <c r="F3" s="4288" t="s">
        <v>82</v>
      </c>
      <c r="G3" s="4290" t="str">
        <f>Details!B8</f>
        <v>hidroplogi</v>
      </c>
      <c r="H3" s="4291"/>
      <c r="I3" s="4291"/>
      <c r="J3" s="4292"/>
      <c r="K3" s="47">
        <f>G10</f>
        <v>0</v>
      </c>
      <c r="L3" s="47">
        <f>G4</f>
        <v>0</v>
      </c>
      <c r="M3" s="47" t="str">
        <f>G3</f>
        <v>hidroplogi</v>
      </c>
      <c r="N3" s="71" t="str">
        <f>G5</f>
        <v>PO-GQT-19</v>
      </c>
      <c r="O3" s="47">
        <f>G6</f>
        <v>0</v>
      </c>
      <c r="P3" s="72"/>
      <c r="Q3" s="73">
        <f>C10</f>
        <v>0</v>
      </c>
      <c r="R3" s="73" t="str">
        <f>C12</f>
        <v>0,00-0,50</v>
      </c>
      <c r="S3" s="73">
        <f>I6</f>
        <v>0</v>
      </c>
      <c r="T3" s="74" t="str">
        <f>F11</f>
        <v>Sample Type                :</v>
      </c>
      <c r="U3" s="75" t="str">
        <f>F12</f>
        <v>Sample Description    :</v>
      </c>
      <c r="V3" s="76">
        <f>IF($M$14=$AI$27,AG29,AP29)</f>
        <v>0</v>
      </c>
      <c r="W3" s="76">
        <f>IF($M$14=$AI$27,AH29,AQ29)</f>
        <v>4.530709045170056E-3</v>
      </c>
      <c r="X3" s="77">
        <f>IF($M$14=$AI$27,AI29,AR29)</f>
        <v>14.145469290954836</v>
      </c>
      <c r="Y3" s="77">
        <f>IF($M$14=$AI$27,AJ29,AS29)</f>
        <v>20.799999999999997</v>
      </c>
      <c r="Z3" s="77">
        <f>IF($M$14=$AI$27,AK29,AT29)</f>
        <v>65.05</v>
      </c>
      <c r="AA3" s="78">
        <f>C62</f>
        <v>0</v>
      </c>
      <c r="AB3" s="78">
        <f>J62</f>
        <v>0</v>
      </c>
      <c r="AC3" s="79" t="s">
        <v>81</v>
      </c>
      <c r="AD3" s="80" t="s">
        <v>80</v>
      </c>
      <c r="AE3" s="81"/>
      <c r="AF3" s="80"/>
      <c r="AG3" s="79"/>
      <c r="AH3" s="79"/>
      <c r="AI3" s="79"/>
      <c r="AJ3" s="82"/>
      <c r="AL3" s="83" t="str">
        <f>C11</f>
        <v>BH-05_UDS-01</v>
      </c>
      <c r="AM3" s="84"/>
    </row>
    <row r="4" spans="1:53" ht="15.95" customHeight="1">
      <c r="A4" s="85"/>
      <c r="C4" s="86"/>
      <c r="F4" s="4289"/>
      <c r="G4" s="4293"/>
      <c r="H4" s="4294"/>
      <c r="I4" s="4294"/>
      <c r="J4" s="4295"/>
      <c r="AB4" s="78">
        <f t="shared" ref="AB4:AB26" si="0">100-AD4</f>
        <v>64.302112100355416</v>
      </c>
      <c r="AC4" s="87">
        <f>+$H$58</f>
        <v>1.1815642701103373E-3</v>
      </c>
      <c r="AD4" s="88">
        <f>+I58</f>
        <v>35.697887899644584</v>
      </c>
      <c r="AE4" s="81">
        <f>$I$58</f>
        <v>35.697887899644584</v>
      </c>
      <c r="AF4" s="80">
        <f t="shared" ref="AF4:AF26" si="1">IF(AE4&gt;0,AE4,"-")</f>
        <v>35.697887899644584</v>
      </c>
      <c r="AG4" s="79" t="str">
        <f t="shared" ref="AG4:AG26" si="2">IF(AND($AC4&lt;101.6,$AC4&gt;76.2),$AC4,"-")</f>
        <v>-</v>
      </c>
      <c r="AH4" s="79" t="str">
        <f t="shared" ref="AH4:AH26" si="3">IF(AND($AC4&lt;76.2,$AC4&gt;4.75),$AC4,"-")</f>
        <v>-</v>
      </c>
      <c r="AI4" s="79" t="str">
        <f t="shared" ref="AI4:AI26" si="4">IF(AND($AC4&lt;4.75,$AC4&gt;=0.075),$AC4,"-")</f>
        <v>-</v>
      </c>
      <c r="AJ4" s="82" t="str">
        <f t="shared" ref="AJ4:AJ26" si="5">IF(AND($AC4&lt;0.075,$AC4&gt;=0.005),$AC4,"-")</f>
        <v>-</v>
      </c>
      <c r="AK4" s="82">
        <f t="shared" ref="AK4:AK26" si="6">IF($AC4&lt;0.005,$AC4,"-")</f>
        <v>1.1815642701103373E-3</v>
      </c>
      <c r="AL4" s="84"/>
      <c r="AM4" s="84"/>
      <c r="AN4" s="81"/>
      <c r="AO4" s="80"/>
      <c r="AP4" s="79" t="str">
        <f t="shared" ref="AP4:AP26" si="7">IF(AND($AC3&lt;200,$AC3&gt;60),$AC3,"-")</f>
        <v>-</v>
      </c>
      <c r="AQ4" s="79" t="str">
        <f t="shared" ref="AQ4:AQ26" si="8">IF(AND($AC3&lt;60.2,$AC3&gt;2),$AC3,"-")</f>
        <v>-</v>
      </c>
      <c r="AR4" s="79" t="str">
        <f t="shared" ref="AR4:AR26" si="9">IF(AND($AC3&lt;2,$AC3&gt;=0.06),$AC3,"-")</f>
        <v>-</v>
      </c>
      <c r="AS4" s="82" t="str">
        <f t="shared" ref="AS4:AS26" si="10">IF(AND($AC3&lt;0.06,$AC3&gt;=0.002),$AC3,"-")</f>
        <v>-</v>
      </c>
      <c r="AT4" s="82" t="str">
        <f t="shared" ref="AT4:AT26" si="11">IF($AC3&lt;0.002,$AC3,"-")</f>
        <v>-</v>
      </c>
      <c r="AX4" s="47" t="s">
        <v>79</v>
      </c>
      <c r="AY4" s="47" t="s">
        <v>78</v>
      </c>
      <c r="AZ4" s="47" t="s">
        <v>26</v>
      </c>
    </row>
    <row r="5" spans="1:53" ht="15.95" customHeight="1">
      <c r="A5" s="85"/>
      <c r="C5" s="89"/>
      <c r="F5" s="90" t="s">
        <v>77</v>
      </c>
      <c r="G5" s="1027" t="str">
        <f>Details!B3</f>
        <v>PO-GQT-19</v>
      </c>
      <c r="H5" s="90" t="s">
        <v>76</v>
      </c>
      <c r="I5" s="1099"/>
      <c r="J5" s="91"/>
      <c r="AB5" s="78">
        <f t="shared" si="0"/>
        <v>45.517244758266528</v>
      </c>
      <c r="AC5" s="87">
        <f>+$H$57</f>
        <v>2.687113746385127E-3</v>
      </c>
      <c r="AD5" s="88">
        <f>+I57</f>
        <v>54.482755241733472</v>
      </c>
      <c r="AE5" s="81">
        <f>$I$57-$I$58</f>
        <v>18.784867342088887</v>
      </c>
      <c r="AF5" s="80">
        <f t="shared" si="1"/>
        <v>18.784867342088887</v>
      </c>
      <c r="AG5" s="79" t="str">
        <f t="shared" si="2"/>
        <v>-</v>
      </c>
      <c r="AH5" s="79" t="str">
        <f t="shared" si="3"/>
        <v>-</v>
      </c>
      <c r="AI5" s="79" t="str">
        <f t="shared" si="4"/>
        <v>-</v>
      </c>
      <c r="AJ5" s="82" t="str">
        <f t="shared" si="5"/>
        <v>-</v>
      </c>
      <c r="AK5" s="82">
        <f t="shared" si="6"/>
        <v>2.687113746385127E-3</v>
      </c>
      <c r="AL5" s="84"/>
      <c r="AM5" s="84"/>
      <c r="AN5" s="81"/>
      <c r="AO5" s="80"/>
      <c r="AP5" s="79" t="str">
        <f t="shared" si="7"/>
        <v>-</v>
      </c>
      <c r="AQ5" s="79" t="str">
        <f t="shared" si="8"/>
        <v>-</v>
      </c>
      <c r="AR5" s="79" t="str">
        <f t="shared" si="9"/>
        <v>-</v>
      </c>
      <c r="AS5" s="82" t="str">
        <f t="shared" si="10"/>
        <v>-</v>
      </c>
      <c r="AT5" s="82">
        <f t="shared" si="11"/>
        <v>1.1815642701103373E-3</v>
      </c>
      <c r="AX5" s="67">
        <v>0</v>
      </c>
      <c r="AY5" s="67">
        <v>1.7865</v>
      </c>
      <c r="AZ5" s="67">
        <v>0.99983999999999995</v>
      </c>
    </row>
    <row r="6" spans="1:53" ht="15.95" customHeight="1" thickBot="1">
      <c r="A6" s="92"/>
      <c r="B6" s="93"/>
      <c r="C6" s="93"/>
      <c r="D6" s="93"/>
      <c r="E6" s="93"/>
      <c r="F6" s="94" t="s">
        <v>75</v>
      </c>
      <c r="G6" s="1028"/>
      <c r="H6" s="94" t="s">
        <v>74</v>
      </c>
      <c r="I6" s="1029"/>
      <c r="J6" s="95"/>
      <c r="AB6" s="78">
        <f t="shared" si="0"/>
        <v>34.55940547538134</v>
      </c>
      <c r="AC6" s="87">
        <f>+$H$56</f>
        <v>5.1171304526843502E-3</v>
      </c>
      <c r="AD6" s="88">
        <f>+I56</f>
        <v>65.44059452461866</v>
      </c>
      <c r="AE6" s="81">
        <f>$I$56-$I$57</f>
        <v>10.957839282885189</v>
      </c>
      <c r="AF6" s="80">
        <f t="shared" si="1"/>
        <v>10.957839282885189</v>
      </c>
      <c r="AG6" s="79" t="str">
        <f t="shared" si="2"/>
        <v>-</v>
      </c>
      <c r="AH6" s="79" t="str">
        <f t="shared" si="3"/>
        <v>-</v>
      </c>
      <c r="AI6" s="79" t="str">
        <f t="shared" si="4"/>
        <v>-</v>
      </c>
      <c r="AJ6" s="82">
        <f t="shared" si="5"/>
        <v>5.1171304526843502E-3</v>
      </c>
      <c r="AK6" s="82" t="str">
        <f t="shared" si="6"/>
        <v>-</v>
      </c>
      <c r="AL6" s="84"/>
      <c r="AM6" s="84"/>
      <c r="AN6" s="81"/>
      <c r="AO6" s="80"/>
      <c r="AP6" s="79" t="str">
        <f t="shared" si="7"/>
        <v>-</v>
      </c>
      <c r="AQ6" s="79" t="str">
        <f t="shared" si="8"/>
        <v>-</v>
      </c>
      <c r="AR6" s="79" t="str">
        <f t="shared" si="9"/>
        <v>-</v>
      </c>
      <c r="AS6" s="82">
        <f t="shared" si="10"/>
        <v>2.687113746385127E-3</v>
      </c>
      <c r="AT6" s="82" t="str">
        <f t="shared" si="11"/>
        <v>-</v>
      </c>
      <c r="AX6" s="67">
        <v>5</v>
      </c>
      <c r="AY6" s="67">
        <v>1.5138</v>
      </c>
      <c r="AZ6" s="67">
        <v>0.99995000000000001</v>
      </c>
    </row>
    <row r="7" spans="1:53" ht="15.95" customHeight="1">
      <c r="A7" s="85"/>
      <c r="J7" s="96"/>
      <c r="L7" s="1052"/>
      <c r="M7" s="1052"/>
      <c r="N7" s="1053"/>
      <c r="O7" s="1053"/>
      <c r="P7" s="1053"/>
      <c r="Q7" s="1053"/>
      <c r="AB7" s="78">
        <f t="shared" si="0"/>
        <v>31.428594251699877</v>
      </c>
      <c r="AC7" s="87">
        <f>+$H$55</f>
        <v>7.1294274332317402E-3</v>
      </c>
      <c r="AD7" s="88">
        <f>+I55</f>
        <v>68.571405748300123</v>
      </c>
      <c r="AE7" s="81">
        <f>$I$55-$I$56</f>
        <v>3.1308112236814623</v>
      </c>
      <c r="AF7" s="80">
        <f t="shared" si="1"/>
        <v>3.1308112236814623</v>
      </c>
      <c r="AG7" s="79" t="str">
        <f t="shared" si="2"/>
        <v>-</v>
      </c>
      <c r="AH7" s="79" t="str">
        <f t="shared" si="3"/>
        <v>-</v>
      </c>
      <c r="AI7" s="79" t="str">
        <f t="shared" si="4"/>
        <v>-</v>
      </c>
      <c r="AJ7" s="82">
        <f t="shared" si="5"/>
        <v>7.1294274332317402E-3</v>
      </c>
      <c r="AK7" s="82" t="str">
        <f t="shared" si="6"/>
        <v>-</v>
      </c>
      <c r="AL7" s="84"/>
      <c r="AM7" s="84"/>
      <c r="AN7" s="81"/>
      <c r="AO7" s="80"/>
      <c r="AP7" s="79" t="str">
        <f t="shared" si="7"/>
        <v>-</v>
      </c>
      <c r="AQ7" s="79" t="str">
        <f t="shared" si="8"/>
        <v>-</v>
      </c>
      <c r="AR7" s="79" t="str">
        <f t="shared" si="9"/>
        <v>-</v>
      </c>
      <c r="AS7" s="82">
        <f t="shared" si="10"/>
        <v>5.1171304526843502E-3</v>
      </c>
      <c r="AT7" s="82" t="str">
        <f t="shared" si="11"/>
        <v>-</v>
      </c>
      <c r="AX7" s="67">
        <v>10</v>
      </c>
      <c r="AY7" s="67">
        <v>1.3037000000000001</v>
      </c>
      <c r="AZ7" s="67">
        <v>0.99970000000000003</v>
      </c>
    </row>
    <row r="8" spans="1:53" s="97" customFormat="1" ht="13.5" customHeight="1">
      <c r="A8" s="4296" t="s">
        <v>73</v>
      </c>
      <c r="B8" s="4297"/>
      <c r="C8" s="4297"/>
      <c r="D8" s="4297"/>
      <c r="E8" s="4297"/>
      <c r="F8" s="4297"/>
      <c r="G8" s="4297"/>
      <c r="H8" s="4297"/>
      <c r="I8" s="4297"/>
      <c r="J8" s="4298"/>
      <c r="K8" s="47"/>
      <c r="L8" s="8"/>
      <c r="M8" s="1052"/>
      <c r="N8" s="1052"/>
      <c r="O8" s="1052"/>
      <c r="P8" s="1052"/>
      <c r="Q8" s="1052"/>
      <c r="R8" s="47"/>
      <c r="S8" s="47"/>
      <c r="T8" s="47"/>
      <c r="U8" s="47"/>
      <c r="V8" s="47"/>
      <c r="W8" s="47"/>
      <c r="AB8" s="78">
        <f t="shared" si="0"/>
        <v>28.297783028018401</v>
      </c>
      <c r="AC8" s="87">
        <f>+$H$54</f>
        <v>9.9284865827431682E-3</v>
      </c>
      <c r="AD8" s="88">
        <f>+I54</f>
        <v>71.702216971981599</v>
      </c>
      <c r="AE8" s="81">
        <f>$I$54-$I$55</f>
        <v>3.1308112236814765</v>
      </c>
      <c r="AF8" s="80">
        <f t="shared" si="1"/>
        <v>3.1308112236814765</v>
      </c>
      <c r="AG8" s="79" t="str">
        <f t="shared" si="2"/>
        <v>-</v>
      </c>
      <c r="AH8" s="79" t="str">
        <f t="shared" si="3"/>
        <v>-</v>
      </c>
      <c r="AI8" s="79" t="str">
        <f t="shared" si="4"/>
        <v>-</v>
      </c>
      <c r="AJ8" s="82">
        <f t="shared" si="5"/>
        <v>9.9284865827431682E-3</v>
      </c>
      <c r="AK8" s="82" t="str">
        <f t="shared" si="6"/>
        <v>-</v>
      </c>
      <c r="AL8" s="84"/>
      <c r="AM8" s="84"/>
      <c r="AN8" s="81"/>
      <c r="AO8" s="80"/>
      <c r="AP8" s="79" t="str">
        <f t="shared" si="7"/>
        <v>-</v>
      </c>
      <c r="AQ8" s="79" t="str">
        <f t="shared" si="8"/>
        <v>-</v>
      </c>
      <c r="AR8" s="79" t="str">
        <f t="shared" si="9"/>
        <v>-</v>
      </c>
      <c r="AS8" s="82">
        <f t="shared" si="10"/>
        <v>7.1294274332317402E-3</v>
      </c>
      <c r="AT8" s="82" t="str">
        <f t="shared" si="11"/>
        <v>-</v>
      </c>
      <c r="AU8" s="47"/>
      <c r="AX8" s="67">
        <v>15</v>
      </c>
      <c r="AY8" s="67">
        <v>1.1369</v>
      </c>
      <c r="AZ8" s="67">
        <v>0.99909000000000003</v>
      </c>
      <c r="BA8" s="47"/>
    </row>
    <row r="9" spans="1:53" ht="15" customHeight="1">
      <c r="A9" s="85"/>
      <c r="J9" s="96"/>
      <c r="L9" s="8"/>
      <c r="M9" s="1052"/>
      <c r="N9" s="1052"/>
      <c r="O9" s="1052"/>
      <c r="P9" s="1052"/>
      <c r="Q9" s="1052"/>
      <c r="AB9" s="78">
        <f t="shared" si="0"/>
        <v>23.601566192496165</v>
      </c>
      <c r="AC9" s="87">
        <f>+$H$53</f>
        <v>1.678846997038078E-2</v>
      </c>
      <c r="AD9" s="88">
        <f>+I53</f>
        <v>76.398433807503835</v>
      </c>
      <c r="AE9" s="81">
        <f>$I$53-$I$54</f>
        <v>4.696216835522236</v>
      </c>
      <c r="AF9" s="80">
        <f t="shared" si="1"/>
        <v>4.696216835522236</v>
      </c>
      <c r="AG9" s="79" t="str">
        <f t="shared" si="2"/>
        <v>-</v>
      </c>
      <c r="AH9" s="79" t="str">
        <f t="shared" si="3"/>
        <v>-</v>
      </c>
      <c r="AI9" s="79" t="str">
        <f t="shared" si="4"/>
        <v>-</v>
      </c>
      <c r="AJ9" s="82">
        <f t="shared" si="5"/>
        <v>1.678846997038078E-2</v>
      </c>
      <c r="AK9" s="82" t="str">
        <f t="shared" si="6"/>
        <v>-</v>
      </c>
      <c r="AL9" s="84"/>
      <c r="AM9" s="84"/>
      <c r="AN9" s="81"/>
      <c r="AO9" s="80"/>
      <c r="AP9" s="79" t="str">
        <f t="shared" si="7"/>
        <v>-</v>
      </c>
      <c r="AQ9" s="79" t="str">
        <f t="shared" si="8"/>
        <v>-</v>
      </c>
      <c r="AR9" s="79" t="str">
        <f t="shared" si="9"/>
        <v>-</v>
      </c>
      <c r="AS9" s="82">
        <f t="shared" si="10"/>
        <v>9.9284865827431682E-3</v>
      </c>
      <c r="AT9" s="82" t="str">
        <f t="shared" si="11"/>
        <v>-</v>
      </c>
      <c r="AX9" s="67">
        <v>20</v>
      </c>
      <c r="AY9" s="67">
        <v>1.0019</v>
      </c>
      <c r="AZ9" s="67">
        <v>0.99819999999999998</v>
      </c>
    </row>
    <row r="10" spans="1:53" ht="15" customHeight="1">
      <c r="A10" s="85"/>
      <c r="B10" s="1030" t="s">
        <v>72</v>
      </c>
      <c r="C10" s="1031">
        <f>Details!B10</f>
        <v>0</v>
      </c>
      <c r="D10" s="97"/>
      <c r="E10" s="97"/>
      <c r="F10" s="97"/>
      <c r="G10" s="97"/>
      <c r="H10" s="97"/>
      <c r="I10" s="98"/>
      <c r="J10" s="99"/>
      <c r="AB10" s="78">
        <f t="shared" si="0"/>
        <v>20.470754968814674</v>
      </c>
      <c r="AC10" s="87">
        <f>+$H$52</f>
        <v>2.610578711048599E-2</v>
      </c>
      <c r="AD10" s="88">
        <f>+I52</f>
        <v>79.529245031185326</v>
      </c>
      <c r="AE10" s="81">
        <f>$I$52-$I$53</f>
        <v>3.1308112236814907</v>
      </c>
      <c r="AF10" s="80">
        <f t="shared" si="1"/>
        <v>3.1308112236814907</v>
      </c>
      <c r="AG10" s="79" t="str">
        <f t="shared" si="2"/>
        <v>-</v>
      </c>
      <c r="AH10" s="79" t="str">
        <f t="shared" si="3"/>
        <v>-</v>
      </c>
      <c r="AI10" s="79" t="str">
        <f t="shared" si="4"/>
        <v>-</v>
      </c>
      <c r="AJ10" s="82">
        <f t="shared" si="5"/>
        <v>2.610578711048599E-2</v>
      </c>
      <c r="AK10" s="82" t="str">
        <f t="shared" si="6"/>
        <v>-</v>
      </c>
      <c r="AL10" s="84"/>
      <c r="AM10" s="84"/>
      <c r="AN10" s="81"/>
      <c r="AO10" s="80"/>
      <c r="AP10" s="79" t="str">
        <f t="shared" si="7"/>
        <v>-</v>
      </c>
      <c r="AQ10" s="79" t="str">
        <f t="shared" si="8"/>
        <v>-</v>
      </c>
      <c r="AR10" s="79" t="str">
        <f t="shared" si="9"/>
        <v>-</v>
      </c>
      <c r="AS10" s="82">
        <f t="shared" si="10"/>
        <v>1.678846997038078E-2</v>
      </c>
      <c r="AT10" s="82" t="str">
        <f t="shared" si="11"/>
        <v>-</v>
      </c>
      <c r="AX10" s="67">
        <v>25</v>
      </c>
      <c r="AY10" s="67">
        <v>0.89090000000000003</v>
      </c>
      <c r="AZ10" s="67">
        <v>0.99704000000000004</v>
      </c>
    </row>
    <row r="11" spans="1:53" ht="15" customHeight="1">
      <c r="A11" s="85"/>
      <c r="B11" s="1030" t="s">
        <v>71</v>
      </c>
      <c r="C11" s="1032" t="str">
        <f>Details!B1</f>
        <v>BH-05_UDS-01</v>
      </c>
      <c r="D11" s="97"/>
      <c r="E11" s="97"/>
      <c r="F11" s="97" t="s">
        <v>70</v>
      </c>
      <c r="G11" s="97"/>
      <c r="I11" s="98"/>
      <c r="J11" s="99"/>
      <c r="AB11" s="78">
        <f t="shared" si="0"/>
        <v>18.905349356973943</v>
      </c>
      <c r="AC11" s="87">
        <f>+$H$51</f>
        <v>3.6604706693376281E-2</v>
      </c>
      <c r="AD11" s="88">
        <f>+I51</f>
        <v>81.094650643026057</v>
      </c>
      <c r="AE11" s="81">
        <f>$I$51-$I$52</f>
        <v>1.5654056118407311</v>
      </c>
      <c r="AF11" s="80">
        <f t="shared" si="1"/>
        <v>1.5654056118407311</v>
      </c>
      <c r="AG11" s="79" t="str">
        <f t="shared" si="2"/>
        <v>-</v>
      </c>
      <c r="AH11" s="79" t="str">
        <f t="shared" si="3"/>
        <v>-</v>
      </c>
      <c r="AI11" s="79" t="str">
        <f t="shared" si="4"/>
        <v>-</v>
      </c>
      <c r="AJ11" s="82">
        <f t="shared" si="5"/>
        <v>3.6604706693376281E-2</v>
      </c>
      <c r="AK11" s="82" t="str">
        <f t="shared" si="6"/>
        <v>-</v>
      </c>
      <c r="AL11" s="84"/>
      <c r="AM11" s="84"/>
      <c r="AN11" s="81"/>
      <c r="AO11" s="80"/>
      <c r="AP11" s="79" t="str">
        <f t="shared" si="7"/>
        <v>-</v>
      </c>
      <c r="AQ11" s="79" t="str">
        <f t="shared" si="8"/>
        <v>-</v>
      </c>
      <c r="AR11" s="79" t="str">
        <f t="shared" si="9"/>
        <v>-</v>
      </c>
      <c r="AS11" s="82">
        <f t="shared" si="10"/>
        <v>2.610578711048599E-2</v>
      </c>
      <c r="AT11" s="82" t="str">
        <f t="shared" si="11"/>
        <v>-</v>
      </c>
      <c r="AX11" s="67">
        <v>30</v>
      </c>
      <c r="AY11" s="67">
        <v>0.79820000000000002</v>
      </c>
      <c r="AZ11" s="67">
        <v>0.99565000000000003</v>
      </c>
    </row>
    <row r="12" spans="1:53" ht="15" customHeight="1">
      <c r="A12" s="85"/>
      <c r="B12" s="1030" t="s">
        <v>69</v>
      </c>
      <c r="C12" s="1032" t="str">
        <f>Details!B13</f>
        <v>0,00-0,50</v>
      </c>
      <c r="D12" s="97" t="s">
        <v>68</v>
      </c>
      <c r="E12" s="97"/>
      <c r="F12" s="97" t="s">
        <v>67</v>
      </c>
      <c r="G12" s="97"/>
      <c r="H12" s="1167" t="str">
        <f>IF(AH29&gt;90,"GRAVEL",
IF(AJ29&gt;90,"SILT",
IF(AK29&gt;90,"CLAY",
IF(AI29&gt;90,"SAND",
TRIM(
SUBSTITUTE(
_xlfn.TEXTJOIN(" ",TRUE,
IF(AND(AH29&gt;=AJ29,AH29&gt;=AK29,AH29&gt;=AI29),
(
TRIM(
IF(_xlfn.TEXTJOIN(", ",TRUE,
IF(LARGE(AH29:AK29,2)&gt;=15,CHOOSE(MATCH(LARGE(AH29:AK29,2),AH29:AK29,0),"gravelly","sandy","silty","clayey"),""),
IF(LARGE(AH29:AK29,3)&gt;=15,CHOOSE(MATCH(LARGE(AH29:AK29,3),AH29:AK29,0),"gravelly","sandy","silty","clayey"),"")
)&lt;&gt;"",_xlfn.TEXTJOIN(", ",TRUE,
IF(LARGE(AH29:AK29,2)&gt;=15,CHOOSE(MATCH(LARGE(AH29:AK29,2),AH29:AK29,0),"gravelly","sandy","silty","clayey"),""),
IF(LARGE(AH29:AK29,3)&gt;=15,CHOOSE(MATCH(LARGE(AH29:AK29,3),AH29:AK29,0),"gravelly","sandy","silty","clayey"),"")
)&amp;" GRAVEL",
"GRAVEL"
)
)&amp;
IF(_xlfn.TEXTJOIN(" and ",TRUE,
IF(AND(LARGE(AH29:AK29,2)&gt;0,LARGE(AH29:AK29,2)&lt;15),
IF(LARGE(AH29:AK29,2)&lt;5,"trace "&amp;CHOOSE(MATCH(LARGE(AH29:AK29,2),AH29:AK29,0),"gravel","sand","silt","clay"),CHOOSE(MATCH(LARGE(AH29:AK29,2),AH29:AK29,0),"gravel","sand","silt","clay")),
""
),
IF(AND(LARGE(AH29:AK29,3)&gt;0,LARGE(AH29:AK29,3)&lt;15),
IF(LARGE(AH29:AK29,3)&lt;5,"trace "&amp;CHOOSE(MATCH(LARGE(AH29:AK29,3),AH29:AK29,0),"gravel","sand","silt","clay"),CHOOSE(MATCH(LARGE(AH29:AK29,3),AH29:AK29,0),"gravel","sand","silt","clay")),
""
)
)&lt;&gt;""," with "&amp;_xlfn.TEXTJOIN(" and ",TRUE,
IF(AND(LARGE(AH29:AK29,2)&gt;0,LARGE(AH29:AK29,2)&lt;15),
IF(LARGE(AH29:AK29,2)&lt;5,"trace "&amp;CHOOSE(MATCH(LARGE(AH29:AK29,2),AH29:AK29,0),"gravel","sand","silt","clay"),CHOOSE(MATCH(LARGE(AH29:AK29,2),AH29:AK29,0),"gravel","sand","silt","clay")),
""
),
IF(AND(LARGE(AH29:AK29,3)&gt;0,LARGE(AH29:AK29,3)&lt;15),
IF(LARGE(AH29:AK29,3)&lt;5,"trace "&amp;CHOOSE(MATCH(LARGE(AH29:AK29,3),AH29:AK29,0),"gravel","sand","silt","clay"),CHOOSE(MATCH(LARGE(AH29:AK29,3),AH29:AK29,0),"gravel","sand","silt","clay")),
""
)
),"")
),
""
),
IF(AND(AJ29&gt;=AH29,AJ29&gt;=AK29,AJ29&gt;=AI29),
(
TRIM(
IF(_xlfn.TEXTJOIN(", ",TRUE,
IF(LARGE(AH29:AK29,2)&gt;=15,CHOOSE(MATCH(LARGE(AH29:AK29,2),AH29:AK29,0),"gravelly","sandy","silty","clayey"),""),
IF(LARGE(AH29:AK29,3)&gt;=15,CHOOSE(MATCH(LARGE(AH29:AK29,3),AH29:AK29,0),"gravelly","sandy","silty","clayey"),"")
)&lt;&gt;"",_xlfn.TEXTJOIN(", ",TRUE,
IF(LARGE(AH29:AK29,2)&gt;=15,CHOOSE(MATCH(LARGE(AH29:AK29,2),AH29:AK29,0),"gravelly","sandy","silty","clayey"),""),
IF(LARGE(AH29:AK29,3)&gt;=15,CHOOSE(MATCH(LARGE(AH29:AK29,3),AH29:AK29,0),"gravelly","sandy","silty","clayey"),"")
)&amp;" SILT",
"SILT"
)
)&amp;
IF(_xlfn.TEXTJOIN(" and ",TRUE,
IF(AND(LARGE(AH29:AK29,2)&gt;0,LARGE(AH29:AK29,2)&lt;15),
IF(LARGE(AH29:AK29,2)&lt;5,"trace "&amp;CHOOSE(MATCH(LARGE(AH29:AK29,2),AH29:AK29,0),"gravel","sand","silt","clay"),CHOOSE(MATCH(LARGE(AH29:AK29,2),AH29:AK29,0),"gravel","sand","silt","clay")),
""
),
IF(AND(LARGE(AH29:AK29,3)&gt;0,LARGE(AH29:AK29,3)&lt;15),
IF(LARGE(AH29:AK29,3)&lt;5,"trace "&amp;CHOOSE(MATCH(LARGE(AH29:AK29,3),AH29:AK29,0),"gravel","sand","silt","clay"),CHOOSE(MATCH(LARGE(AH29:AK29,3),AH29:AK29,0),"gravel","sand","silt","clay")),
""
)
)&lt;&gt;""," with "&amp;_xlfn.TEXTJOIN(" and ",TRUE,
IF(AND(LARGE(AH29:AK29,2)&gt;0,LARGE(AH29:AK29,2)&lt;15),
IF(LARGE(AH29:AK29,2)&lt;5,"trace "&amp;CHOOSE(MATCH(LARGE(AH29:AK29,2),AH29:AK29,0),"gravel","sand","silt","clay"),CHOOSE(MATCH(LARGE(AH29:AK29,2),AH29:AK29,0),"gravel","sand","silt","clay")),
""
),
IF(AND(LARGE(AH29:AK29,3)&gt;0,LARGE(AH29:AK29,3)&lt;15),
IF(LARGE(AH29:AK29,3)&lt;5,"trace "&amp;CHOOSE(MATCH(LARGE(AH29:AK29,3),AH29:AK29,0),"gravel","sand","silt","clay"),CHOOSE(MATCH(LARGE(AH29:AK29,3),AH29:AK29,0),"gravel","sand","silt","clay")),
""
)
),"")
),
""
),
IF(AND(AK29&gt;=AH29,AK29&gt;=AJ29,AK29&gt;=AI29),
(
TRIM(
IF(_xlfn.TEXTJOIN(", ",TRUE,
IF(LARGE(AH29:AK29,2)&gt;=15,CHOOSE(MATCH(LARGE(AH29:AK29,2),AH29:AK29,0),"gravelly","sandy","silty","clayey"),""),
IF(LARGE(AH29:AK29,3)&gt;=15,CHOOSE(MATCH(LARGE(AH29:AK29,3),AH29:AK29,0),"gravelly","sandy","silty","clayey"),"")
)&lt;&gt;"",_xlfn.TEXTJOIN(", ",TRUE,
IF(LARGE(AH29:AK29,2)&gt;=15,CHOOSE(MATCH(LARGE(AH29:AK29,2),AH29:AK29,0),"gravelly","sandy","silty","clayey"),""),
IF(LARGE(AH29:AK29,3)&gt;=15,CHOOSE(MATCH(LARGE(AH29:AK29,3),AH29:AK29,0),"gravelly","sandy","silty","clayey"),"")
)&amp;" CLAY",
"CLAY"
)
)&amp;
IF(_xlfn.TEXTJOIN(" and ",TRUE,
IF(AND(LARGE(AH29:AK29,2)&gt;0,LARGE(AH29:AK29,2)&lt;15),
IF(LARGE(AH29:AK29,2)&lt;5,"trace "&amp;CHOOSE(MATCH(LARGE(AH29:AK29,2),AH29:AK29,0),"gravel","sand","silt","clay"),CHOOSE(MATCH(LARGE(AH29:AK29,2),AH29:AK29,0),"gravel","sand","silt","clay")),
""
),
IF(AND(LARGE(AH29:AK29,3)&gt;0,LARGE(AH29:AK29,3)&lt;15),
IF(LARGE(AH29:AK29,3)&lt;5,"trace "&amp;CHOOSE(MATCH(LARGE(AH29:AK29,3),AH29:AK29,0),"gravel","sand","silt","clay"),CHOOSE(MATCH(LARGE(AH29:AK29,3),AH29:AK29,0),"gravel","sand","silt","clay")),
""
)
)&lt;&gt;""," with "&amp;_xlfn.TEXTJOIN(" and ",TRUE,
IF(AND(LARGE(AH29:AK29,2)&gt;0,LARGE(AH29:AK29,2)&lt;15),
IF(LARGE(AH29:AK29,2)&lt;5,"trace "&amp;CHOOSE(MATCH(LARGE(AH29:AK29,2),AH29:AK29,0),"gravel","sand","silt","clay"),CHOOSE(MATCH(LARGE(AH29:AK29,2),AH29:AK29,0),"gravel","sand","silt","clay")),
""
),
IF(AND(LARGE(AH29:AK29,3)&gt;0,LARGE(AH29:AK29,3)&lt;15),
IF(LARGE(AH29:AK29,3)&lt;5,"trace "&amp;CHOOSE(MATCH(LARGE(AH29:AK29,3),AH29:AK29,0),"gravel","sand","silt","clay"),CHOOSE(MATCH(LARGE(AH29:AK29,3),AH29:AK29,0),"gravel","sand","silt","clay")),
""
)
),"")
),
""
),
IF(AND(AI29&gt;=AH29,AI29&gt;=AJ29,AI29&gt;=AK29),
(
TRIM(
IF(_xlfn.TEXTJOIN(", ",TRUE,
IF(LARGE(AH29:AK29,2)&gt;=15,CHOOSE(MATCH(LARGE(AH29:AK29,2),AH29:AK29,0),"gravelly","sandy","silty","clayey"),""),
IF(LARGE(AH29:AK29,3)&gt;=15,CHOOSE(MATCH(LARGE(AH29:AK29,3),AH29:AK29,0),"gravelly","sandy","silty","clayey"),"")
)&lt;&gt;"",_xlfn.TEXTJOIN(", ",TRUE,
IF(LARGE(AH29:AK29,2)&gt;=15,CHOOSE(MATCH(LARGE(AH29:AK29,2),AH29:AK29,0),"gravelly","sandy","silty","clayey"),""),
IF(LARGE(AH29:AK29,3)&gt;=15,CHOOSE(MATCH(LARGE(AH29:AK29,3),AH29:AK29,0),"gravelly","sandy","silty","clayey"),"")
)&amp;" SAND",
"SAND"
)
)&amp;
IF(_xlfn.TEXTJOIN(" and ",TRUE,
IF(AND(LARGE(AH29:AK29,2)&gt;0,LARGE(AH29:AK29,2)&lt;15),
IF(LARGE(AH29:AK29,2)&lt;5,"trace "&amp;CHOOSE(MATCH(LARGE(AH29:AK29,2),AH29:AK29,0),"gravel","sand","silt","clay"),CHOOSE(MATCH(LARGE(AH29:AK29,2),AH29:AK29,0),"gravel","sand","silt","clay")),
""
),
IF(AND(LARGE(AH29:AK29,3)&gt;0,LARGE(AH29:AK29,3)&lt;15),
IF(LARGE(AH29:AK29,3)&lt;5,"trace "&amp;CHOOSE(MATCH(LARGE(AH29:AK29,3),AH29:AK29,0),"gravel","sand","silt","clay"),CHOOSE(MATCH(LARGE(AH29:AK29,3),AH29:AK29,0),"gravel","sand","silt","clay")),
""
)
)&lt;&gt;""," with "&amp;_xlfn.TEXTJOIN(" and ",TRUE,
IF(AND(LARGE(AH29:AK29,2)&gt;0,LARGE(AH29:AK29,2)&lt;15),
IF(LARGE(AH29:AK29,2)&lt;5,"trace "&amp;CHOOSE(MATCH(LARGE(AH29:AK29,2),AH29:AK29,0),"gravel","sand","silt","clay"),CHOOSE(MATCH(LARGE(AH29:AK29,2),AH29:AK29,0),"gravel","sand","silt","clay")),
""
),
IF(AND(LARGE(AH29:AK29,3)&gt;0,LARGE(AH29:AK29,3)&lt;15),
IF(LARGE(AH29:AK29,3)&lt;5,"trace "&amp;CHOOSE(MATCH(LARGE(AH29:AK29,3),AH29:AK29,0),"gravel","sand","silt","clay"),CHOOSE(MATCH(LARGE(AH29:AK29,3),AH29:AK29,0),"gravel","sand","silt","clay")),
""
)
),"")
),
""
)
),
" and with "," and"))))))</f>
        <v>silty CLAY with sand</v>
      </c>
      <c r="I12" s="1168"/>
      <c r="J12" s="99"/>
      <c r="AB12" s="78">
        <f t="shared" si="0"/>
        <v>17.339943745133198</v>
      </c>
      <c r="AC12" s="87">
        <f>+$H$50</f>
        <v>5.1318317643901372E-2</v>
      </c>
      <c r="AD12" s="88">
        <f>+I50</f>
        <v>82.660056254866802</v>
      </c>
      <c r="AE12" s="81">
        <f>$I$50-$I$51</f>
        <v>1.5654056118407453</v>
      </c>
      <c r="AF12" s="80">
        <f t="shared" si="1"/>
        <v>1.5654056118407453</v>
      </c>
      <c r="AG12" s="79" t="str">
        <f t="shared" si="2"/>
        <v>-</v>
      </c>
      <c r="AH12" s="79" t="str">
        <f t="shared" si="3"/>
        <v>-</v>
      </c>
      <c r="AI12" s="79" t="str">
        <f t="shared" si="4"/>
        <v>-</v>
      </c>
      <c r="AJ12" s="82">
        <f t="shared" si="5"/>
        <v>5.1318317643901372E-2</v>
      </c>
      <c r="AK12" s="82" t="str">
        <f t="shared" si="6"/>
        <v>-</v>
      </c>
      <c r="AL12" s="84"/>
      <c r="AM12" s="84"/>
      <c r="AN12" s="81"/>
      <c r="AO12" s="80"/>
      <c r="AP12" s="79" t="str">
        <f t="shared" si="7"/>
        <v>-</v>
      </c>
      <c r="AQ12" s="79" t="str">
        <f t="shared" si="8"/>
        <v>-</v>
      </c>
      <c r="AR12" s="79" t="str">
        <f t="shared" si="9"/>
        <v>-</v>
      </c>
      <c r="AS12" s="82">
        <f t="shared" si="10"/>
        <v>3.6604706693376281E-2</v>
      </c>
      <c r="AT12" s="82" t="str">
        <f t="shared" si="11"/>
        <v>-</v>
      </c>
      <c r="AX12" s="67">
        <v>40</v>
      </c>
      <c r="AY12" s="67">
        <v>0.65400000000000003</v>
      </c>
      <c r="AZ12" s="67">
        <v>0.99221999999999999</v>
      </c>
    </row>
    <row r="13" spans="1:53" ht="11.25" customHeight="1">
      <c r="A13" s="85"/>
      <c r="G13" s="100"/>
      <c r="J13" s="96"/>
      <c r="O13" s="101">
        <v>5.0000000000000001E-3</v>
      </c>
      <c r="P13" s="101">
        <v>0</v>
      </c>
      <c r="Q13" s="101"/>
      <c r="R13" s="101">
        <v>7.4999999999999997E-2</v>
      </c>
      <c r="S13" s="101">
        <v>0</v>
      </c>
      <c r="T13" s="101"/>
      <c r="U13" s="101">
        <v>4.26</v>
      </c>
      <c r="V13" s="101">
        <v>0</v>
      </c>
      <c r="AB13" s="78">
        <f t="shared" si="0"/>
        <v>14.179162700703728</v>
      </c>
      <c r="AC13" s="87">
        <f>+$C$35</f>
        <v>7.3999999999999996E-2</v>
      </c>
      <c r="AD13" s="88">
        <f>+G35</f>
        <v>85.820837299296272</v>
      </c>
      <c r="AE13" s="81">
        <f>$E$35</f>
        <v>1.7788319003854132</v>
      </c>
      <c r="AF13" s="80">
        <f t="shared" si="1"/>
        <v>1.7788319003854132</v>
      </c>
      <c r="AG13" s="79" t="str">
        <f t="shared" si="2"/>
        <v>-</v>
      </c>
      <c r="AH13" s="79" t="str">
        <f t="shared" si="3"/>
        <v>-</v>
      </c>
      <c r="AI13" s="79" t="str">
        <f t="shared" si="4"/>
        <v>-</v>
      </c>
      <c r="AJ13" s="82">
        <f t="shared" si="5"/>
        <v>7.3999999999999996E-2</v>
      </c>
      <c r="AK13" s="82" t="str">
        <f t="shared" si="6"/>
        <v>-</v>
      </c>
      <c r="AL13" s="84"/>
      <c r="AM13" s="84"/>
      <c r="AN13" s="81"/>
      <c r="AO13" s="80"/>
      <c r="AP13" s="79" t="str">
        <f t="shared" si="7"/>
        <v>-</v>
      </c>
      <c r="AQ13" s="79" t="str">
        <f t="shared" si="8"/>
        <v>-</v>
      </c>
      <c r="AR13" s="79" t="str">
        <f t="shared" si="9"/>
        <v>-</v>
      </c>
      <c r="AS13" s="82">
        <f t="shared" si="10"/>
        <v>5.1318317643901372E-2</v>
      </c>
      <c r="AT13" s="82" t="str">
        <f t="shared" si="11"/>
        <v>-</v>
      </c>
      <c r="AX13" s="67"/>
      <c r="AY13" s="67"/>
      <c r="AZ13" s="67"/>
    </row>
    <row r="14" spans="1:53" ht="13.5" customHeight="1">
      <c r="A14" s="85"/>
      <c r="B14" s="102" t="s">
        <v>804</v>
      </c>
      <c r="J14" s="96"/>
      <c r="L14" s="103" t="s">
        <v>66</v>
      </c>
      <c r="M14" s="104" t="s">
        <v>48</v>
      </c>
      <c r="O14" s="101">
        <v>5.0000000000000001E-3</v>
      </c>
      <c r="P14" s="101">
        <v>100</v>
      </c>
      <c r="Q14" s="101"/>
      <c r="R14" s="101">
        <v>7.4999999999999997E-2</v>
      </c>
      <c r="S14" s="101">
        <v>100</v>
      </c>
      <c r="T14" s="101"/>
      <c r="U14" s="101">
        <v>4.26</v>
      </c>
      <c r="V14" s="101">
        <v>100</v>
      </c>
      <c r="X14" s="67"/>
      <c r="Y14" s="67"/>
      <c r="Z14" s="67"/>
      <c r="AA14" s="67"/>
      <c r="AB14" s="78">
        <f t="shared" si="0"/>
        <v>12.400330800318315</v>
      </c>
      <c r="AC14" s="87">
        <f>+$C$34</f>
        <v>0.14899999999999999</v>
      </c>
      <c r="AD14" s="88">
        <f>+G34</f>
        <v>87.599669199681685</v>
      </c>
      <c r="AE14" s="81">
        <f>$E$34</f>
        <v>1.2763899074695335</v>
      </c>
      <c r="AF14" s="80">
        <f t="shared" si="1"/>
        <v>1.2763899074695335</v>
      </c>
      <c r="AG14" s="79" t="str">
        <f t="shared" si="2"/>
        <v>-</v>
      </c>
      <c r="AH14" s="79" t="str">
        <f t="shared" si="3"/>
        <v>-</v>
      </c>
      <c r="AI14" s="79">
        <f t="shared" si="4"/>
        <v>0.14899999999999999</v>
      </c>
      <c r="AJ14" s="82" t="str">
        <f t="shared" si="5"/>
        <v>-</v>
      </c>
      <c r="AK14" s="82" t="str">
        <f t="shared" si="6"/>
        <v>-</v>
      </c>
      <c r="AL14" s="84"/>
      <c r="AM14" s="84"/>
      <c r="AN14" s="81"/>
      <c r="AO14" s="80"/>
      <c r="AP14" s="79" t="str">
        <f t="shared" si="7"/>
        <v>-</v>
      </c>
      <c r="AQ14" s="79" t="str">
        <f t="shared" si="8"/>
        <v>-</v>
      </c>
      <c r="AR14" s="79">
        <f t="shared" si="9"/>
        <v>7.3999999999999996E-2</v>
      </c>
      <c r="AS14" s="82" t="str">
        <f t="shared" si="10"/>
        <v>-</v>
      </c>
      <c r="AT14" s="82" t="str">
        <f t="shared" si="11"/>
        <v>-</v>
      </c>
      <c r="AX14" s="67"/>
      <c r="AY14" s="67"/>
      <c r="AZ14" s="67"/>
    </row>
    <row r="15" spans="1:53" ht="10.5" customHeight="1">
      <c r="A15" s="85"/>
      <c r="J15" s="96"/>
      <c r="L15" s="66"/>
      <c r="X15" s="67"/>
      <c r="Y15" s="67"/>
      <c r="Z15" s="67"/>
      <c r="AA15" s="67"/>
      <c r="AB15" s="78">
        <f t="shared" si="0"/>
        <v>11.123940892848779</v>
      </c>
      <c r="AC15" s="87">
        <f>+$C$33</f>
        <v>0.17699999999999999</v>
      </c>
      <c r="AD15" s="88">
        <f>+G33</f>
        <v>88.876059107151221</v>
      </c>
      <c r="AE15" s="81">
        <f>$E$33</f>
        <v>3.070825596454819</v>
      </c>
      <c r="AF15" s="80">
        <f t="shared" si="1"/>
        <v>3.070825596454819</v>
      </c>
      <c r="AG15" s="79" t="str">
        <f t="shared" si="2"/>
        <v>-</v>
      </c>
      <c r="AH15" s="79" t="str">
        <f t="shared" si="3"/>
        <v>-</v>
      </c>
      <c r="AI15" s="79">
        <f t="shared" si="4"/>
        <v>0.17699999999999999</v>
      </c>
      <c r="AJ15" s="82" t="str">
        <f t="shared" si="5"/>
        <v>-</v>
      </c>
      <c r="AK15" s="82" t="str">
        <f t="shared" si="6"/>
        <v>-</v>
      </c>
      <c r="AL15" s="84"/>
      <c r="AM15" s="84"/>
      <c r="AN15" s="81"/>
      <c r="AO15" s="80"/>
      <c r="AP15" s="79" t="str">
        <f t="shared" si="7"/>
        <v>-</v>
      </c>
      <c r="AQ15" s="79" t="str">
        <f t="shared" si="8"/>
        <v>-</v>
      </c>
      <c r="AR15" s="79">
        <f t="shared" si="9"/>
        <v>0.14899999999999999</v>
      </c>
      <c r="AS15" s="82" t="str">
        <f t="shared" si="10"/>
        <v>-</v>
      </c>
      <c r="AT15" s="82" t="str">
        <f t="shared" si="11"/>
        <v>-</v>
      </c>
      <c r="AX15" s="67">
        <v>0</v>
      </c>
      <c r="AY15" s="67">
        <f t="shared" ref="AY15:AY24" si="12">+(0.000000000153808*AX15^6)-(0.0000000215035*AX15^5)+(0.000001335*AX15^4)-(0.0000539985*AX15^3)+(0.001865353*AX15^2)-(0.062670029*AX15)+1.7865</f>
        <v>1.7865</v>
      </c>
      <c r="AZ15" s="67">
        <f t="shared" ref="AZ15:AZ24" si="13">+(0.00000000000294863*AX15^6)-(0.000000000349145*AX15^5)+(0.0000000151156*AX15^4)-(0.000000247168*AX15^3)-(0.00000563567*AX15^2)+(0.0000548713*AX15)+0.99984</f>
        <v>0.99983999999999995</v>
      </c>
    </row>
    <row r="16" spans="1:53" ht="15" customHeight="1">
      <c r="A16" s="85"/>
      <c r="B16" s="105" t="s">
        <v>65</v>
      </c>
      <c r="C16" s="105"/>
      <c r="D16" s="106">
        <f>+D50+D36</f>
        <v>64.087000000000003</v>
      </c>
      <c r="E16" s="105" t="s">
        <v>37</v>
      </c>
      <c r="J16" s="96"/>
      <c r="K16" s="779"/>
      <c r="L16" s="780"/>
      <c r="M16" s="779"/>
      <c r="N16" s="779"/>
      <c r="O16" s="779"/>
      <c r="P16" s="779"/>
      <c r="Q16" s="779"/>
      <c r="X16" s="67"/>
      <c r="Y16" s="67"/>
      <c r="Z16" s="67"/>
      <c r="AA16" s="67"/>
      <c r="AB16" s="78">
        <f t="shared" si="0"/>
        <v>8.0531152963939689</v>
      </c>
      <c r="AC16" s="87">
        <f>+$C$32</f>
        <v>0.42</v>
      </c>
      <c r="AD16" s="88">
        <f>+G32</f>
        <v>91.946884703606031</v>
      </c>
      <c r="AE16" s="81">
        <f>$E$32</f>
        <v>3.4671618268915689</v>
      </c>
      <c r="AF16" s="80">
        <f t="shared" si="1"/>
        <v>3.4671618268915689</v>
      </c>
      <c r="AG16" s="79" t="str">
        <f t="shared" si="2"/>
        <v>-</v>
      </c>
      <c r="AH16" s="79" t="str">
        <f t="shared" si="3"/>
        <v>-</v>
      </c>
      <c r="AI16" s="79">
        <f t="shared" si="4"/>
        <v>0.42</v>
      </c>
      <c r="AJ16" s="82" t="str">
        <f t="shared" si="5"/>
        <v>-</v>
      </c>
      <c r="AK16" s="82" t="str">
        <f t="shared" si="6"/>
        <v>-</v>
      </c>
      <c r="AL16" s="84"/>
      <c r="AM16" s="84"/>
      <c r="AN16" s="81"/>
      <c r="AO16" s="80"/>
      <c r="AP16" s="79" t="str">
        <f t="shared" si="7"/>
        <v>-</v>
      </c>
      <c r="AQ16" s="79" t="str">
        <f t="shared" si="8"/>
        <v>-</v>
      </c>
      <c r="AR16" s="79">
        <f t="shared" si="9"/>
        <v>0.17699999999999999</v>
      </c>
      <c r="AS16" s="82" t="str">
        <f t="shared" si="10"/>
        <v>-</v>
      </c>
      <c r="AT16" s="82" t="str">
        <f t="shared" si="11"/>
        <v>-</v>
      </c>
      <c r="AX16" s="67">
        <v>5</v>
      </c>
      <c r="AY16" s="107">
        <f t="shared" si="12"/>
        <v>1.5138034473124999</v>
      </c>
      <c r="AZ16" s="108">
        <f t="shared" si="13"/>
        <v>0.9999509709942187</v>
      </c>
    </row>
    <row r="17" spans="1:52" ht="15" customHeight="1" thickBot="1">
      <c r="A17" s="85"/>
      <c r="J17" s="96"/>
      <c r="K17" s="779"/>
      <c r="L17" s="780"/>
      <c r="M17" s="779"/>
      <c r="N17" s="779"/>
      <c r="O17" s="779"/>
      <c r="P17" s="779"/>
      <c r="Q17" s="779"/>
      <c r="X17" s="67"/>
      <c r="Y17" s="67"/>
      <c r="Z17" s="67"/>
      <c r="AA17" s="67"/>
      <c r="AB17" s="78">
        <f t="shared" si="0"/>
        <v>4.5859534695023996</v>
      </c>
      <c r="AC17" s="87">
        <f>+$C$31</f>
        <v>0.84</v>
      </c>
      <c r="AD17" s="88">
        <f>IF(AD16=100,100,G31)</f>
        <v>95.4140465304976</v>
      </c>
      <c r="AE17" s="81">
        <f>$E$31</f>
        <v>3.0926709004946398</v>
      </c>
      <c r="AF17" s="80">
        <f t="shared" si="1"/>
        <v>3.0926709004946398</v>
      </c>
      <c r="AG17" s="79" t="str">
        <f t="shared" si="2"/>
        <v>-</v>
      </c>
      <c r="AH17" s="79" t="str">
        <f t="shared" si="3"/>
        <v>-</v>
      </c>
      <c r="AI17" s="79">
        <f t="shared" si="4"/>
        <v>0.84</v>
      </c>
      <c r="AJ17" s="82" t="str">
        <f t="shared" si="5"/>
        <v>-</v>
      </c>
      <c r="AK17" s="82" t="str">
        <f t="shared" si="6"/>
        <v>-</v>
      </c>
      <c r="AL17" s="84"/>
      <c r="AM17" s="84"/>
      <c r="AN17" s="81"/>
      <c r="AO17" s="80"/>
      <c r="AP17" s="79" t="str">
        <f t="shared" si="7"/>
        <v>-</v>
      </c>
      <c r="AQ17" s="79" t="str">
        <f t="shared" si="8"/>
        <v>-</v>
      </c>
      <c r="AR17" s="79">
        <f t="shared" si="9"/>
        <v>0.42</v>
      </c>
      <c r="AS17" s="82" t="str">
        <f t="shared" si="10"/>
        <v>-</v>
      </c>
      <c r="AT17" s="82" t="str">
        <f t="shared" si="11"/>
        <v>-</v>
      </c>
      <c r="AX17" s="67">
        <v>10</v>
      </c>
      <c r="AY17" s="107">
        <f t="shared" si="12"/>
        <v>1.303689968</v>
      </c>
      <c r="AZ17" s="108">
        <f t="shared" si="13"/>
        <v>0.99969716812999998</v>
      </c>
    </row>
    <row r="18" spans="1:52" ht="15" customHeight="1">
      <c r="A18" s="85"/>
      <c r="B18" s="109" t="s">
        <v>64</v>
      </c>
      <c r="C18" s="110" t="s">
        <v>63</v>
      </c>
      <c r="D18" s="109" t="s">
        <v>62</v>
      </c>
      <c r="E18" s="109" t="s">
        <v>58</v>
      </c>
      <c r="F18" s="109" t="s">
        <v>61</v>
      </c>
      <c r="G18" s="109" t="s">
        <v>58</v>
      </c>
      <c r="J18" s="96"/>
      <c r="K18" s="779"/>
      <c r="L18" s="780"/>
      <c r="M18" s="779"/>
      <c r="N18" s="779"/>
      <c r="O18" s="779"/>
      <c r="P18" s="779"/>
      <c r="Q18" s="779"/>
      <c r="X18" s="67"/>
      <c r="Y18" s="67"/>
      <c r="Z18" s="67"/>
      <c r="AA18" s="67"/>
      <c r="AB18" s="78">
        <f t="shared" si="0"/>
        <v>1.4932825690077607</v>
      </c>
      <c r="AC18" s="87">
        <f>+$C$30</f>
        <v>2.38</v>
      </c>
      <c r="AD18" s="88">
        <f>IF(AD17=100,100,G30)</f>
        <v>98.506717430992239</v>
      </c>
      <c r="AE18" s="81">
        <f>$E$30</f>
        <v>1.4932825690077549</v>
      </c>
      <c r="AF18" s="80">
        <f t="shared" si="1"/>
        <v>1.4932825690077549</v>
      </c>
      <c r="AG18" s="79" t="str">
        <f t="shared" si="2"/>
        <v>-</v>
      </c>
      <c r="AH18" s="79" t="str">
        <f t="shared" si="3"/>
        <v>-</v>
      </c>
      <c r="AI18" s="79">
        <f t="shared" si="4"/>
        <v>2.38</v>
      </c>
      <c r="AJ18" s="82" t="str">
        <f t="shared" si="5"/>
        <v>-</v>
      </c>
      <c r="AK18" s="82" t="str">
        <f t="shared" si="6"/>
        <v>-</v>
      </c>
      <c r="AL18" s="84"/>
      <c r="AM18" s="84"/>
      <c r="AN18" s="81"/>
      <c r="AO18" s="80"/>
      <c r="AP18" s="79" t="str">
        <f t="shared" si="7"/>
        <v>-</v>
      </c>
      <c r="AQ18" s="79" t="str">
        <f t="shared" si="8"/>
        <v>-</v>
      </c>
      <c r="AR18" s="79">
        <f t="shared" si="9"/>
        <v>0.84</v>
      </c>
      <c r="AS18" s="82" t="str">
        <f t="shared" si="10"/>
        <v>-</v>
      </c>
      <c r="AT18" s="82" t="str">
        <f t="shared" si="11"/>
        <v>-</v>
      </c>
      <c r="AX18" s="67">
        <v>15</v>
      </c>
      <c r="AY18" s="107">
        <f t="shared" si="12"/>
        <v>1.1369161764375</v>
      </c>
      <c r="AZ18" s="108">
        <f t="shared" si="13"/>
        <v>0.99909453375421875</v>
      </c>
    </row>
    <row r="19" spans="1:52" ht="15" customHeight="1">
      <c r="A19" s="85"/>
      <c r="B19" s="111" t="s">
        <v>60</v>
      </c>
      <c r="C19" s="112" t="s">
        <v>59</v>
      </c>
      <c r="D19" s="111" t="s">
        <v>56</v>
      </c>
      <c r="E19" s="111" t="s">
        <v>56</v>
      </c>
      <c r="F19" s="111" t="s">
        <v>58</v>
      </c>
      <c r="G19" s="111" t="s">
        <v>57</v>
      </c>
      <c r="I19" s="78"/>
      <c r="J19" s="96"/>
      <c r="K19" s="779"/>
      <c r="L19" s="782">
        <f>AK29</f>
        <v>65.05</v>
      </c>
      <c r="M19" s="783">
        <f>AJ29</f>
        <v>20.799999999999997</v>
      </c>
      <c r="N19" s="783"/>
      <c r="O19" s="783">
        <f>AI29</f>
        <v>14.145469290954836</v>
      </c>
      <c r="P19" s="779"/>
      <c r="Q19" s="779"/>
      <c r="T19" s="67"/>
      <c r="U19" s="67"/>
      <c r="V19" s="67"/>
      <c r="W19" s="67"/>
      <c r="X19" s="67"/>
      <c r="Y19" s="67"/>
      <c r="Z19" s="67"/>
      <c r="AA19" s="67"/>
      <c r="AB19" s="78">
        <f t="shared" si="0"/>
        <v>0</v>
      </c>
      <c r="AC19" s="87">
        <f>+$C$29</f>
        <v>4.76</v>
      </c>
      <c r="AD19" s="88">
        <f>IF(AD18=100,100,G29)</f>
        <v>100</v>
      </c>
      <c r="AE19" s="81">
        <f>$E$29</f>
        <v>0</v>
      </c>
      <c r="AF19" s="80" t="str">
        <f t="shared" si="1"/>
        <v>-</v>
      </c>
      <c r="AG19" s="79" t="str">
        <f t="shared" si="2"/>
        <v>-</v>
      </c>
      <c r="AH19" s="79">
        <f t="shared" si="3"/>
        <v>4.76</v>
      </c>
      <c r="AI19" s="79" t="str">
        <f t="shared" si="4"/>
        <v>-</v>
      </c>
      <c r="AJ19" s="82" t="str">
        <f t="shared" si="5"/>
        <v>-</v>
      </c>
      <c r="AK19" s="82" t="str">
        <f t="shared" si="6"/>
        <v>-</v>
      </c>
      <c r="AL19" s="84"/>
      <c r="AM19" s="84"/>
      <c r="AN19" s="81"/>
      <c r="AO19" s="80"/>
      <c r="AP19" s="79" t="str">
        <f t="shared" si="7"/>
        <v>-</v>
      </c>
      <c r="AQ19" s="79">
        <f t="shared" si="8"/>
        <v>2.38</v>
      </c>
      <c r="AR19" s="79" t="str">
        <f t="shared" si="9"/>
        <v>-</v>
      </c>
      <c r="AS19" s="82" t="str">
        <f t="shared" si="10"/>
        <v>-</v>
      </c>
      <c r="AT19" s="82" t="str">
        <f t="shared" si="11"/>
        <v>-</v>
      </c>
      <c r="AX19" s="67">
        <v>20</v>
      </c>
      <c r="AY19" s="107">
        <f t="shared" si="12"/>
        <v>1.0018851319999997</v>
      </c>
      <c r="AZ19" s="108">
        <f t="shared" si="13"/>
        <v>0.99819575831999996</v>
      </c>
    </row>
    <row r="20" spans="1:52" ht="15" customHeight="1">
      <c r="A20" s="85"/>
      <c r="B20" s="111"/>
      <c r="C20" s="112"/>
      <c r="D20" s="111"/>
      <c r="E20" s="111"/>
      <c r="F20" s="111" t="s">
        <v>56</v>
      </c>
      <c r="G20" s="111"/>
      <c r="J20" s="96"/>
      <c r="K20" s="779"/>
      <c r="L20" s="780"/>
      <c r="M20" s="781"/>
      <c r="N20" s="779"/>
      <c r="O20" s="779"/>
      <c r="P20" s="779"/>
      <c r="Q20" s="780"/>
      <c r="R20" s="67"/>
      <c r="W20" s="67"/>
      <c r="X20" s="67"/>
      <c r="Y20" s="67"/>
      <c r="Z20" s="67"/>
      <c r="AA20" s="67"/>
      <c r="AB20" s="78">
        <f t="shared" si="0"/>
        <v>0</v>
      </c>
      <c r="AC20" s="87">
        <f>+$C$28</f>
        <v>9.5250000000000004</v>
      </c>
      <c r="AD20" s="88">
        <f>IF(AD19=100,100,G28)</f>
        <v>100</v>
      </c>
      <c r="AE20" s="81">
        <f>$E$28</f>
        <v>0</v>
      </c>
      <c r="AF20" s="80" t="str">
        <f t="shared" si="1"/>
        <v>-</v>
      </c>
      <c r="AG20" s="79" t="str">
        <f t="shared" si="2"/>
        <v>-</v>
      </c>
      <c r="AH20" s="79">
        <f t="shared" si="3"/>
        <v>9.5250000000000004</v>
      </c>
      <c r="AI20" s="79" t="str">
        <f t="shared" si="4"/>
        <v>-</v>
      </c>
      <c r="AJ20" s="82" t="str">
        <f t="shared" si="5"/>
        <v>-</v>
      </c>
      <c r="AK20" s="82" t="str">
        <f t="shared" si="6"/>
        <v>-</v>
      </c>
      <c r="AL20" s="84"/>
      <c r="AM20" s="84"/>
      <c r="AN20" s="81"/>
      <c r="AO20" s="80"/>
      <c r="AP20" s="79" t="str">
        <f t="shared" si="7"/>
        <v>-</v>
      </c>
      <c r="AQ20" s="79">
        <f t="shared" si="8"/>
        <v>4.76</v>
      </c>
      <c r="AR20" s="79" t="str">
        <f t="shared" si="9"/>
        <v>-</v>
      </c>
      <c r="AS20" s="82" t="str">
        <f t="shared" si="10"/>
        <v>-</v>
      </c>
      <c r="AT20" s="82" t="str">
        <f t="shared" si="11"/>
        <v>-</v>
      </c>
      <c r="AX20" s="67">
        <v>25</v>
      </c>
      <c r="AY20" s="107">
        <f t="shared" si="12"/>
        <v>0.89090837656249988</v>
      </c>
      <c r="AZ20" s="108">
        <f t="shared" si="13"/>
        <v>0.99704228123046867</v>
      </c>
    </row>
    <row r="21" spans="1:52" ht="15" customHeight="1" thickBot="1">
      <c r="A21" s="85"/>
      <c r="B21" s="113"/>
      <c r="C21" s="114" t="s">
        <v>2</v>
      </c>
      <c r="D21" s="113" t="s">
        <v>55</v>
      </c>
      <c r="E21" s="113" t="s">
        <v>1</v>
      </c>
      <c r="F21" s="113" t="s">
        <v>1</v>
      </c>
      <c r="G21" s="113" t="s">
        <v>1</v>
      </c>
      <c r="J21" s="96"/>
      <c r="L21" s="67"/>
      <c r="Q21" s="67"/>
      <c r="R21" s="67"/>
      <c r="W21" s="67"/>
      <c r="X21" s="67"/>
      <c r="Y21" s="67"/>
      <c r="Z21" s="67"/>
      <c r="AA21" s="67"/>
      <c r="AB21" s="78">
        <f t="shared" si="0"/>
        <v>0</v>
      </c>
      <c r="AC21" s="87">
        <f>+$C$27</f>
        <v>12.7</v>
      </c>
      <c r="AD21" s="88">
        <f>IF(AD20=100,100,G27)</f>
        <v>100</v>
      </c>
      <c r="AE21" s="81">
        <f>$E$27</f>
        <v>0</v>
      </c>
      <c r="AF21" s="80" t="str">
        <f t="shared" si="1"/>
        <v>-</v>
      </c>
      <c r="AG21" s="79" t="str">
        <f t="shared" si="2"/>
        <v>-</v>
      </c>
      <c r="AH21" s="79">
        <f t="shared" si="3"/>
        <v>12.7</v>
      </c>
      <c r="AI21" s="79" t="str">
        <f t="shared" si="4"/>
        <v>-</v>
      </c>
      <c r="AJ21" s="82" t="str">
        <f t="shared" si="5"/>
        <v>-</v>
      </c>
      <c r="AK21" s="82" t="str">
        <f t="shared" si="6"/>
        <v>-</v>
      </c>
      <c r="AL21" s="84"/>
      <c r="AM21" s="84"/>
      <c r="AN21" s="81"/>
      <c r="AO21" s="80"/>
      <c r="AP21" s="79" t="str">
        <f t="shared" si="7"/>
        <v>-</v>
      </c>
      <c r="AQ21" s="79">
        <f t="shared" si="8"/>
        <v>9.5250000000000004</v>
      </c>
      <c r="AR21" s="79" t="str">
        <f t="shared" si="9"/>
        <v>-</v>
      </c>
      <c r="AS21" s="82" t="str">
        <f t="shared" si="10"/>
        <v>-</v>
      </c>
      <c r="AT21" s="82" t="str">
        <f t="shared" si="11"/>
        <v>-</v>
      </c>
      <c r="AX21" s="67">
        <v>30</v>
      </c>
      <c r="AY21" s="107">
        <f t="shared" si="12"/>
        <v>0.7981983119999998</v>
      </c>
      <c r="AZ21" s="108">
        <f t="shared" si="13"/>
        <v>0.99564946376999997</v>
      </c>
    </row>
    <row r="22" spans="1:52" ht="15" customHeight="1">
      <c r="A22" s="85"/>
      <c r="B22" s="115" t="s">
        <v>54</v>
      </c>
      <c r="C22" s="53">
        <v>101.6</v>
      </c>
      <c r="D22" s="1448">
        <f>Data!E2</f>
        <v>0</v>
      </c>
      <c r="E22" s="116">
        <f t="shared" ref="E22:E36" si="14">D22/$D$16*100</f>
        <v>0</v>
      </c>
      <c r="F22" s="116">
        <f>+E22</f>
        <v>0</v>
      </c>
      <c r="G22" s="116">
        <f t="shared" ref="G22:G35" si="15">100-F22</f>
        <v>100</v>
      </c>
      <c r="I22" s="117"/>
      <c r="J22" s="96"/>
      <c r="Q22" s="67"/>
      <c r="R22" s="67"/>
      <c r="W22" s="67"/>
      <c r="X22" s="67"/>
      <c r="Y22" s="67"/>
      <c r="Z22" s="67"/>
      <c r="AA22" s="67"/>
      <c r="AB22" s="78">
        <f t="shared" si="0"/>
        <v>0</v>
      </c>
      <c r="AC22" s="87">
        <f>+$C$26</f>
        <v>19.05</v>
      </c>
      <c r="AD22" s="88">
        <f>IF(AD21=100,100,G26)</f>
        <v>100</v>
      </c>
      <c r="AE22" s="81">
        <f>$E$26</f>
        <v>0</v>
      </c>
      <c r="AF22" s="80" t="str">
        <f t="shared" si="1"/>
        <v>-</v>
      </c>
      <c r="AG22" s="79" t="str">
        <f t="shared" si="2"/>
        <v>-</v>
      </c>
      <c r="AH22" s="79">
        <f t="shared" si="3"/>
        <v>19.05</v>
      </c>
      <c r="AI22" s="79" t="str">
        <f t="shared" si="4"/>
        <v>-</v>
      </c>
      <c r="AJ22" s="82" t="str">
        <f t="shared" si="5"/>
        <v>-</v>
      </c>
      <c r="AK22" s="82" t="str">
        <f t="shared" si="6"/>
        <v>-</v>
      </c>
      <c r="AL22" s="84"/>
      <c r="AM22" s="84"/>
      <c r="AN22" s="81"/>
      <c r="AO22" s="80"/>
      <c r="AP22" s="79" t="str">
        <f t="shared" si="7"/>
        <v>-</v>
      </c>
      <c r="AQ22" s="79">
        <f t="shared" si="8"/>
        <v>12.7</v>
      </c>
      <c r="AR22" s="79" t="str">
        <f t="shared" si="9"/>
        <v>-</v>
      </c>
      <c r="AS22" s="82" t="str">
        <f t="shared" si="10"/>
        <v>-</v>
      </c>
      <c r="AT22" s="82" t="str">
        <f t="shared" si="11"/>
        <v>-</v>
      </c>
      <c r="AU22" s="97"/>
      <c r="AX22" s="67">
        <v>40</v>
      </c>
      <c r="AY22" s="107">
        <f t="shared" si="12"/>
        <v>0.65399880799999877</v>
      </c>
      <c r="AZ22" s="108">
        <f t="shared" si="13"/>
        <v>0.99222010447999998</v>
      </c>
    </row>
    <row r="23" spans="1:52" ht="15" customHeight="1">
      <c r="A23" s="85"/>
      <c r="B23" s="115" t="s">
        <v>53</v>
      </c>
      <c r="C23" s="53">
        <v>75</v>
      </c>
      <c r="D23" s="1448">
        <f>Data!E3</f>
        <v>0</v>
      </c>
      <c r="E23" s="116">
        <f t="shared" si="14"/>
        <v>0</v>
      </c>
      <c r="F23" s="116">
        <f t="shared" ref="F23:F36" si="16">F22+E23</f>
        <v>0</v>
      </c>
      <c r="G23" s="116">
        <f t="shared" si="15"/>
        <v>100</v>
      </c>
      <c r="J23" s="96"/>
      <c r="Q23" s="67"/>
      <c r="R23" s="67"/>
      <c r="W23" s="67"/>
      <c r="X23" s="67"/>
      <c r="Y23" s="67"/>
      <c r="Z23" s="67"/>
      <c r="AA23" s="67"/>
      <c r="AB23" s="78">
        <f t="shared" si="0"/>
        <v>0</v>
      </c>
      <c r="AC23" s="87">
        <f>+$C$25</f>
        <v>25.4</v>
      </c>
      <c r="AD23" s="88">
        <f>IF(AD22=100,100,G25)</f>
        <v>100</v>
      </c>
      <c r="AE23" s="81">
        <f>$E$25</f>
        <v>0</v>
      </c>
      <c r="AF23" s="80" t="str">
        <f t="shared" si="1"/>
        <v>-</v>
      </c>
      <c r="AG23" s="79" t="str">
        <f t="shared" si="2"/>
        <v>-</v>
      </c>
      <c r="AH23" s="79">
        <f t="shared" si="3"/>
        <v>25.4</v>
      </c>
      <c r="AI23" s="79" t="str">
        <f t="shared" si="4"/>
        <v>-</v>
      </c>
      <c r="AJ23" s="82" t="str">
        <f t="shared" si="5"/>
        <v>-</v>
      </c>
      <c r="AK23" s="82" t="str">
        <f t="shared" si="6"/>
        <v>-</v>
      </c>
      <c r="AL23" s="84"/>
      <c r="AM23" s="84"/>
      <c r="AN23" s="81"/>
      <c r="AO23" s="80"/>
      <c r="AP23" s="79" t="str">
        <f t="shared" si="7"/>
        <v>-</v>
      </c>
      <c r="AQ23" s="79">
        <f t="shared" si="8"/>
        <v>19.05</v>
      </c>
      <c r="AR23" s="79" t="str">
        <f t="shared" si="9"/>
        <v>-</v>
      </c>
      <c r="AS23" s="82" t="str">
        <f t="shared" si="10"/>
        <v>-</v>
      </c>
      <c r="AT23" s="82" t="str">
        <f t="shared" si="11"/>
        <v>-</v>
      </c>
      <c r="AX23" s="47">
        <v>27</v>
      </c>
      <c r="AY23" s="107">
        <f t="shared" si="12"/>
        <v>0.85190946239761189</v>
      </c>
      <c r="AZ23" s="108">
        <f t="shared" si="13"/>
        <v>0.99651367404756497</v>
      </c>
    </row>
    <row r="24" spans="1:52" ht="15" customHeight="1">
      <c r="A24" s="85"/>
      <c r="B24" s="115" t="s">
        <v>52</v>
      </c>
      <c r="C24" s="53">
        <v>38.1</v>
      </c>
      <c r="D24" s="1448">
        <f>Data!E4</f>
        <v>0</v>
      </c>
      <c r="E24" s="116">
        <f t="shared" si="14"/>
        <v>0</v>
      </c>
      <c r="F24" s="116">
        <f t="shared" si="16"/>
        <v>0</v>
      </c>
      <c r="G24" s="116">
        <f t="shared" si="15"/>
        <v>100</v>
      </c>
      <c r="J24" s="96"/>
      <c r="N24" s="67"/>
      <c r="O24" s="118"/>
      <c r="P24" s="67"/>
      <c r="Q24" s="49"/>
      <c r="R24" s="67"/>
      <c r="T24" s="49"/>
      <c r="V24" s="49"/>
      <c r="W24" s="49"/>
      <c r="X24" s="67"/>
      <c r="Y24" s="67"/>
      <c r="Z24" s="67"/>
      <c r="AA24" s="67"/>
      <c r="AB24" s="78">
        <f t="shared" si="0"/>
        <v>0</v>
      </c>
      <c r="AC24" s="87">
        <f>+$C$24</f>
        <v>38.1</v>
      </c>
      <c r="AD24" s="88">
        <f>IF(AD23=100,100,G24)</f>
        <v>100</v>
      </c>
      <c r="AE24" s="81">
        <f>$E$24</f>
        <v>0</v>
      </c>
      <c r="AF24" s="80" t="str">
        <f t="shared" si="1"/>
        <v>-</v>
      </c>
      <c r="AG24" s="79" t="str">
        <f t="shared" si="2"/>
        <v>-</v>
      </c>
      <c r="AH24" s="79">
        <f t="shared" si="3"/>
        <v>38.1</v>
      </c>
      <c r="AI24" s="79" t="str">
        <f t="shared" si="4"/>
        <v>-</v>
      </c>
      <c r="AJ24" s="82" t="str">
        <f t="shared" si="5"/>
        <v>-</v>
      </c>
      <c r="AK24" s="82" t="str">
        <f t="shared" si="6"/>
        <v>-</v>
      </c>
      <c r="AL24" s="84"/>
      <c r="AM24" s="84"/>
      <c r="AN24" s="81"/>
      <c r="AO24" s="80"/>
      <c r="AP24" s="79" t="str">
        <f t="shared" si="7"/>
        <v>-</v>
      </c>
      <c r="AQ24" s="79">
        <f t="shared" si="8"/>
        <v>25.4</v>
      </c>
      <c r="AR24" s="79" t="str">
        <f t="shared" si="9"/>
        <v>-</v>
      </c>
      <c r="AS24" s="82" t="str">
        <f t="shared" si="10"/>
        <v>-</v>
      </c>
      <c r="AT24" s="82" t="str">
        <f t="shared" si="11"/>
        <v>-</v>
      </c>
      <c r="AX24" s="47">
        <v>26</v>
      </c>
      <c r="AY24" s="107">
        <f t="shared" si="12"/>
        <v>0.87106574685900773</v>
      </c>
      <c r="AZ24" s="108">
        <f t="shared" si="13"/>
        <v>0.99678273783866678</v>
      </c>
    </row>
    <row r="25" spans="1:52" ht="15" customHeight="1">
      <c r="A25" s="85"/>
      <c r="B25" s="115" t="s">
        <v>51</v>
      </c>
      <c r="C25" s="53">
        <v>25.4</v>
      </c>
      <c r="D25" s="1448">
        <f>Data!E5</f>
        <v>0</v>
      </c>
      <c r="E25" s="116">
        <f t="shared" si="14"/>
        <v>0</v>
      </c>
      <c r="F25" s="116">
        <f t="shared" si="16"/>
        <v>0</v>
      </c>
      <c r="G25" s="116">
        <f t="shared" si="15"/>
        <v>100</v>
      </c>
      <c r="J25" s="96"/>
      <c r="N25" s="67"/>
      <c r="O25" s="118"/>
      <c r="P25" s="67"/>
      <c r="Q25" s="49"/>
      <c r="R25" s="67"/>
      <c r="T25" s="49"/>
      <c r="V25" s="49"/>
      <c r="W25" s="49"/>
      <c r="X25" s="67"/>
      <c r="Y25" s="67"/>
      <c r="Z25" s="67"/>
      <c r="AA25" s="67"/>
      <c r="AB25" s="78">
        <f t="shared" si="0"/>
        <v>0</v>
      </c>
      <c r="AC25" s="87">
        <f>+$C$23</f>
        <v>75</v>
      </c>
      <c r="AD25" s="88">
        <f>IF(AD24=100,100,G23)</f>
        <v>100</v>
      </c>
      <c r="AE25" s="81">
        <f>$E$23</f>
        <v>0</v>
      </c>
      <c r="AF25" s="80" t="str">
        <f t="shared" si="1"/>
        <v>-</v>
      </c>
      <c r="AG25" s="79" t="str">
        <f t="shared" si="2"/>
        <v>-</v>
      </c>
      <c r="AH25" s="79">
        <f t="shared" si="3"/>
        <v>75</v>
      </c>
      <c r="AI25" s="79" t="str">
        <f t="shared" si="4"/>
        <v>-</v>
      </c>
      <c r="AJ25" s="82" t="str">
        <f t="shared" si="5"/>
        <v>-</v>
      </c>
      <c r="AK25" s="82" t="str">
        <f t="shared" si="6"/>
        <v>-</v>
      </c>
      <c r="AL25" s="84"/>
      <c r="AM25" s="84"/>
      <c r="AN25" s="81"/>
      <c r="AO25" s="80"/>
      <c r="AP25" s="79" t="str">
        <f t="shared" si="7"/>
        <v>-</v>
      </c>
      <c r="AQ25" s="79">
        <f t="shared" si="8"/>
        <v>38.1</v>
      </c>
      <c r="AR25" s="79" t="str">
        <f t="shared" si="9"/>
        <v>-</v>
      </c>
      <c r="AS25" s="82" t="str">
        <f t="shared" si="10"/>
        <v>-</v>
      </c>
      <c r="AT25" s="82" t="str">
        <f t="shared" si="11"/>
        <v>-</v>
      </c>
    </row>
    <row r="26" spans="1:52" ht="15" customHeight="1">
      <c r="A26" s="85"/>
      <c r="B26" s="111" t="s">
        <v>50</v>
      </c>
      <c r="C26" s="52">
        <v>19.05</v>
      </c>
      <c r="D26" s="1448">
        <f>Data!E6</f>
        <v>0</v>
      </c>
      <c r="E26" s="119">
        <f t="shared" si="14"/>
        <v>0</v>
      </c>
      <c r="F26" s="119">
        <f t="shared" si="16"/>
        <v>0</v>
      </c>
      <c r="G26" s="119">
        <f t="shared" si="15"/>
        <v>100</v>
      </c>
      <c r="J26" s="96"/>
      <c r="L26" s="67"/>
      <c r="M26" s="67"/>
      <c r="N26" s="67"/>
      <c r="O26" s="118"/>
      <c r="P26" s="67"/>
      <c r="Q26" s="49"/>
      <c r="R26" s="67"/>
      <c r="T26" s="49"/>
      <c r="V26" s="49"/>
      <c r="W26" s="49"/>
      <c r="X26" s="67"/>
      <c r="Y26" s="67"/>
      <c r="Z26" s="107"/>
      <c r="AA26" s="67"/>
      <c r="AB26" s="78">
        <f t="shared" si="0"/>
        <v>0</v>
      </c>
      <c r="AC26" s="87">
        <f>+$C$22</f>
        <v>101.6</v>
      </c>
      <c r="AD26" s="88">
        <f>IF(AD25=100,100,G22)</f>
        <v>100</v>
      </c>
      <c r="AE26" s="81">
        <f>$E$22</f>
        <v>0</v>
      </c>
      <c r="AF26" s="80" t="str">
        <f t="shared" si="1"/>
        <v>-</v>
      </c>
      <c r="AG26" s="79" t="str">
        <f t="shared" si="2"/>
        <v>-</v>
      </c>
      <c r="AH26" s="79" t="str">
        <f t="shared" si="3"/>
        <v>-</v>
      </c>
      <c r="AI26" s="79" t="str">
        <f t="shared" si="4"/>
        <v>-</v>
      </c>
      <c r="AJ26" s="82" t="str">
        <f t="shared" si="5"/>
        <v>-</v>
      </c>
      <c r="AK26" s="82" t="str">
        <f t="shared" si="6"/>
        <v>-</v>
      </c>
      <c r="AM26" s="83"/>
      <c r="AN26" s="81"/>
      <c r="AO26" s="80"/>
      <c r="AP26" s="79">
        <f t="shared" si="7"/>
        <v>75</v>
      </c>
      <c r="AQ26" s="79" t="str">
        <f t="shared" si="8"/>
        <v>-</v>
      </c>
      <c r="AR26" s="79" t="str">
        <f t="shared" si="9"/>
        <v>-</v>
      </c>
      <c r="AS26" s="82" t="str">
        <f t="shared" si="10"/>
        <v>-</v>
      </c>
      <c r="AT26" s="82" t="str">
        <f t="shared" si="11"/>
        <v>-</v>
      </c>
    </row>
    <row r="27" spans="1:52" ht="15" customHeight="1">
      <c r="A27" s="85"/>
      <c r="B27" s="120" t="s">
        <v>49</v>
      </c>
      <c r="C27" s="51">
        <v>12.7</v>
      </c>
      <c r="D27" s="1448">
        <f>Data!E7</f>
        <v>0</v>
      </c>
      <c r="E27" s="121">
        <f t="shared" si="14"/>
        <v>0</v>
      </c>
      <c r="F27" s="121">
        <f t="shared" si="16"/>
        <v>0</v>
      </c>
      <c r="G27" s="121">
        <f t="shared" si="15"/>
        <v>100</v>
      </c>
      <c r="J27" s="96"/>
      <c r="L27" s="67"/>
      <c r="M27" s="67"/>
      <c r="N27" s="67"/>
      <c r="O27" s="118"/>
      <c r="P27" s="67"/>
      <c r="Q27" s="49"/>
      <c r="R27" s="67"/>
      <c r="T27" s="49"/>
      <c r="V27" s="49"/>
      <c r="W27" s="49"/>
      <c r="X27" s="67"/>
      <c r="Y27" s="67"/>
      <c r="Z27" s="67"/>
      <c r="AA27" s="67"/>
      <c r="AB27" s="67"/>
      <c r="AD27" s="47"/>
      <c r="AI27" s="66" t="s">
        <v>48</v>
      </c>
      <c r="AR27" s="66" t="s">
        <v>47</v>
      </c>
    </row>
    <row r="28" spans="1:52" ht="15" customHeight="1">
      <c r="A28" s="85"/>
      <c r="B28" s="122" t="s">
        <v>46</v>
      </c>
      <c r="C28" s="48">
        <v>9.5250000000000004</v>
      </c>
      <c r="D28" s="1448">
        <f>Data!E8</f>
        <v>0</v>
      </c>
      <c r="E28" s="123">
        <f t="shared" si="14"/>
        <v>0</v>
      </c>
      <c r="F28" s="123">
        <f t="shared" si="16"/>
        <v>0</v>
      </c>
      <c r="G28" s="123">
        <f t="shared" si="15"/>
        <v>100</v>
      </c>
      <c r="J28" s="96"/>
      <c r="L28" s="67"/>
      <c r="N28" s="67"/>
      <c r="O28" s="118"/>
      <c r="P28" s="67"/>
      <c r="Q28" s="49"/>
      <c r="R28" s="67"/>
      <c r="T28" s="49"/>
      <c r="V28" s="49"/>
      <c r="W28" s="49"/>
      <c r="X28" s="67"/>
      <c r="Y28" s="67"/>
      <c r="Z28" s="67"/>
      <c r="AA28" s="67"/>
      <c r="AB28" s="79"/>
      <c r="AD28" s="124"/>
      <c r="AE28" s="81"/>
      <c r="AF28" s="83"/>
      <c r="AG28" s="125" t="s">
        <v>44</v>
      </c>
      <c r="AH28" s="126" t="s">
        <v>45</v>
      </c>
      <c r="AI28" s="124" t="s">
        <v>41</v>
      </c>
      <c r="AJ28" s="82" t="s">
        <v>40</v>
      </c>
      <c r="AK28" s="124" t="s">
        <v>30</v>
      </c>
      <c r="AN28" s="81"/>
      <c r="AO28" s="83"/>
      <c r="AP28" s="125" t="s">
        <v>44</v>
      </c>
      <c r="AQ28" s="126" t="s">
        <v>45</v>
      </c>
      <c r="AR28" s="124" t="s">
        <v>41</v>
      </c>
      <c r="AS28" s="82" t="s">
        <v>40</v>
      </c>
      <c r="AT28" s="124" t="s">
        <v>30</v>
      </c>
    </row>
    <row r="29" spans="1:52" ht="15" customHeight="1">
      <c r="A29" s="85"/>
      <c r="B29" s="115">
        <v>4</v>
      </c>
      <c r="C29" s="50">
        <v>4.76</v>
      </c>
      <c r="D29" s="1448">
        <f>Data!E9</f>
        <v>0</v>
      </c>
      <c r="E29" s="116">
        <f t="shared" si="14"/>
        <v>0</v>
      </c>
      <c r="F29" s="116">
        <f t="shared" si="16"/>
        <v>0</v>
      </c>
      <c r="G29" s="116">
        <f t="shared" si="15"/>
        <v>100</v>
      </c>
      <c r="J29" s="96"/>
      <c r="L29" s="67"/>
      <c r="N29" s="67"/>
      <c r="O29" s="118"/>
      <c r="P29" s="67"/>
      <c r="Q29" s="49"/>
      <c r="S29" s="67"/>
      <c r="T29" s="49"/>
      <c r="U29" s="67"/>
      <c r="V29" s="49"/>
      <c r="W29" s="49"/>
      <c r="AC29" s="83"/>
      <c r="AD29" s="124"/>
      <c r="AE29" s="81"/>
      <c r="AF29" s="81"/>
      <c r="AG29" s="127">
        <f>100-SUM(AH29:AK29)</f>
        <v>0</v>
      </c>
      <c r="AH29" s="127">
        <f>AH33-SUM(AI29:AK29)</f>
        <v>4.530709045170056E-3</v>
      </c>
      <c r="AI29" s="80">
        <f>AH36-SUM(AJ29:AK29)</f>
        <v>14.145469290954836</v>
      </c>
      <c r="AJ29" s="80">
        <f>AI39-AK29</f>
        <v>20.799999999999997</v>
      </c>
      <c r="AK29" s="80">
        <f>ROUND(AH42,2)</f>
        <v>65.05</v>
      </c>
      <c r="AL29" s="78"/>
      <c r="AM29" s="78"/>
      <c r="AN29" s="81"/>
      <c r="AO29" s="81"/>
      <c r="AP29" s="127">
        <f>100-SUM(AQ29:AT29)</f>
        <v>0</v>
      </c>
      <c r="AQ29" s="127">
        <f>AQ33-SUM(AR29:AT29)</f>
        <v>2.0098492110726625</v>
      </c>
      <c r="AR29" s="80">
        <f>AQ36-SUM(AS29:AT29)</f>
        <v>13.990150788927338</v>
      </c>
      <c r="AS29" s="80">
        <f>AR39-AT29</f>
        <v>36.270000000000003</v>
      </c>
      <c r="AT29" s="80">
        <f>ROUND(AQ42,2)</f>
        <v>47.73</v>
      </c>
    </row>
    <row r="30" spans="1:52" ht="15" customHeight="1">
      <c r="A30" s="85"/>
      <c r="B30" s="122">
        <v>8</v>
      </c>
      <c r="C30" s="48">
        <v>2.38</v>
      </c>
      <c r="D30" s="1448">
        <f>Data!E10</f>
        <v>0.95699999999999996</v>
      </c>
      <c r="E30" s="123">
        <f t="shared" si="14"/>
        <v>1.4932825690077549</v>
      </c>
      <c r="F30" s="123">
        <f t="shared" si="16"/>
        <v>1.4932825690077549</v>
      </c>
      <c r="G30" s="123">
        <f t="shared" si="15"/>
        <v>98.506717430992239</v>
      </c>
      <c r="J30" s="96"/>
      <c r="L30" s="67"/>
      <c r="N30" s="67"/>
      <c r="O30" s="118"/>
      <c r="P30" s="67"/>
      <c r="Q30" s="49"/>
      <c r="S30" s="67"/>
      <c r="T30" s="49"/>
      <c r="U30" s="67"/>
      <c r="V30" s="49"/>
      <c r="W30" s="49"/>
      <c r="AC30" s="83"/>
      <c r="AD30" s="124"/>
      <c r="AE30" s="83"/>
      <c r="AF30" s="83"/>
      <c r="AG30" s="83"/>
      <c r="AH30" s="83"/>
      <c r="AI30" s="83"/>
      <c r="AJ30" s="128"/>
      <c r="AK30" s="129"/>
      <c r="AN30" s="83"/>
      <c r="AO30" s="83"/>
      <c r="AP30" s="83"/>
      <c r="AQ30" s="83"/>
      <c r="AR30" s="83"/>
      <c r="AS30" s="128"/>
      <c r="AT30" s="129"/>
    </row>
    <row r="31" spans="1:52" ht="15" customHeight="1">
      <c r="A31" s="85"/>
      <c r="B31" s="130">
        <v>20</v>
      </c>
      <c r="C31" s="48">
        <v>0.84</v>
      </c>
      <c r="D31" s="1448">
        <f>Data!E11</f>
        <v>1.982</v>
      </c>
      <c r="E31" s="123">
        <f t="shared" si="14"/>
        <v>3.0926709004946398</v>
      </c>
      <c r="F31" s="123">
        <f t="shared" si="16"/>
        <v>4.5859534695023942</v>
      </c>
      <c r="G31" s="123">
        <f t="shared" si="15"/>
        <v>95.4140465304976</v>
      </c>
      <c r="J31" s="96"/>
      <c r="L31" s="67"/>
      <c r="N31" s="67"/>
      <c r="O31" s="118"/>
      <c r="P31" s="67"/>
      <c r="Q31" s="49"/>
      <c r="S31" s="67"/>
      <c r="T31" s="49"/>
      <c r="U31" s="67"/>
      <c r="V31" s="49"/>
      <c r="W31" s="49"/>
      <c r="AC31" s="83"/>
      <c r="AD31" s="80"/>
      <c r="AE31" s="83" t="s">
        <v>44</v>
      </c>
      <c r="AF31" s="129" t="s">
        <v>39</v>
      </c>
      <c r="AG31" s="129">
        <f>MAX(AG4:AG26)</f>
        <v>0</v>
      </c>
      <c r="AH31" s="81">
        <f>IF(AG31=0,100,VLOOKUP(AG31,$AC$4:$AD$26,2))</f>
        <v>100</v>
      </c>
      <c r="AJ31" s="128"/>
      <c r="AK31" s="129"/>
      <c r="AN31" s="83" t="s">
        <v>44</v>
      </c>
      <c r="AO31" s="129" t="s">
        <v>39</v>
      </c>
      <c r="AP31" s="129">
        <f>MAX(AP5:AP26)</f>
        <v>75</v>
      </c>
      <c r="AQ31" s="81">
        <f>IF(AP31=0,100,VLOOKUP(AP31,$AC$4:$AD$26,2))</f>
        <v>100</v>
      </c>
      <c r="AR31" s="47"/>
      <c r="AS31" s="128"/>
      <c r="AT31" s="129"/>
    </row>
    <row r="32" spans="1:52" ht="15" customHeight="1">
      <c r="A32" s="85"/>
      <c r="B32" s="130">
        <v>40</v>
      </c>
      <c r="C32" s="48">
        <v>0.42</v>
      </c>
      <c r="D32" s="1448">
        <f>Data!E12</f>
        <v>2.222</v>
      </c>
      <c r="E32" s="123">
        <f t="shared" si="14"/>
        <v>3.4671618268915689</v>
      </c>
      <c r="F32" s="123">
        <f t="shared" si="16"/>
        <v>8.0531152963939636</v>
      </c>
      <c r="G32" s="123">
        <f t="shared" si="15"/>
        <v>91.946884703606031</v>
      </c>
      <c r="J32" s="96"/>
      <c r="L32" s="67"/>
      <c r="N32" s="131"/>
      <c r="T32" s="67"/>
      <c r="U32" s="67"/>
      <c r="V32" s="131"/>
      <c r="W32" s="67"/>
      <c r="AC32" s="83"/>
      <c r="AD32" s="124"/>
      <c r="AE32" s="83"/>
      <c r="AF32" s="83" t="s">
        <v>3</v>
      </c>
      <c r="AG32" s="129">
        <f>MIN(AG4:AG26)</f>
        <v>0</v>
      </c>
      <c r="AH32" s="81">
        <f>IF(AG32=0,100,VLOOKUP(AG32,$AC$4:$AD$26,2))</f>
        <v>100</v>
      </c>
      <c r="AJ32" s="128"/>
      <c r="AK32" s="129"/>
      <c r="AN32" s="83"/>
      <c r="AO32" s="83" t="s">
        <v>3</v>
      </c>
      <c r="AP32" s="129">
        <f>MIN(AP5:AP26)</f>
        <v>75</v>
      </c>
      <c r="AQ32" s="81">
        <f>IF(AP32=0,100,VLOOKUP(AP32,$AC$4:$AD$26,2))</f>
        <v>100</v>
      </c>
      <c r="AR32" s="47"/>
      <c r="AS32" s="128"/>
      <c r="AT32" s="129"/>
    </row>
    <row r="33" spans="1:48" ht="15" customHeight="1">
      <c r="A33" s="85"/>
      <c r="B33" s="130">
        <v>80</v>
      </c>
      <c r="C33" s="48">
        <v>0.17699999999999999</v>
      </c>
      <c r="D33" s="1448">
        <f>Data!E13</f>
        <v>1.968</v>
      </c>
      <c r="E33" s="123">
        <f t="shared" si="14"/>
        <v>3.070825596454819</v>
      </c>
      <c r="F33" s="123">
        <f t="shared" si="16"/>
        <v>11.123940892848783</v>
      </c>
      <c r="G33" s="123">
        <f t="shared" si="15"/>
        <v>88.876059107151221</v>
      </c>
      <c r="J33" s="96"/>
      <c r="L33" s="67"/>
      <c r="N33" s="67"/>
      <c r="Q33" s="131"/>
      <c r="T33" s="67"/>
      <c r="U33" s="67"/>
      <c r="V33" s="67"/>
      <c r="W33" s="67"/>
      <c r="AC33" s="83"/>
      <c r="AD33" s="124"/>
      <c r="AE33" s="83"/>
      <c r="AF33" s="83"/>
      <c r="AG33" s="83">
        <v>76.2</v>
      </c>
      <c r="AH33" s="81">
        <f>IF(AG32=0,100,((LOG(AG33)-LOG(AG34))/(LOG(AG32)-LOG(AG34)))*(AH32-AH34)+AH34)</f>
        <v>100</v>
      </c>
      <c r="AJ33" s="128"/>
      <c r="AK33" s="129"/>
      <c r="AN33" s="83"/>
      <c r="AO33" s="83"/>
      <c r="AP33" s="83">
        <v>60</v>
      </c>
      <c r="AQ33" s="81">
        <f>IF(AP32=0,100,((LOG(AP33)-LOG(AP34))/(LOG(AP32)-LOG(AP34)))*(AQ32-AQ34)+AQ34)</f>
        <v>100</v>
      </c>
      <c r="AR33" s="47"/>
      <c r="AS33" s="128"/>
      <c r="AT33" s="129"/>
      <c r="AV33" s="49"/>
    </row>
    <row r="34" spans="1:48" ht="15" customHeight="1">
      <c r="A34" s="85"/>
      <c r="B34" s="130">
        <v>100</v>
      </c>
      <c r="C34" s="48">
        <v>0.14899999999999999</v>
      </c>
      <c r="D34" s="1448">
        <f>Data!E14</f>
        <v>0.81799999999999995</v>
      </c>
      <c r="E34" s="123">
        <f t="shared" si="14"/>
        <v>1.2763899074695335</v>
      </c>
      <c r="F34" s="123">
        <f t="shared" si="16"/>
        <v>12.400330800318317</v>
      </c>
      <c r="G34" s="123">
        <f t="shared" si="15"/>
        <v>87.599669199681685</v>
      </c>
      <c r="J34" s="96"/>
      <c r="L34" s="67"/>
      <c r="M34" s="103"/>
      <c r="N34" s="131"/>
      <c r="AC34" s="83"/>
      <c r="AD34" s="124"/>
      <c r="AE34" s="129" t="s">
        <v>43</v>
      </c>
      <c r="AF34" s="129" t="s">
        <v>39</v>
      </c>
      <c r="AG34" s="128">
        <f>MAX(AH4:AH27)</f>
        <v>75</v>
      </c>
      <c r="AH34" s="81">
        <f>VLOOKUP(AG34,$AC$4:$AD$26,2)</f>
        <v>100</v>
      </c>
      <c r="AJ34" s="128"/>
      <c r="AK34" s="129"/>
      <c r="AN34" s="129" t="s">
        <v>43</v>
      </c>
      <c r="AO34" s="129" t="s">
        <v>39</v>
      </c>
      <c r="AP34" s="128">
        <f>MAX(AQ5:AQ27)</f>
        <v>38.1</v>
      </c>
      <c r="AQ34" s="81">
        <f>VLOOKUP(AP34,$AC$4:$AD$26,2)</f>
        <v>100</v>
      </c>
      <c r="AR34" s="47"/>
      <c r="AS34" s="128"/>
      <c r="AT34" s="129"/>
      <c r="AV34" s="49"/>
    </row>
    <row r="35" spans="1:48" ht="15" customHeight="1">
      <c r="A35" s="85"/>
      <c r="B35" s="130">
        <v>200</v>
      </c>
      <c r="C35" s="48">
        <v>7.3999999999999996E-2</v>
      </c>
      <c r="D35" s="1448">
        <f>Data!E15</f>
        <v>1.1399999999999999</v>
      </c>
      <c r="E35" s="123">
        <f t="shared" si="14"/>
        <v>1.7788319003854132</v>
      </c>
      <c r="F35" s="123">
        <f t="shared" si="16"/>
        <v>14.17916270070373</v>
      </c>
      <c r="G35" s="123">
        <f t="shared" si="15"/>
        <v>85.820837299296272</v>
      </c>
      <c r="J35" s="96"/>
      <c r="AC35" s="83"/>
      <c r="AD35" s="124"/>
      <c r="AE35" s="83"/>
      <c r="AF35" s="83" t="s">
        <v>3</v>
      </c>
      <c r="AG35" s="128">
        <f>MIN(AH4:AH27)</f>
        <v>4.76</v>
      </c>
      <c r="AH35" s="81">
        <f>VLOOKUP(AG35,$AC$4:$AD$26,2)</f>
        <v>100</v>
      </c>
      <c r="AJ35" s="128"/>
      <c r="AK35" s="83"/>
      <c r="AN35" s="83"/>
      <c r="AO35" s="83" t="s">
        <v>3</v>
      </c>
      <c r="AP35" s="128">
        <f>MIN(AQ5:AQ27)</f>
        <v>2.38</v>
      </c>
      <c r="AQ35" s="81">
        <f>VLOOKUP(AP35,$AC$4:$AD$26,2)</f>
        <v>98.506717430992239</v>
      </c>
      <c r="AR35" s="47"/>
      <c r="AS35" s="128"/>
      <c r="AT35" s="83"/>
    </row>
    <row r="36" spans="1:48" ht="15" customHeight="1">
      <c r="A36" s="85"/>
      <c r="B36" s="130" t="s">
        <v>42</v>
      </c>
      <c r="C36" s="130"/>
      <c r="D36" s="132">
        <f>SUM(D22:D35)</f>
        <v>9.0869999999999997</v>
      </c>
      <c r="E36" s="123">
        <f t="shared" si="14"/>
        <v>14.17916270070373</v>
      </c>
      <c r="F36" s="123">
        <f t="shared" si="16"/>
        <v>28.358325401407459</v>
      </c>
      <c r="G36" s="133"/>
      <c r="I36" s="134"/>
      <c r="J36" s="96"/>
      <c r="K36" s="103"/>
      <c r="N36" s="131"/>
      <c r="AC36" s="83"/>
      <c r="AD36" s="124"/>
      <c r="AE36" s="83"/>
      <c r="AF36" s="83"/>
      <c r="AG36" s="128">
        <v>4.75</v>
      </c>
      <c r="AH36" s="81">
        <f>((LOG(AG36)-LOG(AG37))/(LOG(AG35)-LOG(AG37)))*(AH35-AH37)+AH37</f>
        <v>99.99546929095483</v>
      </c>
      <c r="AJ36" s="128"/>
      <c r="AK36" s="83"/>
      <c r="AN36" s="83"/>
      <c r="AO36" s="83"/>
      <c r="AP36" s="128">
        <v>2</v>
      </c>
      <c r="AQ36" s="81">
        <f>((LOG(AP36)-LOG(AP37))/(LOG(AP35)-LOG(AP37)))*(AQ35-AQ37)+AQ37</f>
        <v>97.990150788927338</v>
      </c>
      <c r="AR36" s="47"/>
      <c r="AS36" s="128"/>
      <c r="AT36" s="83"/>
    </row>
    <row r="37" spans="1:48" ht="15" customHeight="1">
      <c r="A37" s="85"/>
      <c r="J37" s="96"/>
      <c r="N37" s="131"/>
      <c r="AC37" s="83"/>
      <c r="AD37" s="124"/>
      <c r="AE37" s="83" t="s">
        <v>41</v>
      </c>
      <c r="AF37" s="129" t="s">
        <v>39</v>
      </c>
      <c r="AG37" s="128">
        <f>MAX(AI4:AI27)</f>
        <v>2.38</v>
      </c>
      <c r="AH37" s="81">
        <f>VLOOKUP(AG37,$AC$4:$AD$26,2)</f>
        <v>98.506717430992239</v>
      </c>
      <c r="AJ37" s="128"/>
      <c r="AK37" s="83"/>
      <c r="AN37" s="83" t="s">
        <v>41</v>
      </c>
      <c r="AO37" s="129" t="s">
        <v>39</v>
      </c>
      <c r="AP37" s="128">
        <f>MAX(AR5:AR27)</f>
        <v>0.84</v>
      </c>
      <c r="AQ37" s="81">
        <f>VLOOKUP(AP37,$AC$4:$AD$26,2)</f>
        <v>95.4140465304976</v>
      </c>
      <c r="AR37" s="47"/>
      <c r="AS37" s="128"/>
      <c r="AT37" s="83"/>
    </row>
    <row r="38" spans="1:48" ht="15" customHeight="1">
      <c r="A38" s="85"/>
      <c r="D38" s="49">
        <f>SUM(D22:D36)</f>
        <v>18.173999999999999</v>
      </c>
      <c r="E38" s="78">
        <f>SUM(E22:E37)</f>
        <v>28.358325401407459</v>
      </c>
      <c r="J38" s="96"/>
      <c r="N38" s="131"/>
      <c r="AC38" s="83"/>
      <c r="AD38" s="124"/>
      <c r="AE38" s="83"/>
      <c r="AF38" s="83" t="s">
        <v>3</v>
      </c>
      <c r="AG38" s="128">
        <f>MIN(AI4:AI27)</f>
        <v>0.14899999999999999</v>
      </c>
      <c r="AH38" s="81">
        <f>VLOOKUP(AG38,AC4:AD26,2)</f>
        <v>87.599669199681685</v>
      </c>
      <c r="AJ38" s="128"/>
      <c r="AK38" s="83"/>
      <c r="AN38" s="83"/>
      <c r="AO38" s="83" t="s">
        <v>3</v>
      </c>
      <c r="AP38" s="128">
        <f>MIN(AR5:AR27)</f>
        <v>7.3999999999999996E-2</v>
      </c>
      <c r="AQ38" s="81">
        <f>VLOOKUP(AP38,AC4:AD26,2)</f>
        <v>85.820837299296272</v>
      </c>
      <c r="AR38" s="47"/>
      <c r="AS38" s="128"/>
      <c r="AT38" s="83"/>
    </row>
    <row r="39" spans="1:48" ht="15" customHeight="1">
      <c r="A39" s="85"/>
      <c r="B39" s="102" t="s">
        <v>805</v>
      </c>
      <c r="J39" s="96"/>
      <c r="N39" s="131"/>
      <c r="AC39" s="83"/>
      <c r="AD39" s="124"/>
      <c r="AE39" s="83"/>
      <c r="AF39" s="83"/>
      <c r="AG39" s="128">
        <v>7.4999999999999997E-2</v>
      </c>
      <c r="AH39" s="81">
        <f>((LOG(AG39)-LOG(AG40))/(LOG(AG38)-LOG(AG40)))*(AH38-AH40)+AH40</f>
        <v>85.854953512635973</v>
      </c>
      <c r="AI39" s="135">
        <f>ROUND(AH39,2)</f>
        <v>85.85</v>
      </c>
      <c r="AJ39" s="128"/>
      <c r="AK39" s="83"/>
      <c r="AN39" s="83"/>
      <c r="AO39" s="83"/>
      <c r="AP39" s="128">
        <v>0.06</v>
      </c>
      <c r="AQ39" s="81">
        <f>((LOG(AP39)-LOG(AP40))/(LOG(AP38)-LOG(AP40)))*(AQ38-AQ40)+AQ40</f>
        <v>84.009773684713338</v>
      </c>
      <c r="AR39" s="135">
        <f>ROUND(AQ39,0)</f>
        <v>84</v>
      </c>
      <c r="AS39" s="128"/>
      <c r="AT39" s="83"/>
    </row>
    <row r="40" spans="1:48" ht="15" customHeight="1">
      <c r="A40" s="85"/>
      <c r="D40" s="136"/>
      <c r="J40" s="96"/>
      <c r="N40" s="131"/>
      <c r="AC40" s="83"/>
      <c r="AD40" s="124"/>
      <c r="AE40" s="83" t="s">
        <v>40</v>
      </c>
      <c r="AF40" s="129" t="s">
        <v>39</v>
      </c>
      <c r="AG40" s="128">
        <f>MAX(AJ4:AJ27)</f>
        <v>7.3999999999999996E-2</v>
      </c>
      <c r="AH40" s="81">
        <f>VLOOKUP(AG40,AC4:AD26,2)</f>
        <v>85.820837299296272</v>
      </c>
      <c r="AJ40" s="128"/>
      <c r="AK40" s="83"/>
      <c r="AN40" s="83" t="s">
        <v>40</v>
      </c>
      <c r="AO40" s="129" t="s">
        <v>39</v>
      </c>
      <c r="AP40" s="128">
        <f>MAX(AS5:AS27)</f>
        <v>5.1318317643901372E-2</v>
      </c>
      <c r="AQ40" s="81">
        <f>VLOOKUP(AP40,AC4:AD26,2)</f>
        <v>82.660056254866802</v>
      </c>
      <c r="AR40" s="47"/>
      <c r="AS40" s="128"/>
      <c r="AT40" s="83"/>
    </row>
    <row r="41" spans="1:48" ht="15" customHeight="1">
      <c r="A41" s="85"/>
      <c r="B41" s="105" t="s">
        <v>38</v>
      </c>
      <c r="C41" s="105"/>
      <c r="D41" s="776">
        <f>Data!F2</f>
        <v>60.1</v>
      </c>
      <c r="E41" s="105" t="s">
        <v>37</v>
      </c>
      <c r="F41" s="105" t="s">
        <v>36</v>
      </c>
      <c r="G41" s="105"/>
      <c r="H41" s="137" t="s">
        <v>27</v>
      </c>
      <c r="I41" s="138"/>
      <c r="J41" s="96"/>
      <c r="N41" s="131"/>
      <c r="AC41" s="83"/>
      <c r="AD41" s="124"/>
      <c r="AE41" s="83"/>
      <c r="AF41" s="83" t="s">
        <v>3</v>
      </c>
      <c r="AG41" s="128">
        <f>MIN(AJ4:AJ27)</f>
        <v>5.1171304526843502E-3</v>
      </c>
      <c r="AH41" s="81">
        <f>VLOOKUP(AG41,AC4:AD26,2)</f>
        <v>65.44059452461866</v>
      </c>
      <c r="AJ41" s="128"/>
      <c r="AK41" s="83"/>
      <c r="AN41" s="83"/>
      <c r="AO41" s="83" t="s">
        <v>3</v>
      </c>
      <c r="AP41" s="128">
        <f>MIN(AS5:AS27)</f>
        <v>2.687113746385127E-3</v>
      </c>
      <c r="AQ41" s="81">
        <f>VLOOKUP(AP41,AC4:AD26,2)</f>
        <v>54.482755241733472</v>
      </c>
      <c r="AR41" s="47"/>
      <c r="AS41" s="128"/>
      <c r="AT41" s="83"/>
    </row>
    <row r="42" spans="1:48" ht="15" customHeight="1">
      <c r="A42" s="85"/>
      <c r="B42" s="105" t="s">
        <v>35</v>
      </c>
      <c r="C42" s="105"/>
      <c r="D42" s="777">
        <f>PP!J24</f>
        <v>2.6497359418773012</v>
      </c>
      <c r="E42" s="105"/>
      <c r="F42" s="105" t="s">
        <v>34</v>
      </c>
      <c r="G42" s="105"/>
      <c r="H42" s="137" t="s">
        <v>27</v>
      </c>
      <c r="I42" s="139"/>
      <c r="J42" s="96"/>
      <c r="N42" s="131"/>
      <c r="AE42" s="83"/>
      <c r="AF42" s="83"/>
      <c r="AG42" s="128">
        <v>5.0000000000000001E-3</v>
      </c>
      <c r="AH42" s="81">
        <f>((LOG(AG42)-LOG(AG43))/(LOG(AG41)-LOG(AG43)))*(AH41-AH43)+AH43</f>
        <v>65.046667424050497</v>
      </c>
      <c r="AJ42" s="128"/>
      <c r="AK42" s="83"/>
      <c r="AN42" s="83"/>
      <c r="AO42" s="83"/>
      <c r="AP42" s="128">
        <v>2E-3</v>
      </c>
      <c r="AQ42" s="81">
        <f>((LOG(AP42)-LOG(AP43))/(LOG(AP41)-LOG(AP43)))*(AQ41-AQ43)+AQ43</f>
        <v>47.730851675601571</v>
      </c>
      <c r="AR42" s="47"/>
      <c r="AS42" s="128"/>
      <c r="AT42" s="83"/>
    </row>
    <row r="43" spans="1:48" ht="15" customHeight="1">
      <c r="A43" s="85"/>
      <c r="B43" s="105" t="s">
        <v>33</v>
      </c>
      <c r="C43" s="105"/>
      <c r="D43" s="775">
        <v>-1</v>
      </c>
      <c r="E43" s="105"/>
      <c r="F43" s="105" t="s">
        <v>32</v>
      </c>
      <c r="G43" s="105"/>
      <c r="H43" s="137" t="s">
        <v>27</v>
      </c>
      <c r="I43" s="493">
        <f>VLOOKUP(L43,Q46:R61,2,0)</f>
        <v>0</v>
      </c>
      <c r="J43" s="96"/>
      <c r="K43" s="83" t="s">
        <v>31</v>
      </c>
      <c r="L43" s="1450">
        <f>Data!F3</f>
        <v>20</v>
      </c>
      <c r="N43" s="131"/>
      <c r="AE43" s="83" t="s">
        <v>30</v>
      </c>
      <c r="AF43" s="83"/>
      <c r="AG43" s="128">
        <f>MAX(AK4:AK27)</f>
        <v>2.687113746385127E-3</v>
      </c>
      <c r="AH43" s="81">
        <f>VLOOKUP(AG43,AC4:AD26,2)</f>
        <v>54.482755241733472</v>
      </c>
      <c r="AJ43" s="128"/>
      <c r="AK43" s="83"/>
      <c r="AN43" s="83" t="s">
        <v>30</v>
      </c>
      <c r="AO43" s="83"/>
      <c r="AP43" s="128">
        <f>MAX(AT5:AT27)</f>
        <v>1.1815642701103373E-3</v>
      </c>
      <c r="AQ43" s="81">
        <f>VLOOKUP(AP43,AC4:AD26,2)</f>
        <v>35.697887899644584</v>
      </c>
      <c r="AR43" s="47"/>
      <c r="AS43" s="128"/>
      <c r="AT43" s="83"/>
    </row>
    <row r="44" spans="1:48" ht="15" customHeight="1" thickBot="1">
      <c r="A44" s="85"/>
      <c r="B44" s="105" t="s">
        <v>29</v>
      </c>
      <c r="C44" s="105"/>
      <c r="D44" s="776">
        <f>+(0.000000000153808*L43^6)-(0.0000000215035*L43^5)+(0.000001335*L43^4)-(0.0000539985*L43^3)+(0.001865353*L43^2)-(0.062670029*L43)+1.7865</f>
        <v>1.0018851319999997</v>
      </c>
      <c r="E44" s="105"/>
      <c r="F44" s="105" t="s">
        <v>28</v>
      </c>
      <c r="G44" s="105"/>
      <c r="H44" s="137" t="s">
        <v>27</v>
      </c>
      <c r="I44" s="2891">
        <v>3</v>
      </c>
      <c r="J44" s="96"/>
      <c r="K44" s="83" t="s">
        <v>26</v>
      </c>
      <c r="L44" s="108">
        <f>+(0.00000000000294863*L43^6)-(0.000000000349145*L43^5)+(0.0000000151156*L43^4)-(0.000000247168*L43^3)-(0.00000563567*L43^2)+(0.0000548713*L43)+0.99984</f>
        <v>0.99819575831999996</v>
      </c>
      <c r="N44" s="131"/>
      <c r="Q44" s="4299" t="s">
        <v>1344</v>
      </c>
      <c r="R44" s="4299"/>
      <c r="AE44" s="83"/>
      <c r="AF44" s="83"/>
      <c r="AG44" s="83"/>
      <c r="AH44" s="83"/>
      <c r="AI44" s="83"/>
      <c r="AJ44" s="83"/>
      <c r="AK44" s="83"/>
      <c r="AN44" s="83"/>
      <c r="AO44" s="83"/>
      <c r="AP44" s="83"/>
      <c r="AQ44" s="83"/>
      <c r="AR44" s="83"/>
      <c r="AS44" s="83"/>
      <c r="AT44" s="83"/>
    </row>
    <row r="45" spans="1:48" ht="15" customHeight="1">
      <c r="A45" s="140"/>
      <c r="B45" s="109"/>
      <c r="C45" s="109" t="s">
        <v>25</v>
      </c>
      <c r="D45" s="109" t="s">
        <v>24</v>
      </c>
      <c r="E45" s="109" t="b">
        <v>1</v>
      </c>
      <c r="F45" s="109" t="s">
        <v>23</v>
      </c>
      <c r="G45" s="109" t="s">
        <v>22</v>
      </c>
      <c r="H45" s="109" t="s">
        <v>21</v>
      </c>
      <c r="I45" s="109" t="s">
        <v>20</v>
      </c>
      <c r="J45" s="141"/>
      <c r="K45" s="47" t="s">
        <v>19</v>
      </c>
      <c r="L45" s="107">
        <f>+(1-L44)*1000</f>
        <v>1.8042416800000405</v>
      </c>
      <c r="O45" s="142" t="s">
        <v>18</v>
      </c>
      <c r="P45" s="142" t="s">
        <v>17</v>
      </c>
      <c r="Q45" s="2892" t="s">
        <v>1052</v>
      </c>
      <c r="R45" s="2892" t="s">
        <v>1343</v>
      </c>
      <c r="AR45" s="47"/>
    </row>
    <row r="46" spans="1:48" ht="15" customHeight="1">
      <c r="A46" s="140"/>
      <c r="B46" s="111" t="s">
        <v>16</v>
      </c>
      <c r="C46" s="111" t="s">
        <v>16</v>
      </c>
      <c r="D46" s="111" t="s">
        <v>15</v>
      </c>
      <c r="E46" s="111" t="s">
        <v>6</v>
      </c>
      <c r="F46" s="111" t="s">
        <v>14</v>
      </c>
      <c r="G46" s="111" t="s">
        <v>13</v>
      </c>
      <c r="H46" s="111" t="s">
        <v>12</v>
      </c>
      <c r="I46" s="111" t="s">
        <v>11</v>
      </c>
      <c r="J46" s="141"/>
      <c r="L46" s="143">
        <f>(((D41/100))+1)*D16</f>
        <v>102.60328700000001</v>
      </c>
      <c r="O46" s="142">
        <v>24</v>
      </c>
      <c r="P46" s="142">
        <v>0.8</v>
      </c>
      <c r="Q46" s="2892">
        <v>15</v>
      </c>
      <c r="R46" s="2892">
        <v>-1.1000000000000001</v>
      </c>
      <c r="AR46" s="47"/>
    </row>
    <row r="47" spans="1:48" ht="15" customHeight="1">
      <c r="A47" s="140"/>
      <c r="B47" s="111"/>
      <c r="C47" s="111" t="s">
        <v>10</v>
      </c>
      <c r="D47" s="111" t="s">
        <v>9</v>
      </c>
      <c r="E47" s="111" t="s">
        <v>8</v>
      </c>
      <c r="F47" s="111" t="s">
        <v>7</v>
      </c>
      <c r="G47" s="111" t="s">
        <v>6</v>
      </c>
      <c r="H47" s="111" t="s">
        <v>5</v>
      </c>
      <c r="I47" s="111" t="s">
        <v>4</v>
      </c>
      <c r="J47" s="141"/>
      <c r="M47" s="78"/>
      <c r="O47" s="142">
        <v>25</v>
      </c>
      <c r="P47" s="142">
        <v>1</v>
      </c>
      <c r="Q47" s="2892">
        <v>16</v>
      </c>
      <c r="R47" s="2892">
        <v>-0.9</v>
      </c>
      <c r="AR47" s="47"/>
    </row>
    <row r="48" spans="1:48" ht="15" customHeight="1" thickBot="1">
      <c r="A48" s="140"/>
      <c r="B48" s="113"/>
      <c r="C48" s="113" t="s">
        <v>3</v>
      </c>
      <c r="D48" s="113"/>
      <c r="E48" s="113"/>
      <c r="F48" s="113" t="s">
        <v>2</v>
      </c>
      <c r="G48" s="113"/>
      <c r="H48" s="113" t="s">
        <v>2</v>
      </c>
      <c r="I48" s="113" t="s">
        <v>1</v>
      </c>
      <c r="J48" s="141"/>
      <c r="M48" s="78"/>
      <c r="O48" s="142">
        <v>26</v>
      </c>
      <c r="P48" s="142">
        <v>1.26</v>
      </c>
      <c r="Q48" s="2892">
        <v>17</v>
      </c>
      <c r="R48" s="2892">
        <v>-0.7</v>
      </c>
      <c r="AR48" s="47"/>
    </row>
    <row r="49" spans="1:44" ht="15" customHeight="1">
      <c r="A49" s="140"/>
      <c r="B49" s="144"/>
      <c r="C49" s="122">
        <v>0</v>
      </c>
      <c r="D49" s="145"/>
      <c r="E49" s="122"/>
      <c r="F49" s="146"/>
      <c r="G49" s="147"/>
      <c r="H49" s="148"/>
      <c r="I49" s="149"/>
      <c r="J49" s="141"/>
      <c r="M49" s="78"/>
      <c r="O49" s="142">
        <v>27</v>
      </c>
      <c r="P49" s="142">
        <v>1.52</v>
      </c>
      <c r="Q49" s="2892">
        <v>18</v>
      </c>
      <c r="R49" s="2892">
        <v>-0.5</v>
      </c>
      <c r="AR49" s="47"/>
    </row>
    <row r="50" spans="1:44" ht="15" customHeight="1">
      <c r="A50" s="140"/>
      <c r="B50" s="150"/>
      <c r="C50" s="122">
        <v>0.5</v>
      </c>
      <c r="D50" s="1449">
        <f>Data!F4</f>
        <v>55</v>
      </c>
      <c r="E50" s="147">
        <f t="shared" ref="E50:E58" si="17">D50+$D$43</f>
        <v>54</v>
      </c>
      <c r="F50" s="123">
        <f t="shared" ref="F50:F58" si="18">IF($I$42="m",157.59-(E50*1.36),173.09-(E50*1.56))</f>
        <v>88.85</v>
      </c>
      <c r="G50" s="147">
        <f t="shared" ref="G50:G58" si="19">E50+$I$43-$I$44+$L$45</f>
        <v>52.80424168000004</v>
      </c>
      <c r="H50" s="148">
        <f t="shared" ref="H50:H57" si="20">0.00494*($D$44*F50/(($D$42-1)*C50))^0.5</f>
        <v>5.1318317643901372E-2</v>
      </c>
      <c r="I50" s="149">
        <f t="shared" ref="I50:I58" si="21">+($D$41*L50/100)/$L$46*100</f>
        <v>82.660056254866802</v>
      </c>
      <c r="J50" s="141"/>
      <c r="L50" s="151">
        <f t="shared" ref="L50:L58" si="22">$D$42*G50*100/($D$41*($D$42-1))</f>
        <v>141.11802787611055</v>
      </c>
      <c r="M50" s="78"/>
      <c r="O50" s="142">
        <v>28</v>
      </c>
      <c r="P50" s="142">
        <v>1.78</v>
      </c>
      <c r="Q50" s="2892">
        <v>19</v>
      </c>
      <c r="R50" s="2892">
        <v>-0.3</v>
      </c>
      <c r="AR50" s="47"/>
    </row>
    <row r="51" spans="1:44" ht="15" customHeight="1">
      <c r="A51" s="140"/>
      <c r="B51" s="150"/>
      <c r="C51" s="122">
        <v>1</v>
      </c>
      <c r="D51" s="1449">
        <f>Data!F5</f>
        <v>54</v>
      </c>
      <c r="E51" s="147">
        <f t="shared" si="17"/>
        <v>53</v>
      </c>
      <c r="F51" s="123">
        <f t="shared" si="18"/>
        <v>90.41</v>
      </c>
      <c r="G51" s="147">
        <f t="shared" si="19"/>
        <v>51.80424168000004</v>
      </c>
      <c r="H51" s="148">
        <f t="shared" si="20"/>
        <v>3.6604706693376281E-2</v>
      </c>
      <c r="I51" s="149">
        <f t="shared" si="21"/>
        <v>81.094650643026057</v>
      </c>
      <c r="J51" s="141"/>
      <c r="L51" s="151">
        <f t="shared" si="22"/>
        <v>138.44555264710712</v>
      </c>
      <c r="M51" s="78"/>
      <c r="O51" s="142">
        <v>29</v>
      </c>
      <c r="P51" s="142">
        <v>2.04</v>
      </c>
      <c r="Q51" s="2892">
        <v>20</v>
      </c>
      <c r="R51" s="2892">
        <v>0</v>
      </c>
      <c r="AR51" s="47"/>
    </row>
    <row r="52" spans="1:44" ht="15" customHeight="1">
      <c r="A52" s="140"/>
      <c r="B52" s="150"/>
      <c r="C52" s="122">
        <v>2</v>
      </c>
      <c r="D52" s="1449">
        <f>Data!F6</f>
        <v>53</v>
      </c>
      <c r="E52" s="147">
        <f t="shared" si="17"/>
        <v>52</v>
      </c>
      <c r="F52" s="123">
        <f t="shared" si="18"/>
        <v>91.97</v>
      </c>
      <c r="G52" s="147">
        <f t="shared" si="19"/>
        <v>50.80424168000004</v>
      </c>
      <c r="H52" s="148">
        <f t="shared" si="20"/>
        <v>2.610578711048599E-2</v>
      </c>
      <c r="I52" s="149">
        <f t="shared" si="21"/>
        <v>79.529245031185326</v>
      </c>
      <c r="J52" s="141"/>
      <c r="L52" s="151">
        <f t="shared" si="22"/>
        <v>135.7730774181037</v>
      </c>
      <c r="M52" s="78"/>
      <c r="O52" s="142">
        <v>30</v>
      </c>
      <c r="P52" s="142">
        <v>2.2999999999999998</v>
      </c>
      <c r="Q52" s="2892">
        <v>21</v>
      </c>
      <c r="R52" s="2892">
        <v>0.2</v>
      </c>
      <c r="AR52" s="47"/>
    </row>
    <row r="53" spans="1:44" ht="15" customHeight="1">
      <c r="A53" s="140"/>
      <c r="B53" s="150"/>
      <c r="C53" s="122">
        <v>5</v>
      </c>
      <c r="D53" s="1449">
        <f>Data!F7</f>
        <v>51</v>
      </c>
      <c r="E53" s="147">
        <f t="shared" si="17"/>
        <v>50</v>
      </c>
      <c r="F53" s="123">
        <f t="shared" si="18"/>
        <v>95.09</v>
      </c>
      <c r="G53" s="147">
        <f t="shared" si="19"/>
        <v>48.80424168000004</v>
      </c>
      <c r="H53" s="148">
        <f t="shared" si="20"/>
        <v>1.678846997038078E-2</v>
      </c>
      <c r="I53" s="149">
        <f t="shared" si="21"/>
        <v>76.398433807503835</v>
      </c>
      <c r="J53" s="141"/>
      <c r="L53" s="151">
        <f t="shared" si="22"/>
        <v>130.42812696009682</v>
      </c>
      <c r="M53" s="78"/>
      <c r="Q53" s="2892">
        <v>22</v>
      </c>
      <c r="R53" s="2892">
        <v>0.4</v>
      </c>
    </row>
    <row r="54" spans="1:44" ht="15" customHeight="1">
      <c r="A54" s="140"/>
      <c r="B54" s="150"/>
      <c r="C54" s="122">
        <v>15</v>
      </c>
      <c r="D54" s="1449">
        <f>Data!F8</f>
        <v>48</v>
      </c>
      <c r="E54" s="147">
        <f t="shared" si="17"/>
        <v>47</v>
      </c>
      <c r="F54" s="123">
        <f t="shared" si="18"/>
        <v>99.77</v>
      </c>
      <c r="G54" s="147">
        <f t="shared" si="19"/>
        <v>45.80424168000004</v>
      </c>
      <c r="H54" s="148">
        <f t="shared" si="20"/>
        <v>9.9284865827431682E-3</v>
      </c>
      <c r="I54" s="149">
        <f t="shared" si="21"/>
        <v>71.702216971981599</v>
      </c>
      <c r="J54" s="141"/>
      <c r="L54" s="151">
        <f t="shared" si="22"/>
        <v>122.41070127308653</v>
      </c>
      <c r="M54" s="78"/>
      <c r="Q54" s="2892">
        <v>23</v>
      </c>
      <c r="R54" s="2892">
        <v>0.7</v>
      </c>
    </row>
    <row r="55" spans="1:44" ht="15" customHeight="1">
      <c r="A55" s="140"/>
      <c r="B55" s="150"/>
      <c r="C55" s="122">
        <v>30</v>
      </c>
      <c r="D55" s="1449">
        <f>Data!F9</f>
        <v>46</v>
      </c>
      <c r="E55" s="147">
        <f t="shared" si="17"/>
        <v>45</v>
      </c>
      <c r="F55" s="123">
        <f t="shared" si="18"/>
        <v>102.89</v>
      </c>
      <c r="G55" s="147">
        <f t="shared" si="19"/>
        <v>43.80424168000004</v>
      </c>
      <c r="H55" s="148">
        <f t="shared" si="20"/>
        <v>7.1294274332317402E-3</v>
      </c>
      <c r="I55" s="149">
        <f t="shared" si="21"/>
        <v>68.571405748300123</v>
      </c>
      <c r="J55" s="141"/>
      <c r="L55" s="151">
        <f t="shared" si="22"/>
        <v>117.06575081507967</v>
      </c>
      <c r="Q55" s="2892">
        <v>24</v>
      </c>
      <c r="R55" s="2892">
        <v>1</v>
      </c>
    </row>
    <row r="56" spans="1:44" ht="15" customHeight="1">
      <c r="A56" s="140"/>
      <c r="B56" s="150"/>
      <c r="C56" s="122">
        <v>60</v>
      </c>
      <c r="D56" s="1449">
        <f>Data!F10</f>
        <v>44</v>
      </c>
      <c r="E56" s="147">
        <f t="shared" si="17"/>
        <v>43</v>
      </c>
      <c r="F56" s="123">
        <f t="shared" si="18"/>
        <v>106.01</v>
      </c>
      <c r="G56" s="147">
        <f t="shared" si="19"/>
        <v>41.80424168000004</v>
      </c>
      <c r="H56" s="148">
        <f t="shared" si="20"/>
        <v>5.1171304526843502E-3</v>
      </c>
      <c r="I56" s="149">
        <f t="shared" si="21"/>
        <v>65.44059452461866</v>
      </c>
      <c r="J56" s="141"/>
      <c r="L56" s="151">
        <f t="shared" si="22"/>
        <v>111.72080035707282</v>
      </c>
      <c r="Q56" s="2892">
        <v>25</v>
      </c>
      <c r="R56" s="2892">
        <v>1.3</v>
      </c>
    </row>
    <row r="57" spans="1:44" ht="15" customHeight="1">
      <c r="A57" s="140"/>
      <c r="B57" s="150"/>
      <c r="C57" s="122">
        <v>240</v>
      </c>
      <c r="D57" s="1449">
        <f>Data!F11</f>
        <v>37</v>
      </c>
      <c r="E57" s="147">
        <f t="shared" si="17"/>
        <v>36</v>
      </c>
      <c r="F57" s="123">
        <f t="shared" si="18"/>
        <v>116.93</v>
      </c>
      <c r="G57" s="147">
        <f t="shared" si="19"/>
        <v>34.80424168000004</v>
      </c>
      <c r="H57" s="148">
        <f t="shared" si="20"/>
        <v>2.687113746385127E-3</v>
      </c>
      <c r="I57" s="149">
        <f t="shared" si="21"/>
        <v>54.482755241733472</v>
      </c>
      <c r="J57" s="141"/>
      <c r="L57" s="151">
        <f t="shared" si="22"/>
        <v>93.013473754048817</v>
      </c>
      <c r="Q57" s="2892">
        <v>26</v>
      </c>
      <c r="R57" s="2892">
        <v>1.65</v>
      </c>
    </row>
    <row r="58" spans="1:44" ht="15" customHeight="1">
      <c r="A58" s="140"/>
      <c r="B58" s="150"/>
      <c r="C58" s="122">
        <v>1440</v>
      </c>
      <c r="D58" s="1449">
        <f>Data!F12</f>
        <v>25</v>
      </c>
      <c r="E58" s="147">
        <f t="shared" si="17"/>
        <v>24</v>
      </c>
      <c r="F58" s="123">
        <f t="shared" si="18"/>
        <v>135.65</v>
      </c>
      <c r="G58" s="147">
        <f t="shared" si="19"/>
        <v>22.80424168000004</v>
      </c>
      <c r="H58" s="148">
        <f>0.00494*($D$44*F58/(($D$42-1)*C58))^0.5</f>
        <v>1.1815642701103373E-3</v>
      </c>
      <c r="I58" s="149">
        <f t="shared" si="21"/>
        <v>35.697887899644584</v>
      </c>
      <c r="J58" s="141"/>
      <c r="L58" s="151">
        <f t="shared" si="22"/>
        <v>60.943771006007658</v>
      </c>
      <c r="Q58" s="2892">
        <v>27</v>
      </c>
      <c r="R58" s="2892">
        <v>2</v>
      </c>
    </row>
    <row r="59" spans="1:44" ht="15" customHeight="1">
      <c r="A59" s="140"/>
      <c r="B59" s="152" t="s">
        <v>0</v>
      </c>
      <c r="C59" s="153"/>
      <c r="D59" s="152"/>
      <c r="E59" s="152"/>
      <c r="F59" s="152"/>
      <c r="G59" s="152"/>
      <c r="H59" s="152"/>
      <c r="I59" s="152"/>
      <c r="J59" s="141"/>
      <c r="Q59" s="2892">
        <v>28</v>
      </c>
      <c r="R59" s="2892">
        <v>2.5</v>
      </c>
    </row>
    <row r="60" spans="1:44" ht="6" customHeight="1">
      <c r="A60" s="140"/>
      <c r="B60" s="67"/>
      <c r="C60" s="67"/>
      <c r="D60" s="67"/>
      <c r="E60" s="67"/>
      <c r="F60" s="67"/>
      <c r="G60" s="67"/>
      <c r="H60" s="67"/>
      <c r="I60" s="67"/>
      <c r="J60" s="141"/>
      <c r="Q60" s="2892">
        <v>29</v>
      </c>
      <c r="R60" s="2892">
        <v>3.05</v>
      </c>
    </row>
    <row r="61" spans="1:44" ht="15.95" customHeight="1" thickBot="1">
      <c r="A61" s="154"/>
      <c r="B61" s="155"/>
      <c r="C61" s="155"/>
      <c r="D61" s="155"/>
      <c r="E61" s="155"/>
      <c r="F61" s="155"/>
      <c r="G61" s="155"/>
      <c r="H61" s="155"/>
      <c r="I61" s="155"/>
      <c r="J61" s="156"/>
      <c r="Q61" s="2892">
        <v>30</v>
      </c>
      <c r="R61" s="2892">
        <v>3.8</v>
      </c>
    </row>
    <row r="62" spans="1:44" ht="12.75" customHeight="1">
      <c r="A62" s="157"/>
      <c r="B62" s="67"/>
      <c r="C62" s="67"/>
      <c r="D62" s="67"/>
      <c r="E62" s="67"/>
      <c r="J62" s="158"/>
    </row>
    <row r="65" spans="1:12">
      <c r="A65" s="85"/>
    </row>
    <row r="67" spans="1:12">
      <c r="A67" s="85"/>
      <c r="L67" s="68">
        <f t="shared" ref="L67:L75" si="23">H50</f>
        <v>5.1318317643901372E-2</v>
      </c>
    </row>
    <row r="68" spans="1:12">
      <c r="A68" s="85"/>
      <c r="H68" s="159" t="s">
        <v>187</v>
      </c>
      <c r="I68" s="159" t="s">
        <v>58</v>
      </c>
      <c r="L68" s="68">
        <f t="shared" si="23"/>
        <v>3.6604706693376281E-2</v>
      </c>
    </row>
    <row r="69" spans="1:12">
      <c r="A69" s="85"/>
      <c r="H69" s="159">
        <v>0.02</v>
      </c>
      <c r="I69" s="160">
        <f>AVERAGE(I53:I54)</f>
        <v>74.05032538974271</v>
      </c>
      <c r="L69" s="68">
        <f t="shared" si="23"/>
        <v>2.610578711048599E-2</v>
      </c>
    </row>
    <row r="70" spans="1:12">
      <c r="A70" s="85"/>
      <c r="H70" s="159">
        <v>2E-3</v>
      </c>
      <c r="I70" s="160">
        <f>I58</f>
        <v>35.697887899644584</v>
      </c>
      <c r="L70" s="68">
        <f t="shared" si="23"/>
        <v>1.678846997038078E-2</v>
      </c>
    </row>
    <row r="71" spans="1:12">
      <c r="A71" s="85"/>
      <c r="H71" s="159">
        <v>1E-3</v>
      </c>
      <c r="I71" s="159">
        <v>0</v>
      </c>
      <c r="L71" s="68">
        <f t="shared" si="23"/>
        <v>9.9284865827431682E-3</v>
      </c>
    </row>
    <row r="72" spans="1:12">
      <c r="L72" s="68">
        <f t="shared" si="23"/>
        <v>7.1294274332317402E-3</v>
      </c>
    </row>
    <row r="73" spans="1:12">
      <c r="L73" s="68">
        <f t="shared" si="23"/>
        <v>5.1171304526843502E-3</v>
      </c>
    </row>
    <row r="74" spans="1:12">
      <c r="L74" s="68">
        <f t="shared" si="23"/>
        <v>2.687113746385127E-3</v>
      </c>
    </row>
    <row r="75" spans="1:12">
      <c r="L75" s="68">
        <f t="shared" si="23"/>
        <v>1.1815642701103373E-3</v>
      </c>
    </row>
    <row r="102" spans="8:11">
      <c r="H102" s="68"/>
    </row>
    <row r="112" spans="8:11">
      <c r="K112" s="161"/>
    </row>
  </sheetData>
  <sortState xmlns:xlrd2="http://schemas.microsoft.com/office/spreadsheetml/2017/richdata2" ref="L67:L75">
    <sortCondition ref="L67:L75"/>
  </sortState>
  <mergeCells count="4">
    <mergeCell ref="F3:F4"/>
    <mergeCell ref="G3:J4"/>
    <mergeCell ref="A8:J8"/>
    <mergeCell ref="Q44:R44"/>
  </mergeCells>
  <printOptions horizontalCentered="1" verticalCentered="1"/>
  <pageMargins left="0.98425196850393704" right="0.19685039370078741" top="1.1811023622047245" bottom="0.19685039370078741" header="0.23622047244094491" footer="0.70866141732283472"/>
  <pageSetup paperSize="9" scale="76" orientation="portrait" r:id="rId1"/>
  <headerFooter alignWithMargins="0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F36EC-96BD-874B-AD51-AE84C91A5506}">
  <sheetPr codeName="Sheet6">
    <tabColor theme="8" tint="-0.499984740745262"/>
    <pageSetUpPr fitToPage="1"/>
  </sheetPr>
  <dimension ref="C2:AC147"/>
  <sheetViews>
    <sheetView showGridLines="0" topLeftCell="A10" zoomScaleNormal="100" workbookViewId="0">
      <selection activeCell="V8" sqref="V8"/>
    </sheetView>
  </sheetViews>
  <sheetFormatPr defaultColWidth="11" defaultRowHeight="15.75"/>
  <cols>
    <col min="1" max="1" width="3.625" style="12" customWidth="1"/>
    <col min="2" max="2" width="2.5" style="12" customWidth="1"/>
    <col min="3" max="3" width="1.125" style="12" customWidth="1"/>
    <col min="4" max="4" width="1.375" style="12" customWidth="1"/>
    <col min="5" max="5" width="5" style="12" customWidth="1"/>
    <col min="6" max="6" width="15.5" style="12" customWidth="1"/>
    <col min="7" max="7" width="1.375" style="12" customWidth="1"/>
    <col min="8" max="12" width="13.5" style="12" customWidth="1"/>
    <col min="13" max="13" width="3.375" style="12" customWidth="1"/>
    <col min="14" max="14" width="1.375" style="12" bestFit="1" customWidth="1"/>
    <col min="15" max="15" width="9.875" style="12" customWidth="1"/>
    <col min="16" max="16" width="12.375" style="12" customWidth="1"/>
    <col min="17" max="17" width="5.875" style="12" customWidth="1"/>
    <col min="18" max="18" width="1.375" style="12" customWidth="1"/>
    <col min="19" max="19" width="1.125" style="12" customWidth="1"/>
    <col min="20" max="20" width="1.875" style="12" customWidth="1"/>
    <col min="21" max="23" width="11" style="12"/>
    <col min="24" max="24" width="13.875" style="12" customWidth="1"/>
    <col min="25" max="16384" width="11" style="12"/>
  </cols>
  <sheetData>
    <row r="2" spans="3:22" ht="9.75" customHeight="1"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/>
      <c r="V2" s="13"/>
    </row>
    <row r="3" spans="3:22" ht="2.25" customHeight="1">
      <c r="C3" s="13"/>
      <c r="D3" s="9"/>
      <c r="E3" s="10"/>
      <c r="F3" s="11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1"/>
      <c r="S3" s="14"/>
      <c r="V3" s="13"/>
    </row>
    <row r="4" spans="3:22" ht="20.25">
      <c r="C4" s="13"/>
      <c r="D4" s="13"/>
      <c r="F4" s="14"/>
      <c r="G4" s="4300" t="s">
        <v>821</v>
      </c>
      <c r="H4" s="4300"/>
      <c r="I4" s="4300"/>
      <c r="J4" s="4300"/>
      <c r="K4" s="4300"/>
      <c r="L4" s="4300"/>
      <c r="M4" s="4300"/>
      <c r="N4" s="4300"/>
      <c r="O4" s="4300"/>
      <c r="P4" s="4300"/>
      <c r="Q4" s="4300"/>
      <c r="R4" s="14"/>
      <c r="S4" s="14"/>
      <c r="V4" s="13"/>
    </row>
    <row r="5" spans="3:22" s="25" customFormat="1" ht="13.5">
      <c r="C5" s="24"/>
      <c r="D5" s="24"/>
      <c r="F5" s="26"/>
      <c r="G5" s="4110" t="s">
        <v>819</v>
      </c>
      <c r="H5" s="4110"/>
      <c r="I5" s="4110"/>
      <c r="J5" s="4110"/>
      <c r="K5" s="4110"/>
      <c r="L5" s="4110"/>
      <c r="M5" s="4110"/>
      <c r="N5" s="4110"/>
      <c r="O5" s="4110"/>
      <c r="P5" s="4110"/>
      <c r="Q5" s="4110"/>
      <c r="R5" s="26"/>
      <c r="S5" s="26"/>
      <c r="V5" s="24"/>
    </row>
    <row r="6" spans="3:22" s="25" customFormat="1" ht="13.5">
      <c r="C6" s="24"/>
      <c r="D6" s="24"/>
      <c r="F6" s="26"/>
      <c r="G6" s="4110" t="s">
        <v>820</v>
      </c>
      <c r="H6" s="4110"/>
      <c r="I6" s="4110"/>
      <c r="J6" s="4110"/>
      <c r="K6" s="4110"/>
      <c r="L6" s="4110"/>
      <c r="M6" s="4110"/>
      <c r="N6" s="4110"/>
      <c r="O6" s="4110"/>
      <c r="P6" s="4110"/>
      <c r="Q6" s="4110"/>
      <c r="R6" s="26"/>
      <c r="S6" s="26"/>
      <c r="V6" s="24"/>
    </row>
    <row r="7" spans="3:22" s="25" customFormat="1" ht="13.5">
      <c r="C7" s="24"/>
      <c r="D7" s="24"/>
      <c r="F7" s="26"/>
      <c r="G7" s="4110" t="s">
        <v>830</v>
      </c>
      <c r="H7" s="4110"/>
      <c r="I7" s="4110"/>
      <c r="J7" s="4110"/>
      <c r="K7" s="4110"/>
      <c r="L7" s="4110"/>
      <c r="M7" s="4110"/>
      <c r="N7" s="4110"/>
      <c r="O7" s="4110"/>
      <c r="P7" s="4110"/>
      <c r="Q7" s="4110"/>
      <c r="R7" s="26"/>
      <c r="S7" s="26"/>
      <c r="V7" s="24"/>
    </row>
    <row r="8" spans="3:22" s="25" customFormat="1" ht="13.5">
      <c r="C8" s="24"/>
      <c r="D8" s="24"/>
      <c r="F8" s="26"/>
      <c r="G8" s="4110" t="s">
        <v>827</v>
      </c>
      <c r="H8" s="4110"/>
      <c r="I8" s="4110"/>
      <c r="J8" s="4110"/>
      <c r="K8" s="4110"/>
      <c r="L8" s="4110"/>
      <c r="M8" s="4110"/>
      <c r="N8" s="4110"/>
      <c r="O8" s="4110"/>
      <c r="P8" s="4110"/>
      <c r="Q8" s="4110"/>
      <c r="R8" s="26"/>
      <c r="S8" s="26"/>
      <c r="V8" s="24"/>
    </row>
    <row r="9" spans="3:22" s="19" customFormat="1" ht="2.25" customHeight="1">
      <c r="C9" s="17"/>
      <c r="D9" s="38"/>
      <c r="E9" s="39"/>
      <c r="F9" s="40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40"/>
      <c r="S9" s="18"/>
      <c r="V9" s="17"/>
    </row>
    <row r="10" spans="3:22" s="19" customFormat="1" ht="7.5" customHeight="1">
      <c r="C10" s="17"/>
      <c r="E10" s="20"/>
      <c r="F10" s="20"/>
      <c r="G10" s="20"/>
      <c r="H10" s="20"/>
      <c r="I10" s="21"/>
      <c r="J10" s="21"/>
      <c r="K10" s="21"/>
      <c r="L10" s="22"/>
      <c r="M10" s="23"/>
      <c r="N10" s="23"/>
      <c r="O10" s="23"/>
      <c r="P10" s="23"/>
      <c r="Q10" s="23"/>
      <c r="R10" s="23"/>
      <c r="S10" s="18"/>
    </row>
    <row r="11" spans="3:22" ht="18.75">
      <c r="C11" s="13"/>
      <c r="D11" s="4301" t="s">
        <v>787</v>
      </c>
      <c r="E11" s="4302"/>
      <c r="F11" s="4302"/>
      <c r="G11" s="4302"/>
      <c r="H11" s="4302"/>
      <c r="I11" s="4302"/>
      <c r="J11" s="4302"/>
      <c r="K11" s="4302"/>
      <c r="L11" s="4302"/>
      <c r="M11" s="4302"/>
      <c r="N11" s="4302"/>
      <c r="O11" s="4302"/>
      <c r="P11" s="4302"/>
      <c r="Q11" s="4302"/>
      <c r="R11" s="4303"/>
      <c r="S11" s="14"/>
    </row>
    <row r="12" spans="3:22" ht="18.75">
      <c r="C12" s="13"/>
      <c r="D12" s="4304" t="s">
        <v>102</v>
      </c>
      <c r="E12" s="4305"/>
      <c r="F12" s="4305"/>
      <c r="G12" s="4305"/>
      <c r="H12" s="4305"/>
      <c r="I12" s="4305"/>
      <c r="J12" s="4305"/>
      <c r="K12" s="4305"/>
      <c r="L12" s="4305"/>
      <c r="M12" s="4305"/>
      <c r="N12" s="4305"/>
      <c r="O12" s="4305"/>
      <c r="P12" s="4305"/>
      <c r="Q12" s="4305"/>
      <c r="R12" s="4306"/>
      <c r="S12" s="14"/>
    </row>
    <row r="13" spans="3:22" s="25" customFormat="1" ht="13.5">
      <c r="C13" s="24"/>
      <c r="S13" s="26"/>
    </row>
    <row r="14" spans="3:22" s="675" customFormat="1" ht="13.5">
      <c r="C14" s="1127"/>
      <c r="E14" s="675" t="s">
        <v>95</v>
      </c>
      <c r="Q14" s="1397"/>
      <c r="R14" s="1397"/>
      <c r="S14" s="1398"/>
      <c r="T14" s="1397"/>
    </row>
    <row r="15" spans="3:22" s="34" customFormat="1" ht="22.5" customHeight="1">
      <c r="C15" s="1128"/>
      <c r="E15" s="4126" t="s">
        <v>97</v>
      </c>
      <c r="F15" s="4126"/>
      <c r="G15" s="34" t="s">
        <v>27</v>
      </c>
      <c r="H15" s="4124" t="str">
        <f>Details!B4</f>
        <v xml:space="preserve">PT Itamatra Nusantara </v>
      </c>
      <c r="I15" s="4124"/>
      <c r="J15" s="4124"/>
      <c r="K15" s="4124"/>
      <c r="L15" s="34" t="s">
        <v>92</v>
      </c>
      <c r="M15" s="681"/>
      <c r="N15" s="34" t="s">
        <v>27</v>
      </c>
      <c r="O15" s="4331" t="s">
        <v>823</v>
      </c>
      <c r="P15" s="4331"/>
      <c r="Q15" s="4331"/>
      <c r="S15" s="1120"/>
    </row>
    <row r="16" spans="3:22" s="34" customFormat="1" ht="22.5" customHeight="1">
      <c r="C16" s="1128"/>
      <c r="E16" s="34" t="s">
        <v>825</v>
      </c>
      <c r="G16" s="34" t="s">
        <v>27</v>
      </c>
      <c r="H16" s="4124" t="str">
        <f>Details!B8</f>
        <v>hidroplogi</v>
      </c>
      <c r="I16" s="4124"/>
      <c r="J16" s="4124"/>
      <c r="K16" s="4124"/>
      <c r="L16" s="34" t="s">
        <v>822</v>
      </c>
      <c r="N16" s="34" t="s">
        <v>27</v>
      </c>
      <c r="O16" s="4126" t="s">
        <v>824</v>
      </c>
      <c r="P16" s="4126"/>
      <c r="Q16" s="4126"/>
      <c r="S16" s="1120"/>
    </row>
    <row r="17" spans="3:19" s="34" customFormat="1" ht="22.5" customHeight="1">
      <c r="C17" s="1128"/>
      <c r="E17" s="4126" t="s">
        <v>789</v>
      </c>
      <c r="F17" s="4126"/>
      <c r="G17" s="34" t="s">
        <v>27</v>
      </c>
      <c r="H17" s="4125" t="str">
        <f>Details!B1</f>
        <v>BH-05_UDS-01</v>
      </c>
      <c r="I17" s="4125"/>
      <c r="J17" s="4125"/>
      <c r="K17" s="4125"/>
      <c r="L17" s="34" t="s">
        <v>93</v>
      </c>
      <c r="M17" s="681"/>
      <c r="N17" s="34" t="s">
        <v>27</v>
      </c>
      <c r="O17" s="4129">
        <f>Details!B29</f>
        <v>46212</v>
      </c>
      <c r="P17" s="4129"/>
      <c r="Q17" s="4129"/>
      <c r="S17" s="1120"/>
    </row>
    <row r="18" spans="3:19" s="34" customFormat="1" ht="22.5" customHeight="1">
      <c r="C18" s="2739"/>
      <c r="E18" s="34" t="s">
        <v>1309</v>
      </c>
      <c r="G18" s="34" t="s">
        <v>27</v>
      </c>
      <c r="H18" s="4125" t="str">
        <f>Details!B7</f>
        <v>23-GQT--19-UDS-1-BH-05-0,00-0,50-100726-001</v>
      </c>
      <c r="I18" s="4125"/>
      <c r="J18" s="4125"/>
      <c r="K18" s="4125"/>
      <c r="L18" s="34" t="s">
        <v>94</v>
      </c>
      <c r="M18" s="681"/>
      <c r="N18" s="34" t="s">
        <v>27</v>
      </c>
      <c r="O18" s="4126" t="str">
        <f>Details!B22</f>
        <v>AS Sumartadji</v>
      </c>
      <c r="P18" s="4126"/>
      <c r="Q18" s="4126"/>
      <c r="S18" s="1120"/>
    </row>
    <row r="19" spans="3:19" s="34" customFormat="1" ht="22.5" customHeight="1">
      <c r="C19" s="1128"/>
      <c r="E19" s="4126" t="s">
        <v>100</v>
      </c>
      <c r="F19" s="4126"/>
      <c r="G19" s="34" t="s">
        <v>27</v>
      </c>
      <c r="H19" s="4126" t="str">
        <f>Details!B13&amp;" m"</f>
        <v>0,00-0,50 m</v>
      </c>
      <c r="I19" s="4126"/>
      <c r="J19" s="4126"/>
      <c r="K19" s="4126"/>
      <c r="L19" s="34" t="s">
        <v>186</v>
      </c>
      <c r="M19" s="681"/>
      <c r="N19" s="34" t="s">
        <v>27</v>
      </c>
      <c r="O19" s="4125" t="str">
        <f>Details!B2</f>
        <v>MGS/02/VI/2026</v>
      </c>
      <c r="P19" s="4125"/>
      <c r="Q19" s="4125"/>
      <c r="S19" s="1120"/>
    </row>
    <row r="20" spans="3:19" s="34" customFormat="1" ht="22.5" customHeight="1">
      <c r="C20" s="1128"/>
      <c r="E20" s="4126" t="s">
        <v>101</v>
      </c>
      <c r="F20" s="4126"/>
      <c r="G20" s="34" t="s">
        <v>27</v>
      </c>
      <c r="H20" s="4126" t="str">
        <f>'A. GS'!H12</f>
        <v>silty CLAY with sand</v>
      </c>
      <c r="I20" s="4126"/>
      <c r="J20" s="4126"/>
      <c r="K20" s="4126"/>
      <c r="S20" s="1120"/>
    </row>
    <row r="21" spans="3:19" s="34" customFormat="1" ht="22.5" customHeight="1">
      <c r="C21" s="1128"/>
      <c r="E21" s="4126" t="s">
        <v>98</v>
      </c>
      <c r="F21" s="4126"/>
      <c r="G21" s="34" t="s">
        <v>27</v>
      </c>
      <c r="H21" s="4126" t="str">
        <f>Details!B15</f>
        <v>Abu-abu / Gray</v>
      </c>
      <c r="I21" s="4126"/>
      <c r="J21" s="4126"/>
      <c r="K21" s="4126"/>
      <c r="S21" s="1120"/>
    </row>
    <row r="22" spans="3:19" s="34" customFormat="1" ht="22.5" customHeight="1">
      <c r="C22" s="1128"/>
      <c r="E22" s="4317" t="s">
        <v>788</v>
      </c>
      <c r="F22" s="4317"/>
      <c r="G22" s="34" t="s">
        <v>27</v>
      </c>
      <c r="H22" s="4330">
        <f>PP!J24</f>
        <v>2.6497359418773012</v>
      </c>
      <c r="I22" s="4330"/>
      <c r="J22" s="4330"/>
      <c r="K22" s="4330"/>
      <c r="M22" s="45"/>
      <c r="S22" s="1120"/>
    </row>
    <row r="23" spans="3:19" s="34" customFormat="1" ht="22.5" customHeight="1">
      <c r="C23" s="1128"/>
      <c r="E23" s="4126" t="s">
        <v>99</v>
      </c>
      <c r="F23" s="4126"/>
      <c r="G23" s="34" t="s">
        <v>27</v>
      </c>
      <c r="H23" s="4126" t="str">
        <f>Details!B16</f>
        <v>Undisturbed Sample / UDS</v>
      </c>
      <c r="I23" s="4126"/>
      <c r="J23" s="4126"/>
      <c r="K23" s="4126"/>
      <c r="S23" s="1120"/>
    </row>
    <row r="24" spans="3:19" s="23" customFormat="1" ht="18" customHeight="1">
      <c r="C24" s="30"/>
      <c r="F24" s="1439" t="str">
        <f>Details!C15</f>
        <v>Disclaimer :</v>
      </c>
      <c r="G24" s="1440" t="str">
        <f>Details!C16</f>
        <v>The samples were received as Undisturbed Sample / UDS and the validity of the sampling process was not verified by the laboratory.</v>
      </c>
      <c r="H24" s="1440"/>
      <c r="S24" s="31"/>
    </row>
    <row r="25" spans="3:19" s="44" customFormat="1" ht="15.75" customHeight="1">
      <c r="C25" s="54"/>
      <c r="F25" s="4311" t="s">
        <v>196</v>
      </c>
      <c r="G25" s="4312" t="s">
        <v>197</v>
      </c>
      <c r="H25" s="4313"/>
      <c r="I25" s="4309" t="s">
        <v>198</v>
      </c>
      <c r="J25" s="57" t="s">
        <v>181</v>
      </c>
      <c r="K25" s="57" t="s">
        <v>182</v>
      </c>
      <c r="L25" s="58" t="s">
        <v>183</v>
      </c>
      <c r="M25" s="4311" t="s">
        <v>184</v>
      </c>
      <c r="N25" s="4311"/>
      <c r="O25" s="4311"/>
      <c r="P25" s="2810" t="s">
        <v>183</v>
      </c>
      <c r="Q25" s="1129"/>
      <c r="R25" s="1377"/>
      <c r="S25" s="55"/>
    </row>
    <row r="26" spans="3:19" s="16" customFormat="1" ht="12">
      <c r="C26" s="15"/>
      <c r="F26" s="4311"/>
      <c r="G26" s="4314"/>
      <c r="H26" s="4315"/>
      <c r="I26" s="4310"/>
      <c r="J26" s="4318" t="s">
        <v>199</v>
      </c>
      <c r="K26" s="4319"/>
      <c r="L26" s="4320"/>
      <c r="M26" s="4326" t="s">
        <v>200</v>
      </c>
      <c r="N26" s="4327"/>
      <c r="O26" s="4327"/>
      <c r="P26" s="4327"/>
      <c r="Q26" s="1130"/>
      <c r="R26" s="43"/>
      <c r="S26" s="36"/>
    </row>
    <row r="27" spans="3:19" s="33" customFormat="1" ht="21" customHeight="1">
      <c r="C27" s="32"/>
      <c r="F27" s="56" t="s">
        <v>1</v>
      </c>
      <c r="G27" s="4307">
        <f>'A. GS'!Z3</f>
        <v>65.05</v>
      </c>
      <c r="H27" s="4308"/>
      <c r="I27" s="913">
        <f>'A. GS'!Y3</f>
        <v>20.799999999999997</v>
      </c>
      <c r="J27" s="4307">
        <f>'A. GS'!X3</f>
        <v>14.145469290954836</v>
      </c>
      <c r="K27" s="4316"/>
      <c r="L27" s="4308"/>
      <c r="M27" s="4325">
        <f>100-SUM(G27:L27)</f>
        <v>4.530709045170056E-3</v>
      </c>
      <c r="N27" s="4325"/>
      <c r="O27" s="4325"/>
      <c r="P27" s="1174">
        <f>100-SUM(G27:M27)</f>
        <v>0</v>
      </c>
      <c r="Q27" s="1131"/>
      <c r="R27" s="1392"/>
      <c r="S27" s="35"/>
    </row>
    <row r="28" spans="3:19" s="16" customFormat="1" ht="12">
      <c r="C28" s="15"/>
      <c r="S28" s="36"/>
    </row>
    <row r="29" spans="3:19" s="16" customFormat="1" ht="12">
      <c r="C29" s="15"/>
      <c r="F29" s="16" t="s">
        <v>193</v>
      </c>
      <c r="S29" s="36"/>
    </row>
    <row r="30" spans="3:19" s="16" customFormat="1" ht="12">
      <c r="C30" s="15"/>
      <c r="S30" s="36"/>
    </row>
    <row r="31" spans="3:19" s="16" customFormat="1" ht="12">
      <c r="C31" s="15"/>
      <c r="F31" s="16" t="s">
        <v>194</v>
      </c>
      <c r="K31" s="41" t="s">
        <v>195</v>
      </c>
      <c r="S31" s="36"/>
    </row>
    <row r="32" spans="3:19" s="16" customFormat="1" ht="12">
      <c r="C32" s="15"/>
      <c r="F32" s="41" t="s">
        <v>103</v>
      </c>
      <c r="S32" s="36"/>
    </row>
    <row r="33" spans="3:26" s="16" customFormat="1" ht="36" customHeight="1">
      <c r="C33" s="15"/>
      <c r="F33" s="1043" t="s">
        <v>792</v>
      </c>
      <c r="G33" s="4328" t="s">
        <v>791</v>
      </c>
      <c r="H33" s="4329"/>
      <c r="I33" s="1044" t="s">
        <v>790</v>
      </c>
      <c r="K33" s="58" t="s">
        <v>794</v>
      </c>
      <c r="L33" s="58" t="s">
        <v>793</v>
      </c>
      <c r="S33" s="36"/>
    </row>
    <row r="34" spans="3:26" s="16" customFormat="1" ht="16.5" customHeight="1">
      <c r="C34" s="15"/>
      <c r="F34" s="2872">
        <v>101.6</v>
      </c>
      <c r="G34" s="4323" t="s">
        <v>54</v>
      </c>
      <c r="H34" s="4324"/>
      <c r="I34" s="2873">
        <f>'A. GS'!G22</f>
        <v>100</v>
      </c>
      <c r="K34" s="2880" t="s">
        <v>185</v>
      </c>
      <c r="L34" s="57" t="s">
        <v>1</v>
      </c>
      <c r="S34" s="36"/>
    </row>
    <row r="35" spans="3:26" s="16" customFormat="1" ht="16.5" customHeight="1">
      <c r="C35" s="15"/>
      <c r="F35" s="2872">
        <v>75</v>
      </c>
      <c r="G35" s="4323" t="s">
        <v>53</v>
      </c>
      <c r="H35" s="4324"/>
      <c r="I35" s="2873">
        <f>'A. GS'!G23</f>
        <v>100</v>
      </c>
      <c r="K35" s="1054" cm="1">
        <f t="array" ref="K35:K39">_xlfn._xlws.FILTER('A. GS'!$H$50:$H$58, ('A. GS'!$H$50:$H$58&gt;0.002)*('A. GS'!$H$50:$H$58&lt;=0.02))</f>
        <v>1.678846997038078E-2</v>
      </c>
      <c r="L35" s="914">
        <f>_xlfn.IFNA(VLOOKUP(K35,'A. GS'!$H$50:$I$58,2,0)," - ")</f>
        <v>76.398433807503835</v>
      </c>
      <c r="S35" s="36"/>
      <c r="X35" s="47"/>
      <c r="Y35" s="47"/>
      <c r="Z35" s="47"/>
    </row>
    <row r="36" spans="3:26" s="16" customFormat="1" ht="16.5" customHeight="1">
      <c r="C36" s="15"/>
      <c r="F36" s="2872">
        <v>38.1</v>
      </c>
      <c r="G36" s="4323" t="s">
        <v>52</v>
      </c>
      <c r="H36" s="4324"/>
      <c r="I36" s="2873">
        <f>'A. GS'!G24</f>
        <v>100</v>
      </c>
      <c r="K36" s="1054">
        <v>9.9284865827431682E-3</v>
      </c>
      <c r="L36" s="914">
        <f>_xlfn.IFNA(VLOOKUP(K36,'A. GS'!$H$50:$I$58,2,0)," - ")</f>
        <v>71.702216971981599</v>
      </c>
      <c r="S36" s="36"/>
      <c r="X36" s="47"/>
      <c r="Y36" s="47"/>
      <c r="Z36" s="47"/>
    </row>
    <row r="37" spans="3:26" s="16" customFormat="1" ht="16.5" customHeight="1">
      <c r="C37" s="15"/>
      <c r="F37" s="2872">
        <v>25.4</v>
      </c>
      <c r="G37" s="4323" t="s">
        <v>51</v>
      </c>
      <c r="H37" s="4324"/>
      <c r="I37" s="2873">
        <f>'A. GS'!G25</f>
        <v>100</v>
      </c>
      <c r="K37" s="1055">
        <v>7.1294274332317402E-3</v>
      </c>
      <c r="L37" s="914">
        <f>_xlfn.IFNA(VLOOKUP(K37,'A. GS'!$H$50:$I$58,2,0)," - ")</f>
        <v>68.571405748300123</v>
      </c>
      <c r="S37" s="36"/>
      <c r="X37" s="47"/>
      <c r="Y37" s="47"/>
      <c r="Z37" s="47"/>
    </row>
    <row r="38" spans="3:26" s="16" customFormat="1" ht="16.5" customHeight="1">
      <c r="C38" s="15"/>
      <c r="F38" s="2874">
        <v>19.05</v>
      </c>
      <c r="G38" s="4323" t="s">
        <v>50</v>
      </c>
      <c r="H38" s="4324"/>
      <c r="I38" s="2875">
        <f>'A. GS'!G26</f>
        <v>100</v>
      </c>
      <c r="K38" s="1055">
        <v>5.1171304526843502E-3</v>
      </c>
      <c r="L38" s="914">
        <f>_xlfn.IFNA(VLOOKUP(K38,'A. GS'!$H$50:$I$58,2,0)," - ")</f>
        <v>65.44059452461866</v>
      </c>
      <c r="S38" s="36"/>
      <c r="X38" s="47"/>
      <c r="Y38" s="47"/>
      <c r="Z38" s="47"/>
    </row>
    <row r="39" spans="3:26" s="16" customFormat="1" ht="16.5" customHeight="1">
      <c r="C39" s="15"/>
      <c r="F39" s="2876">
        <v>12.7</v>
      </c>
      <c r="G39" s="4323" t="s">
        <v>49</v>
      </c>
      <c r="H39" s="4324"/>
      <c r="I39" s="2877">
        <f>'A. GS'!G27</f>
        <v>100</v>
      </c>
      <c r="K39" s="1055">
        <v>2.687113746385127E-3</v>
      </c>
      <c r="L39" s="914">
        <f>_xlfn.IFNA(VLOOKUP(K39,'A. GS'!$H$50:$I$58,2,0)," - ")</f>
        <v>54.482755241733472</v>
      </c>
      <c r="S39" s="36"/>
      <c r="X39" s="47"/>
      <c r="Y39" s="47"/>
      <c r="Z39" s="47"/>
    </row>
    <row r="40" spans="3:26" s="16" customFormat="1" ht="16.5" customHeight="1">
      <c r="C40" s="15"/>
      <c r="F40" s="2878">
        <v>9.5250000000000004</v>
      </c>
      <c r="G40" s="4323" t="s">
        <v>46</v>
      </c>
      <c r="H40" s="4324"/>
      <c r="I40" s="2879">
        <f>'A. GS'!G28</f>
        <v>100</v>
      </c>
      <c r="K40" s="56"/>
      <c r="L40" s="914" t="str">
        <f>_xlfn.IFNA(VLOOKUP(K40,'A. GS'!$H$50:$I$58,2,0)," - ")</f>
        <v xml:space="preserve"> - </v>
      </c>
      <c r="S40" s="36"/>
      <c r="X40" s="47"/>
      <c r="Y40" s="47"/>
      <c r="Z40" s="47"/>
    </row>
    <row r="41" spans="3:26" s="16" customFormat="1" ht="16.5" customHeight="1">
      <c r="C41" s="15"/>
      <c r="F41" s="2872">
        <v>4.76</v>
      </c>
      <c r="G41" s="4321">
        <v>4</v>
      </c>
      <c r="H41" s="4322"/>
      <c r="I41" s="2873">
        <f>'A. GS'!G29</f>
        <v>100</v>
      </c>
      <c r="K41" s="2880" t="s">
        <v>704</v>
      </c>
      <c r="L41" s="914"/>
      <c r="S41" s="36"/>
      <c r="X41" s="47"/>
      <c r="Y41" s="47"/>
      <c r="Z41" s="47"/>
    </row>
    <row r="42" spans="3:26" s="16" customFormat="1" ht="16.5" customHeight="1">
      <c r="C42" s="15"/>
      <c r="F42" s="2878">
        <v>2.38</v>
      </c>
      <c r="G42" s="4321">
        <v>8</v>
      </c>
      <c r="H42" s="4322"/>
      <c r="I42" s="2879">
        <f>'A. GS'!G30</f>
        <v>98.506717430992239</v>
      </c>
      <c r="K42" s="1055" cm="1">
        <f t="array" ref="K42">_xlfn._xlws.FILTER('A. GS'!$H$50:$H$58, ('A. GS'!$H$50:$H$58&gt;0.001)*('A. GS'!$H$50:$H$58&lt;=0.002))</f>
        <v>1.1815642701103373E-3</v>
      </c>
      <c r="L42" s="914">
        <f>_xlfn.IFNA(VLOOKUP(K42,'A. GS'!$H$50:$I$58,2,0)," - ")</f>
        <v>35.697887899644584</v>
      </c>
      <c r="S42" s="36"/>
      <c r="X42" s="47"/>
      <c r="Y42" s="47"/>
      <c r="Z42" s="47"/>
    </row>
    <row r="43" spans="3:26" s="16" customFormat="1" ht="16.5" customHeight="1">
      <c r="C43" s="15"/>
      <c r="F43" s="2878">
        <v>0.84</v>
      </c>
      <c r="G43" s="4321">
        <v>20</v>
      </c>
      <c r="H43" s="4322"/>
      <c r="I43" s="2879">
        <f>'A. GS'!G31</f>
        <v>95.4140465304976</v>
      </c>
      <c r="K43" s="56"/>
      <c r="L43" s="914" t="str">
        <f>_xlfn.IFNA(VLOOKUP(K43,'A. GS'!$H$50:$I$58,2,0)," - ")</f>
        <v xml:space="preserve"> - </v>
      </c>
      <c r="S43" s="36"/>
      <c r="X43" s="47"/>
      <c r="Y43" s="47"/>
      <c r="Z43" s="47"/>
    </row>
    <row r="44" spans="3:26" s="16" customFormat="1" ht="16.5" customHeight="1">
      <c r="C44" s="15"/>
      <c r="F44" s="2878">
        <v>0.42</v>
      </c>
      <c r="G44" s="4321">
        <v>40</v>
      </c>
      <c r="H44" s="4322"/>
      <c r="I44" s="2879">
        <f>'A. GS'!G32</f>
        <v>91.946884703606031</v>
      </c>
      <c r="K44" s="1054"/>
      <c r="L44" s="914" t="str">
        <f>_xlfn.IFNA(VLOOKUP(K44,'A. GS'!$H$50:$I$58,2,0)," - ")</f>
        <v xml:space="preserve"> - </v>
      </c>
      <c r="S44" s="36"/>
      <c r="X44" s="47"/>
      <c r="Y44" s="47"/>
      <c r="Z44" s="47"/>
    </row>
    <row r="45" spans="3:26" s="16" customFormat="1" ht="16.5" customHeight="1">
      <c r="C45" s="15"/>
      <c r="F45" s="2878">
        <v>0.17699999999999999</v>
      </c>
      <c r="G45" s="4321">
        <v>80</v>
      </c>
      <c r="H45" s="4322"/>
      <c r="I45" s="2879">
        <f>'A. GS'!G33</f>
        <v>88.876059107151221</v>
      </c>
      <c r="K45" s="2880" t="s">
        <v>705</v>
      </c>
      <c r="L45" s="914"/>
      <c r="S45" s="36"/>
      <c r="X45" s="47"/>
      <c r="Y45" s="47"/>
      <c r="Z45" s="47"/>
    </row>
    <row r="46" spans="3:26" s="16" customFormat="1" ht="16.5" customHeight="1">
      <c r="C46" s="15"/>
      <c r="F46" s="2878">
        <v>0.14899999999999999</v>
      </c>
      <c r="G46" s="4321">
        <v>100</v>
      </c>
      <c r="H46" s="4322"/>
      <c r="I46" s="2879">
        <f>'A. GS'!G34</f>
        <v>87.599669199681685</v>
      </c>
      <c r="K46" s="1055" t="str" cm="1">
        <f t="array" ref="K46">IFERROR(_xlfn._xlws.FILTER('A. GS'!$H$50:$H$58,'A. GS'!$H$50:$H$58&lt;=0.001),"-")</f>
        <v>-</v>
      </c>
      <c r="L46" s="914" t="str">
        <f>_xlfn.IFNA(VLOOKUP(K46,'A. GS'!$H$50:$I$58,2,0)," - ")</f>
        <v xml:space="preserve"> - </v>
      </c>
      <c r="S46" s="36"/>
      <c r="X46" s="47"/>
      <c r="Y46" s="47"/>
      <c r="Z46" s="47"/>
    </row>
    <row r="47" spans="3:26" s="16" customFormat="1" ht="16.5" customHeight="1">
      <c r="C47" s="15"/>
      <c r="F47" s="2878">
        <v>7.3999999999999996E-2</v>
      </c>
      <c r="G47" s="4321">
        <v>200</v>
      </c>
      <c r="H47" s="4322"/>
      <c r="I47" s="2879">
        <f>'A. GS'!G35</f>
        <v>85.820837299296272</v>
      </c>
      <c r="S47" s="36"/>
      <c r="X47" s="47"/>
      <c r="Y47" s="47"/>
      <c r="Z47" s="47"/>
    </row>
    <row r="48" spans="3:26" s="16" customFormat="1" ht="13.5">
      <c r="C48" s="15"/>
      <c r="E48" s="1393"/>
      <c r="F48" s="1394"/>
      <c r="H48" s="1395"/>
      <c r="S48" s="36"/>
      <c r="X48" s="47"/>
      <c r="Y48" s="47"/>
      <c r="Z48" s="47"/>
    </row>
    <row r="49" spans="3:19" s="16" customFormat="1" ht="12">
      <c r="C49" s="15"/>
      <c r="E49" s="37"/>
      <c r="F49" s="37"/>
      <c r="S49" s="36"/>
    </row>
    <row r="50" spans="3:19" s="16" customFormat="1" ht="12">
      <c r="C50" s="15"/>
      <c r="E50" s="37"/>
      <c r="F50" s="37"/>
      <c r="N50" s="1396" t="s">
        <v>795</v>
      </c>
      <c r="S50" s="36"/>
    </row>
    <row r="51" spans="3:19" s="16" customFormat="1" ht="12">
      <c r="C51" s="15"/>
      <c r="E51" s="37"/>
      <c r="F51" s="37"/>
      <c r="S51" s="36"/>
    </row>
    <row r="52" spans="3:19" s="16" customFormat="1" ht="12">
      <c r="C52" s="15"/>
      <c r="E52" s="37"/>
      <c r="F52" s="37"/>
      <c r="N52" s="1795"/>
      <c r="O52" s="1795"/>
      <c r="P52" s="1795"/>
      <c r="S52" s="36"/>
    </row>
    <row r="53" spans="3:19" s="16" customFormat="1" ht="12">
      <c r="C53" s="15"/>
      <c r="E53" s="37"/>
      <c r="F53" s="37"/>
      <c r="S53" s="36"/>
    </row>
    <row r="54" spans="3:19" s="16" customFormat="1" ht="12">
      <c r="C54" s="15"/>
      <c r="E54" s="37"/>
      <c r="F54" s="37"/>
      <c r="N54" s="1795"/>
      <c r="O54" s="1795"/>
      <c r="P54" s="1795"/>
      <c r="S54" s="36"/>
    </row>
    <row r="55" spans="3:19" s="16" customFormat="1" ht="12">
      <c r="C55" s="15"/>
      <c r="E55" s="37"/>
      <c r="F55" s="37"/>
      <c r="S55" s="36"/>
    </row>
    <row r="56" spans="3:19" s="16" customFormat="1" ht="12">
      <c r="C56" s="15"/>
      <c r="E56" s="37"/>
      <c r="F56" s="37"/>
      <c r="N56" s="1795"/>
      <c r="O56" s="1795"/>
      <c r="P56" s="1795"/>
      <c r="S56" s="36"/>
    </row>
    <row r="57" spans="3:19" s="16" customFormat="1" ht="12">
      <c r="C57" s="15"/>
      <c r="E57" s="37"/>
      <c r="F57" s="37"/>
      <c r="S57" s="36"/>
    </row>
    <row r="58" spans="3:19" s="16" customFormat="1" ht="12">
      <c r="C58" s="15"/>
      <c r="E58" s="37"/>
      <c r="F58" s="37"/>
      <c r="N58" s="1795"/>
      <c r="O58" s="1795"/>
      <c r="P58" s="1795"/>
      <c r="S58" s="36"/>
    </row>
    <row r="59" spans="3:19" s="16" customFormat="1" ht="12">
      <c r="C59" s="15"/>
      <c r="E59" s="37"/>
      <c r="F59" s="37"/>
      <c r="S59" s="36"/>
    </row>
    <row r="60" spans="3:19" s="16" customFormat="1" ht="12">
      <c r="C60" s="15"/>
      <c r="E60" s="37"/>
      <c r="F60" s="37"/>
      <c r="N60" s="1795"/>
      <c r="O60" s="1795"/>
      <c r="P60" s="1795"/>
      <c r="S60" s="36"/>
    </row>
    <row r="61" spans="3:19" s="16" customFormat="1" ht="12">
      <c r="C61" s="15"/>
      <c r="E61" s="37"/>
      <c r="F61" s="37"/>
      <c r="S61" s="36"/>
    </row>
    <row r="62" spans="3:19" s="16" customFormat="1" ht="12">
      <c r="C62" s="15"/>
      <c r="E62" s="37"/>
      <c r="F62" s="37"/>
      <c r="S62" s="36"/>
    </row>
    <row r="63" spans="3:19" s="16" customFormat="1" ht="12">
      <c r="C63" s="15"/>
      <c r="E63" s="37"/>
      <c r="F63" s="37"/>
      <c r="S63" s="36"/>
    </row>
    <row r="64" spans="3:19" s="16" customFormat="1" ht="12">
      <c r="C64" s="15"/>
      <c r="E64" s="37"/>
      <c r="F64" s="37"/>
      <c r="S64" s="36"/>
    </row>
    <row r="65" spans="3:29" s="16" customFormat="1" ht="12">
      <c r="C65" s="15"/>
      <c r="E65" s="37"/>
      <c r="F65" s="37"/>
      <c r="S65" s="36"/>
    </row>
    <row r="66" spans="3:29" s="16" customFormat="1" ht="12">
      <c r="C66" s="15"/>
      <c r="E66" s="37"/>
      <c r="F66" s="37"/>
      <c r="S66" s="36"/>
    </row>
    <row r="67" spans="3:29" s="16" customFormat="1" ht="12">
      <c r="C67" s="15"/>
      <c r="S67" s="36"/>
    </row>
    <row r="68" spans="3:29" s="16" customFormat="1" ht="12">
      <c r="C68" s="15"/>
      <c r="S68" s="36"/>
    </row>
    <row r="69" spans="3:29" s="16" customFormat="1" ht="12">
      <c r="C69" s="15"/>
      <c r="S69" s="36"/>
    </row>
    <row r="70" spans="3:29" s="16" customFormat="1" ht="12">
      <c r="C70" s="15"/>
      <c r="S70" s="36"/>
    </row>
    <row r="71" spans="3:29" s="16" customFormat="1" ht="12">
      <c r="C71" s="15"/>
      <c r="S71" s="36"/>
    </row>
    <row r="72" spans="3:29" s="25" customFormat="1" ht="13.5">
      <c r="C72" s="24"/>
      <c r="S72" s="26"/>
    </row>
    <row r="73" spans="3:29" s="25" customFormat="1" ht="13.5">
      <c r="C73" s="24"/>
      <c r="S73" s="26"/>
    </row>
    <row r="74" spans="3:29" s="25" customFormat="1" ht="13.5">
      <c r="C74" s="24"/>
      <c r="S74" s="26"/>
      <c r="W74" s="25" t="s">
        <v>1338</v>
      </c>
    </row>
    <row r="75" spans="3:29" s="25" customFormat="1" ht="13.5">
      <c r="C75" s="24"/>
      <c r="S75" s="26"/>
      <c r="W75" s="25" t="str">
        <f>Details!B1</f>
        <v>BH-05_UDS-01</v>
      </c>
    </row>
    <row r="76" spans="3:29" s="25" customFormat="1" ht="13.5">
      <c r="C76" s="24"/>
      <c r="S76" s="26"/>
      <c r="W76" s="25" t="s">
        <v>1337</v>
      </c>
    </row>
    <row r="77" spans="3:29" s="25" customFormat="1" ht="13.5">
      <c r="C77" s="24"/>
      <c r="S77" s="26"/>
      <c r="W77" s="25" t="str">
        <f>Details!B3</f>
        <v>PO-GQT-19</v>
      </c>
    </row>
    <row r="78" spans="3:29" s="25" customFormat="1" ht="15.75" customHeight="1">
      <c r="C78" s="24"/>
      <c r="O78" s="673"/>
      <c r="P78" s="673"/>
      <c r="Q78" s="673"/>
      <c r="R78" s="673"/>
      <c r="S78" s="26"/>
    </row>
    <row r="79" spans="3:29">
      <c r="C79" s="38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40"/>
    </row>
    <row r="80" spans="3:29">
      <c r="O80" s="812"/>
      <c r="P80" s="812"/>
      <c r="Q80" s="812"/>
      <c r="R80" s="812"/>
      <c r="X80" s="47" t="s">
        <v>83</v>
      </c>
      <c r="Y80" s="47">
        <v>2E-3</v>
      </c>
      <c r="Z80" s="47">
        <v>0</v>
      </c>
      <c r="AA80" s="16"/>
      <c r="AB80" s="16"/>
      <c r="AC80" s="16"/>
    </row>
    <row r="81" spans="24:29">
      <c r="X81" s="47"/>
      <c r="Y81" s="47">
        <v>2E-3</v>
      </c>
      <c r="Z81" s="47">
        <v>120</v>
      </c>
      <c r="AA81" s="16"/>
      <c r="AB81" s="16"/>
      <c r="AC81" s="16"/>
    </row>
    <row r="82" spans="24:29">
      <c r="X82" s="47"/>
      <c r="Y82" s="47"/>
      <c r="Z82" s="47"/>
      <c r="AA82" s="16"/>
      <c r="AB82" s="16"/>
    </row>
    <row r="83" spans="24:29">
      <c r="X83" s="47" t="s">
        <v>84</v>
      </c>
      <c r="Y83" s="47">
        <v>7.3999999999999996E-2</v>
      </c>
      <c r="Z83" s="47">
        <v>0</v>
      </c>
      <c r="AA83" s="16"/>
      <c r="AB83" s="16"/>
    </row>
    <row r="84" spans="24:29">
      <c r="X84" s="47"/>
      <c r="Y84" s="47">
        <v>7.3999999999999996E-2</v>
      </c>
      <c r="Z84" s="47">
        <v>120</v>
      </c>
      <c r="AA84" s="16"/>
      <c r="AB84" s="16"/>
    </row>
    <row r="85" spans="24:29">
      <c r="X85" s="47"/>
      <c r="Y85" s="47"/>
      <c r="Z85" s="47"/>
      <c r="AA85" s="16"/>
      <c r="AB85" s="16"/>
    </row>
    <row r="86" spans="24:29">
      <c r="X86" s="47" t="s">
        <v>85</v>
      </c>
      <c r="Y86" s="47"/>
      <c r="Z86" s="47"/>
      <c r="AA86" s="16"/>
      <c r="AB86" s="16"/>
    </row>
    <row r="87" spans="24:29">
      <c r="X87" s="47" t="s">
        <v>86</v>
      </c>
      <c r="Y87" s="47">
        <v>0.42</v>
      </c>
      <c r="Z87" s="47">
        <v>0</v>
      </c>
      <c r="AA87" s="16"/>
      <c r="AB87" s="16"/>
    </row>
    <row r="88" spans="24:29">
      <c r="X88" s="47"/>
      <c r="Y88" s="47">
        <v>0.42</v>
      </c>
      <c r="Z88" s="47">
        <v>120</v>
      </c>
      <c r="AA88" s="16"/>
      <c r="AB88" s="16"/>
    </row>
    <row r="89" spans="24:29">
      <c r="X89" s="47" t="s">
        <v>87</v>
      </c>
      <c r="Y89" s="47">
        <v>0.84</v>
      </c>
      <c r="Z89" s="47">
        <v>0</v>
      </c>
      <c r="AA89" s="16"/>
      <c r="AB89" s="16"/>
    </row>
    <row r="90" spans="24:29">
      <c r="X90" s="47"/>
      <c r="Y90" s="47">
        <v>0.84</v>
      </c>
      <c r="Z90" s="47">
        <v>120</v>
      </c>
      <c r="AA90" s="16"/>
      <c r="AB90" s="16"/>
    </row>
    <row r="91" spans="24:29">
      <c r="X91" s="47" t="s">
        <v>88</v>
      </c>
      <c r="Y91" s="47">
        <v>2</v>
      </c>
      <c r="Z91" s="47">
        <v>0</v>
      </c>
      <c r="AA91" s="16"/>
      <c r="AB91" s="16"/>
    </row>
    <row r="92" spans="24:29">
      <c r="X92" s="47"/>
      <c r="Y92" s="47">
        <v>2</v>
      </c>
      <c r="Z92" s="47">
        <v>120</v>
      </c>
      <c r="AA92" s="16"/>
      <c r="AB92" s="16"/>
    </row>
    <row r="93" spans="24:29">
      <c r="X93" s="47" t="s">
        <v>89</v>
      </c>
      <c r="Y93" s="47"/>
      <c r="Z93" s="47"/>
      <c r="AA93" s="16"/>
      <c r="AB93" s="16"/>
    </row>
    <row r="94" spans="24:29">
      <c r="X94" s="47" t="s">
        <v>90</v>
      </c>
      <c r="Y94" s="47">
        <v>19.100000000000001</v>
      </c>
      <c r="Z94" s="47">
        <v>0</v>
      </c>
      <c r="AA94" s="16"/>
      <c r="AB94" s="16"/>
    </row>
    <row r="95" spans="24:29">
      <c r="X95" s="47"/>
      <c r="Y95" s="47">
        <v>19.100000000000001</v>
      </c>
      <c r="Z95" s="47">
        <v>120</v>
      </c>
      <c r="AA95" s="16"/>
      <c r="AB95" s="16"/>
    </row>
    <row r="96" spans="24:29">
      <c r="X96" s="47" t="s">
        <v>91</v>
      </c>
      <c r="Y96" s="47">
        <v>76.099999999999994</v>
      </c>
      <c r="Z96" s="47">
        <v>0</v>
      </c>
      <c r="AA96" s="16"/>
      <c r="AB96" s="16"/>
      <c r="AC96" s="16"/>
    </row>
    <row r="97" spans="24:29">
      <c r="X97" s="47"/>
      <c r="Y97" s="47">
        <v>76.099999999999994</v>
      </c>
      <c r="Z97" s="47">
        <v>120</v>
      </c>
      <c r="AA97" s="16"/>
      <c r="AB97" s="16"/>
      <c r="AC97" s="16"/>
    </row>
    <row r="98" spans="24:29">
      <c r="X98" s="16"/>
      <c r="Y98" s="16"/>
      <c r="Z98" s="16"/>
      <c r="AA98" s="16"/>
      <c r="AB98" s="16"/>
      <c r="AC98" s="16"/>
    </row>
    <row r="99" spans="24:29">
      <c r="X99" s="47"/>
      <c r="Y99" s="47"/>
      <c r="Z99" s="16"/>
      <c r="AA99" s="16"/>
      <c r="AB99" s="16"/>
      <c r="AC99" s="16"/>
    </row>
    <row r="100" spans="24:29">
      <c r="X100" s="48">
        <v>7.3999999999999996E-2</v>
      </c>
      <c r="Y100" s="47">
        <v>0</v>
      </c>
      <c r="Z100" s="16"/>
      <c r="AA100" s="16"/>
      <c r="AB100" s="16"/>
      <c r="AC100" s="16"/>
    </row>
    <row r="101" spans="24:29">
      <c r="X101" s="48">
        <v>7.3999999999999996E-2</v>
      </c>
      <c r="Y101" s="47">
        <v>120</v>
      </c>
      <c r="Z101" s="16"/>
      <c r="AA101" s="16"/>
      <c r="AB101" s="16"/>
      <c r="AC101" s="16"/>
    </row>
    <row r="102" spans="24:29">
      <c r="X102" s="47"/>
      <c r="Y102" s="47"/>
      <c r="Z102" s="16"/>
      <c r="AA102" s="16"/>
      <c r="AB102" s="16"/>
      <c r="AC102" s="16"/>
    </row>
    <row r="103" spans="24:29">
      <c r="X103" s="48">
        <v>0.14899999999999999</v>
      </c>
      <c r="Y103" s="47">
        <v>0</v>
      </c>
      <c r="Z103" s="16"/>
      <c r="AA103" s="16"/>
      <c r="AB103" s="16"/>
      <c r="AC103" s="16"/>
    </row>
    <row r="104" spans="24:29">
      <c r="X104" s="48">
        <v>0.14899999999999999</v>
      </c>
      <c r="Y104" s="47">
        <v>120</v>
      </c>
      <c r="Z104" s="16"/>
      <c r="AA104" s="16"/>
      <c r="AB104" s="16"/>
      <c r="AC104" s="16"/>
    </row>
    <row r="105" spans="24:29">
      <c r="X105" s="47"/>
      <c r="Y105" s="47"/>
      <c r="Z105" s="16"/>
      <c r="AA105" s="16"/>
      <c r="AB105" s="16"/>
      <c r="AC105" s="16"/>
    </row>
    <row r="106" spans="24:29">
      <c r="X106" s="47"/>
      <c r="Y106" s="47"/>
      <c r="Z106" s="16"/>
      <c r="AA106" s="16"/>
      <c r="AB106" s="16"/>
      <c r="AC106" s="16"/>
    </row>
    <row r="107" spans="24:29">
      <c r="X107" s="48">
        <v>0.17699999999999999</v>
      </c>
      <c r="Y107" s="47">
        <v>0</v>
      </c>
      <c r="Z107" s="16"/>
      <c r="AA107" s="16"/>
      <c r="AB107" s="16"/>
      <c r="AC107" s="16"/>
    </row>
    <row r="108" spans="24:29">
      <c r="X108" s="47">
        <v>0.17699999999999999</v>
      </c>
      <c r="Y108" s="47">
        <v>120</v>
      </c>
      <c r="Z108" s="16"/>
      <c r="AA108" s="16"/>
      <c r="AB108" s="16"/>
      <c r="AC108" s="16"/>
    </row>
    <row r="109" spans="24:29">
      <c r="X109" s="47"/>
      <c r="Y109" s="47"/>
      <c r="Z109" s="16"/>
      <c r="AA109" s="16"/>
      <c r="AB109" s="16"/>
      <c r="AC109" s="16"/>
    </row>
    <row r="110" spans="24:29">
      <c r="X110" s="47"/>
      <c r="Y110" s="47"/>
      <c r="Z110" s="16"/>
      <c r="AA110" s="16"/>
      <c r="AB110" s="16"/>
      <c r="AC110" s="16"/>
    </row>
    <row r="111" spans="24:29">
      <c r="X111" s="48">
        <v>0.42</v>
      </c>
      <c r="Y111" s="47">
        <v>0</v>
      </c>
      <c r="Z111" s="16"/>
      <c r="AA111" s="16"/>
      <c r="AB111" s="16"/>
      <c r="AC111" s="16"/>
    </row>
    <row r="112" spans="24:29">
      <c r="X112" s="47">
        <v>0.42</v>
      </c>
      <c r="Y112" s="47">
        <v>120</v>
      </c>
      <c r="Z112" s="16"/>
      <c r="AA112" s="16"/>
      <c r="AB112" s="16"/>
      <c r="AC112" s="16"/>
    </row>
    <row r="113" spans="24:29">
      <c r="X113" s="47"/>
      <c r="Y113" s="47"/>
      <c r="Z113" s="16"/>
      <c r="AA113" s="16"/>
      <c r="AB113" s="16"/>
      <c r="AC113" s="16"/>
    </row>
    <row r="114" spans="24:29">
      <c r="X114" s="47"/>
      <c r="Y114" s="47"/>
      <c r="Z114" s="16"/>
      <c r="AA114" s="16"/>
      <c r="AB114" s="16"/>
      <c r="AC114" s="16"/>
    </row>
    <row r="115" spans="24:29">
      <c r="X115" s="48">
        <v>0.84</v>
      </c>
      <c r="Y115" s="47">
        <v>0</v>
      </c>
      <c r="Z115" s="16"/>
      <c r="AA115" s="16"/>
      <c r="AB115" s="16"/>
      <c r="AC115" s="16"/>
    </row>
    <row r="116" spans="24:29">
      <c r="X116" s="49">
        <f>X115</f>
        <v>0.84</v>
      </c>
      <c r="Y116" s="47">
        <v>120</v>
      </c>
      <c r="Z116" s="16"/>
      <c r="AA116" s="16"/>
      <c r="AB116" s="16"/>
      <c r="AC116" s="16"/>
    </row>
    <row r="117" spans="24:29">
      <c r="X117" s="47"/>
      <c r="Y117" s="47"/>
      <c r="Z117" s="16"/>
      <c r="AA117" s="16"/>
      <c r="AB117" s="16"/>
      <c r="AC117" s="16"/>
    </row>
    <row r="118" spans="24:29">
      <c r="X118" s="47"/>
      <c r="Y118" s="47"/>
      <c r="Z118" s="16"/>
      <c r="AA118" s="16"/>
      <c r="AB118" s="16"/>
      <c r="AC118" s="16"/>
    </row>
    <row r="119" spans="24:29">
      <c r="X119" s="48">
        <v>2.38</v>
      </c>
      <c r="Y119" s="47">
        <v>0</v>
      </c>
      <c r="Z119" s="16"/>
      <c r="AA119" s="16"/>
      <c r="AB119" s="16"/>
      <c r="AC119" s="16"/>
    </row>
    <row r="120" spans="24:29">
      <c r="X120" s="49">
        <f>X119</f>
        <v>2.38</v>
      </c>
      <c r="Y120" s="47">
        <v>120</v>
      </c>
      <c r="Z120" s="16"/>
      <c r="AA120" s="16"/>
      <c r="AB120" s="16"/>
      <c r="AC120" s="16"/>
    </row>
    <row r="121" spans="24:29">
      <c r="X121" s="47"/>
      <c r="Y121" s="47"/>
      <c r="Z121" s="16"/>
      <c r="AA121" s="16"/>
      <c r="AB121" s="16"/>
      <c r="AC121" s="16"/>
    </row>
    <row r="122" spans="24:29">
      <c r="X122" s="47"/>
      <c r="Y122" s="47"/>
      <c r="Z122" s="16"/>
      <c r="AA122" s="16"/>
      <c r="AB122" s="16"/>
      <c r="AC122" s="16"/>
    </row>
    <row r="123" spans="24:29">
      <c r="X123" s="50">
        <v>4.76</v>
      </c>
      <c r="Y123" s="47">
        <v>0</v>
      </c>
      <c r="Z123" s="25"/>
      <c r="AA123" s="25"/>
      <c r="AB123" s="25"/>
      <c r="AC123" s="25"/>
    </row>
    <row r="124" spans="24:29">
      <c r="X124" s="49">
        <f>X123</f>
        <v>4.76</v>
      </c>
      <c r="Y124" s="47">
        <v>120</v>
      </c>
      <c r="Z124" s="25"/>
      <c r="AA124" s="25"/>
      <c r="AB124" s="25"/>
      <c r="AC124" s="25"/>
    </row>
    <row r="125" spans="24:29">
      <c r="X125" s="47"/>
      <c r="Y125" s="47"/>
      <c r="Z125" s="25"/>
      <c r="AA125" s="25"/>
      <c r="AB125" s="25"/>
      <c r="AC125" s="25"/>
    </row>
    <row r="126" spans="24:29">
      <c r="X126" s="47"/>
      <c r="Y126" s="47"/>
      <c r="Z126" s="25"/>
      <c r="AA126" s="25"/>
      <c r="AB126" s="25"/>
      <c r="AC126" s="25"/>
    </row>
    <row r="127" spans="24:29">
      <c r="X127" s="48">
        <v>9.5250000000000004</v>
      </c>
      <c r="Y127" s="47">
        <v>0</v>
      </c>
      <c r="Z127" s="25"/>
      <c r="AA127" s="25"/>
      <c r="AB127" s="25"/>
      <c r="AC127" s="25"/>
    </row>
    <row r="128" spans="24:29">
      <c r="X128" s="49">
        <f>X127</f>
        <v>9.5250000000000004</v>
      </c>
      <c r="Y128" s="47">
        <v>120</v>
      </c>
      <c r="Z128" s="25"/>
      <c r="AA128" s="25"/>
      <c r="AB128" s="25"/>
      <c r="AC128" s="25"/>
    </row>
    <row r="129" spans="24:29">
      <c r="X129" s="47"/>
      <c r="Y129" s="47"/>
      <c r="Z129" s="25"/>
      <c r="AA129" s="25"/>
      <c r="AB129" s="25"/>
      <c r="AC129" s="25"/>
    </row>
    <row r="130" spans="24:29">
      <c r="X130" s="47"/>
      <c r="Y130" s="47"/>
      <c r="Z130" s="25"/>
      <c r="AA130" s="25"/>
      <c r="AB130" s="25"/>
      <c r="AC130" s="25"/>
    </row>
    <row r="131" spans="24:29">
      <c r="X131" s="51">
        <v>12.7</v>
      </c>
      <c r="Y131" s="47">
        <v>0</v>
      </c>
      <c r="Z131" s="25"/>
      <c r="AA131" s="25"/>
      <c r="AB131" s="25"/>
      <c r="AC131" s="25"/>
    </row>
    <row r="132" spans="24:29">
      <c r="X132" s="49">
        <f>X131</f>
        <v>12.7</v>
      </c>
      <c r="Y132" s="47">
        <v>120</v>
      </c>
    </row>
    <row r="133" spans="24:29">
      <c r="X133" s="47"/>
      <c r="Y133" s="47"/>
    </row>
    <row r="134" spans="24:29">
      <c r="X134" s="47"/>
      <c r="Y134" s="47"/>
    </row>
    <row r="135" spans="24:29">
      <c r="X135" s="52">
        <v>19.05</v>
      </c>
      <c r="Y135" s="47">
        <v>0</v>
      </c>
    </row>
    <row r="136" spans="24:29">
      <c r="X136" s="49">
        <f>X135</f>
        <v>19.05</v>
      </c>
      <c r="Y136" s="47">
        <v>120</v>
      </c>
    </row>
    <row r="137" spans="24:29">
      <c r="X137" s="47"/>
      <c r="Y137" s="47"/>
    </row>
    <row r="138" spans="24:29">
      <c r="X138" s="47"/>
      <c r="Y138" s="47"/>
    </row>
    <row r="139" spans="24:29">
      <c r="X139" s="53">
        <v>25.4</v>
      </c>
      <c r="Y139" s="47">
        <v>0</v>
      </c>
    </row>
    <row r="140" spans="24:29">
      <c r="X140" s="49">
        <f>X139</f>
        <v>25.4</v>
      </c>
      <c r="Y140" s="47">
        <v>120</v>
      </c>
    </row>
    <row r="141" spans="24:29">
      <c r="X141" s="47"/>
      <c r="Y141" s="47"/>
    </row>
    <row r="142" spans="24:29">
      <c r="X142" s="53">
        <v>38.1</v>
      </c>
      <c r="Y142" s="47">
        <v>0</v>
      </c>
    </row>
    <row r="143" spans="24:29">
      <c r="X143" s="49">
        <f>X142</f>
        <v>38.1</v>
      </c>
      <c r="Y143" s="47">
        <v>120</v>
      </c>
    </row>
    <row r="144" spans="24:29">
      <c r="X144" s="47"/>
      <c r="Y144" s="47"/>
    </row>
    <row r="145" spans="24:25">
      <c r="X145" s="47"/>
      <c r="Y145" s="47"/>
    </row>
    <row r="146" spans="24:25">
      <c r="X146" s="53">
        <v>75</v>
      </c>
      <c r="Y146" s="47">
        <v>0</v>
      </c>
    </row>
    <row r="147" spans="24:25">
      <c r="X147" s="49">
        <f>X146</f>
        <v>75</v>
      </c>
      <c r="Y147" s="47">
        <v>120</v>
      </c>
    </row>
  </sheetData>
  <mergeCells count="52">
    <mergeCell ref="H15:K15"/>
    <mergeCell ref="H16:K16"/>
    <mergeCell ref="H17:K17"/>
    <mergeCell ref="H18:K18"/>
    <mergeCell ref="H19:K19"/>
    <mergeCell ref="O15:Q15"/>
    <mergeCell ref="O16:Q16"/>
    <mergeCell ref="O17:Q17"/>
    <mergeCell ref="O18:Q18"/>
    <mergeCell ref="O19:Q19"/>
    <mergeCell ref="M27:O27"/>
    <mergeCell ref="M26:P26"/>
    <mergeCell ref="G33:H33"/>
    <mergeCell ref="H20:K20"/>
    <mergeCell ref="H21:K21"/>
    <mergeCell ref="H22:K22"/>
    <mergeCell ref="H23:K23"/>
    <mergeCell ref="G34:H34"/>
    <mergeCell ref="G35:H35"/>
    <mergeCell ref="G36:H36"/>
    <mergeCell ref="G37:H37"/>
    <mergeCell ref="G46:H46"/>
    <mergeCell ref="G47:H47"/>
    <mergeCell ref="G38:H38"/>
    <mergeCell ref="G39:H39"/>
    <mergeCell ref="G40:H40"/>
    <mergeCell ref="G41:H41"/>
    <mergeCell ref="G42:H42"/>
    <mergeCell ref="G43:H43"/>
    <mergeCell ref="G44:H44"/>
    <mergeCell ref="G45:H45"/>
    <mergeCell ref="D11:R11"/>
    <mergeCell ref="D12:R12"/>
    <mergeCell ref="G27:H27"/>
    <mergeCell ref="I25:I26"/>
    <mergeCell ref="F25:F26"/>
    <mergeCell ref="E17:F17"/>
    <mergeCell ref="E19:F19"/>
    <mergeCell ref="G25:H26"/>
    <mergeCell ref="E21:F21"/>
    <mergeCell ref="E23:F23"/>
    <mergeCell ref="E20:F20"/>
    <mergeCell ref="E15:F15"/>
    <mergeCell ref="M25:O25"/>
    <mergeCell ref="J27:L27"/>
    <mergeCell ref="E22:F22"/>
    <mergeCell ref="J26:L26"/>
    <mergeCell ref="G4:Q4"/>
    <mergeCell ref="G5:Q5"/>
    <mergeCell ref="G6:Q6"/>
    <mergeCell ref="G7:Q7"/>
    <mergeCell ref="G8:Q8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70" orientation="portrait" r:id="rId1"/>
  <headerFooter>
    <oddFooter>&amp;R&amp;"Aptos,Regular"&amp;10Page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CA8EE4-3DAE-447C-8C29-80666653C3AC}">
          <x14:formula1>
            <xm:f>Details!$D$2:$D$6</xm:f>
          </x14:formula1>
          <xm:sqref>O15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3050-BF7F-4E39-A82A-0893F22F262C}">
  <sheetPr codeName="Sheet7">
    <tabColor theme="7" tint="-0.499984740745262"/>
    <pageSetUpPr fitToPage="1"/>
  </sheetPr>
  <dimension ref="B1:BT212"/>
  <sheetViews>
    <sheetView showGridLines="0" zoomScale="85" zoomScaleNormal="85" workbookViewId="0">
      <selection activeCell="A34" sqref="A34:XFD34"/>
    </sheetView>
  </sheetViews>
  <sheetFormatPr defaultColWidth="0.5" defaultRowHeight="13.5"/>
  <cols>
    <col min="1" max="1" width="6.375" style="25" customWidth="1"/>
    <col min="2" max="2" width="1.5" style="25" customWidth="1"/>
    <col min="3" max="3" width="1.125" style="25" customWidth="1"/>
    <col min="4" max="9" width="3.625" style="25" customWidth="1"/>
    <col min="10" max="10" width="1.875" style="25" customWidth="1"/>
    <col min="11" max="14" width="3.625" style="25" customWidth="1"/>
    <col min="15" max="24" width="5.125" style="25" customWidth="1"/>
    <col min="25" max="25" width="5.125" style="706" customWidth="1"/>
    <col min="26" max="27" width="5.125" style="25" customWidth="1"/>
    <col min="28" max="28" width="1.5" style="25" customWidth="1"/>
    <col min="29" max="29" width="13.75" style="25" customWidth="1"/>
    <col min="30" max="30" width="14.375" style="25" customWidth="1"/>
    <col min="31" max="31" width="1.25" style="25" customWidth="1"/>
    <col min="32" max="32" width="1.125" style="25" customWidth="1"/>
    <col min="33" max="33" width="2" style="25" customWidth="1"/>
    <col min="34" max="34" width="3.125" style="25" customWidth="1"/>
    <col min="35" max="40" width="8.875" style="25" customWidth="1"/>
    <col min="41" max="41" width="8.875" style="699" customWidth="1"/>
    <col min="42" max="158" width="8.875" style="25" customWidth="1"/>
    <col min="159" max="16384" width="0.5" style="25"/>
  </cols>
  <sheetData>
    <row r="1" spans="2:46" ht="6.75" customHeight="1">
      <c r="B1" s="491"/>
      <c r="C1" s="672"/>
      <c r="D1" s="672"/>
      <c r="E1" s="672"/>
      <c r="F1" s="672"/>
      <c r="G1" s="672"/>
      <c r="H1" s="672"/>
      <c r="I1" s="672"/>
      <c r="J1" s="672"/>
      <c r="K1" s="672"/>
      <c r="L1" s="672"/>
      <c r="M1" s="672"/>
      <c r="N1" s="672"/>
      <c r="O1" s="672"/>
      <c r="P1" s="672"/>
      <c r="Q1" s="672"/>
      <c r="R1" s="672"/>
      <c r="S1" s="672"/>
      <c r="T1" s="672"/>
      <c r="U1" s="672"/>
      <c r="V1" s="672"/>
      <c r="W1" s="672"/>
      <c r="X1" s="672"/>
      <c r="Y1" s="705"/>
      <c r="Z1" s="672"/>
      <c r="AA1" s="672"/>
      <c r="AB1" s="672"/>
      <c r="AC1" s="672"/>
      <c r="AD1" s="672"/>
      <c r="AE1" s="672"/>
      <c r="AF1" s="492"/>
      <c r="AO1" s="25"/>
    </row>
    <row r="2" spans="2:46" ht="8.25" customHeight="1">
      <c r="B2" s="24"/>
      <c r="C2" s="491"/>
      <c r="D2" s="1121"/>
      <c r="E2" s="1121"/>
      <c r="F2" s="1121"/>
      <c r="G2" s="1121"/>
      <c r="H2" s="1121"/>
      <c r="I2" s="1121"/>
      <c r="J2" s="1121"/>
      <c r="K2" s="1121"/>
      <c r="L2" s="1121"/>
      <c r="M2" s="1121"/>
      <c r="N2" s="1121"/>
      <c r="O2" s="1121"/>
      <c r="P2" s="1121"/>
      <c r="Q2" s="1121"/>
      <c r="R2" s="1121"/>
      <c r="S2" s="1121"/>
      <c r="T2" s="1121"/>
      <c r="U2" s="672"/>
      <c r="V2" s="1121"/>
      <c r="W2" s="1121"/>
      <c r="X2" s="1121"/>
      <c r="Y2" s="1121"/>
      <c r="Z2" s="1121"/>
      <c r="AA2" s="1121"/>
      <c r="AB2" s="1121"/>
      <c r="AC2" s="1121"/>
      <c r="AD2" s="1121"/>
      <c r="AE2" s="492"/>
      <c r="AF2" s="26"/>
      <c r="AO2" s="25"/>
    </row>
    <row r="3" spans="2:46" ht="20.25">
      <c r="B3" s="24"/>
      <c r="C3" s="24"/>
      <c r="D3" s="491"/>
      <c r="E3" s="1121"/>
      <c r="F3" s="1121"/>
      <c r="G3" s="492"/>
      <c r="H3" s="4107" t="s">
        <v>821</v>
      </c>
      <c r="I3" s="4107"/>
      <c r="J3" s="4107"/>
      <c r="K3" s="4107"/>
      <c r="L3" s="4107"/>
      <c r="M3" s="4107"/>
      <c r="N3" s="4107"/>
      <c r="O3" s="4107"/>
      <c r="P3" s="4107"/>
      <c r="Q3" s="4107"/>
      <c r="R3" s="4107"/>
      <c r="S3" s="4107"/>
      <c r="T3" s="4107"/>
      <c r="U3" s="4107"/>
      <c r="V3" s="1"/>
      <c r="W3" s="4107"/>
      <c r="X3" s="4107"/>
      <c r="Y3" s="4107"/>
      <c r="Z3" s="4107"/>
      <c r="AA3" s="4107"/>
      <c r="AB3" s="4107"/>
      <c r="AC3" s="4107"/>
      <c r="AD3" s="4108"/>
      <c r="AE3" s="1123"/>
      <c r="AF3" s="26"/>
      <c r="AO3" s="25"/>
    </row>
    <row r="4" spans="2:46">
      <c r="B4" s="24"/>
      <c r="C4" s="24"/>
      <c r="D4" s="24"/>
      <c r="G4" s="26"/>
      <c r="H4" s="4110" t="s">
        <v>819</v>
      </c>
      <c r="I4" s="4110"/>
      <c r="J4" s="4110"/>
      <c r="K4" s="4110"/>
      <c r="L4" s="4110"/>
      <c r="M4" s="4110"/>
      <c r="N4" s="4110"/>
      <c r="O4" s="4110"/>
      <c r="P4" s="4110"/>
      <c r="Q4" s="4110"/>
      <c r="R4" s="4110"/>
      <c r="S4" s="4110"/>
      <c r="T4" s="4110"/>
      <c r="U4" s="4110"/>
      <c r="V4" s="4109"/>
      <c r="W4" s="4110"/>
      <c r="X4" s="4110"/>
      <c r="Y4" s="4110"/>
      <c r="Z4" s="4110"/>
      <c r="AA4" s="4110"/>
      <c r="AB4" s="4110"/>
      <c r="AC4" s="4110"/>
      <c r="AD4" s="4111"/>
      <c r="AE4" s="26"/>
      <c r="AF4" s="26"/>
      <c r="AI4" s="673"/>
      <c r="AJ4" s="673"/>
      <c r="AK4" s="673"/>
      <c r="AL4" s="673"/>
      <c r="AM4" s="673"/>
      <c r="AN4" s="673"/>
      <c r="AO4" s="673"/>
      <c r="AP4" s="673"/>
      <c r="AQ4" s="673"/>
      <c r="AR4" s="673"/>
      <c r="AS4" s="673"/>
    </row>
    <row r="5" spans="2:46">
      <c r="B5" s="24"/>
      <c r="C5" s="24"/>
      <c r="D5" s="24"/>
      <c r="G5" s="26"/>
      <c r="H5" s="4110" t="s">
        <v>820</v>
      </c>
      <c r="I5" s="4110"/>
      <c r="J5" s="4110"/>
      <c r="K5" s="4110"/>
      <c r="L5" s="4110"/>
      <c r="M5" s="4110"/>
      <c r="N5" s="4110"/>
      <c r="O5" s="4110"/>
      <c r="P5" s="4110"/>
      <c r="Q5" s="4110"/>
      <c r="R5" s="4110"/>
      <c r="S5" s="4110"/>
      <c r="T5" s="4110"/>
      <c r="U5" s="4110"/>
      <c r="V5" s="4109"/>
      <c r="W5" s="4110"/>
      <c r="X5" s="4110"/>
      <c r="Y5" s="4110"/>
      <c r="Z5" s="4110"/>
      <c r="AA5" s="4110"/>
      <c r="AB5" s="4110"/>
      <c r="AC5" s="4110"/>
      <c r="AD5" s="4111"/>
      <c r="AE5" s="26"/>
      <c r="AF5" s="26"/>
      <c r="AI5" s="673"/>
      <c r="AJ5" s="673"/>
      <c r="AK5" s="673"/>
      <c r="AL5" s="673"/>
      <c r="AM5" s="673"/>
      <c r="AN5" s="673"/>
      <c r="AO5" s="673"/>
      <c r="AP5" s="673"/>
      <c r="AQ5" s="673"/>
      <c r="AR5" s="673"/>
      <c r="AS5" s="673"/>
    </row>
    <row r="6" spans="2:46">
      <c r="B6" s="24"/>
      <c r="C6" s="24"/>
      <c r="D6" s="24"/>
      <c r="G6" s="26"/>
      <c r="H6" s="4110" t="s">
        <v>830</v>
      </c>
      <c r="I6" s="4110"/>
      <c r="J6" s="4110"/>
      <c r="K6" s="4110"/>
      <c r="L6" s="4110"/>
      <c r="M6" s="4110"/>
      <c r="N6" s="4110"/>
      <c r="O6" s="4110"/>
      <c r="P6" s="4110"/>
      <c r="Q6" s="4110"/>
      <c r="R6" s="4110"/>
      <c r="S6" s="4110"/>
      <c r="T6" s="4110"/>
      <c r="U6" s="4110"/>
      <c r="V6" s="4109"/>
      <c r="W6" s="4110"/>
      <c r="X6" s="4110"/>
      <c r="Y6" s="4110"/>
      <c r="Z6" s="4110"/>
      <c r="AA6" s="4110"/>
      <c r="AB6" s="4110"/>
      <c r="AC6" s="4110"/>
      <c r="AD6" s="4111"/>
      <c r="AE6" s="26"/>
      <c r="AF6" s="26"/>
      <c r="AI6" s="673"/>
      <c r="AJ6" s="673"/>
      <c r="AK6" s="673"/>
      <c r="AL6" s="673"/>
      <c r="AM6" s="673"/>
      <c r="AN6" s="673"/>
      <c r="AO6" s="673"/>
      <c r="AP6" s="673"/>
      <c r="AQ6" s="673"/>
      <c r="AR6" s="673"/>
      <c r="AS6" s="673"/>
    </row>
    <row r="7" spans="2:46">
      <c r="B7" s="24"/>
      <c r="C7" s="24"/>
      <c r="D7" s="700"/>
      <c r="E7" s="701"/>
      <c r="F7" s="701"/>
      <c r="G7" s="702"/>
      <c r="H7" s="4113" t="s">
        <v>827</v>
      </c>
      <c r="I7" s="4113"/>
      <c r="J7" s="4113"/>
      <c r="K7" s="4113"/>
      <c r="L7" s="4113"/>
      <c r="M7" s="4113"/>
      <c r="N7" s="4113"/>
      <c r="O7" s="4113"/>
      <c r="P7" s="4113"/>
      <c r="Q7" s="4113"/>
      <c r="R7" s="4113"/>
      <c r="S7" s="4113"/>
      <c r="T7" s="4113"/>
      <c r="U7" s="4113"/>
      <c r="V7" s="4112"/>
      <c r="W7" s="4113"/>
      <c r="X7" s="4113"/>
      <c r="Y7" s="4113"/>
      <c r="Z7" s="4113"/>
      <c r="AA7" s="4113"/>
      <c r="AB7" s="4113"/>
      <c r="AC7" s="4113"/>
      <c r="AD7" s="4114"/>
      <c r="AE7" s="26"/>
      <c r="AF7" s="26"/>
      <c r="AI7" s="673"/>
      <c r="AJ7" s="673"/>
      <c r="AK7" s="673"/>
      <c r="AL7" s="673"/>
      <c r="AM7" s="673"/>
      <c r="AN7" s="673"/>
      <c r="AO7" s="673"/>
      <c r="AP7" s="673"/>
      <c r="AQ7" s="673"/>
      <c r="AR7" s="673"/>
      <c r="AS7" s="673"/>
    </row>
    <row r="8" spans="2:46" ht="8.25" customHeight="1">
      <c r="B8" s="24"/>
      <c r="C8" s="700"/>
      <c r="D8" s="701"/>
      <c r="E8" s="701"/>
      <c r="F8" s="701"/>
      <c r="G8" s="701"/>
      <c r="H8" s="701"/>
      <c r="I8" s="701"/>
      <c r="J8" s="701"/>
      <c r="K8" s="701"/>
      <c r="L8" s="701"/>
      <c r="M8" s="701"/>
      <c r="N8" s="701"/>
      <c r="O8" s="701"/>
      <c r="P8" s="701"/>
      <c r="Q8" s="701"/>
      <c r="R8" s="701"/>
      <c r="S8" s="701"/>
      <c r="T8" s="701"/>
      <c r="U8" s="672"/>
      <c r="V8" s="701"/>
      <c r="W8" s="701"/>
      <c r="X8" s="701"/>
      <c r="Y8" s="701"/>
      <c r="Z8" s="701"/>
      <c r="AA8" s="701"/>
      <c r="AB8" s="701"/>
      <c r="AC8" s="701"/>
      <c r="AD8" s="701"/>
      <c r="AE8" s="702"/>
      <c r="AF8" s="26"/>
      <c r="AO8" s="25"/>
    </row>
    <row r="9" spans="2:46" ht="6" customHeight="1">
      <c r="B9" s="24"/>
      <c r="U9" s="701"/>
      <c r="AF9" s="26"/>
      <c r="AO9" s="25"/>
    </row>
    <row r="10" spans="2:46" ht="13.5" customHeight="1">
      <c r="B10" s="24"/>
      <c r="C10" s="4116" t="s">
        <v>360</v>
      </c>
      <c r="D10" s="4117"/>
      <c r="E10" s="4117"/>
      <c r="F10" s="4117"/>
      <c r="G10" s="4117"/>
      <c r="H10" s="4117"/>
      <c r="I10" s="4117"/>
      <c r="J10" s="4117"/>
      <c r="K10" s="4117"/>
      <c r="L10" s="4117"/>
      <c r="M10" s="4117"/>
      <c r="N10" s="4117"/>
      <c r="O10" s="4117"/>
      <c r="P10" s="4117"/>
      <c r="Q10" s="4117"/>
      <c r="R10" s="4117"/>
      <c r="S10" s="4117"/>
      <c r="T10" s="4117"/>
      <c r="U10" s="4117"/>
      <c r="V10" s="4117"/>
      <c r="W10" s="4117"/>
      <c r="X10" s="4117"/>
      <c r="Y10" s="4117"/>
      <c r="Z10" s="4117"/>
      <c r="AA10" s="4117"/>
      <c r="AB10" s="4117"/>
      <c r="AC10" s="4117"/>
      <c r="AD10" s="4117"/>
      <c r="AE10" s="4118"/>
      <c r="AF10" s="26"/>
      <c r="AO10" s="25"/>
    </row>
    <row r="11" spans="2:46" ht="13.5" customHeight="1">
      <c r="B11" s="24"/>
      <c r="C11" s="4119" t="s">
        <v>322</v>
      </c>
      <c r="D11" s="4120"/>
      <c r="E11" s="4120"/>
      <c r="F11" s="4120"/>
      <c r="G11" s="4120"/>
      <c r="H11" s="4120"/>
      <c r="I11" s="4120"/>
      <c r="J11" s="4120"/>
      <c r="K11" s="4120"/>
      <c r="L11" s="4120"/>
      <c r="M11" s="4120"/>
      <c r="N11" s="4120"/>
      <c r="O11" s="4120"/>
      <c r="P11" s="4120"/>
      <c r="Q11" s="4120"/>
      <c r="R11" s="4120"/>
      <c r="S11" s="4120"/>
      <c r="T11" s="4120"/>
      <c r="U11" s="4120"/>
      <c r="V11" s="4120"/>
      <c r="W11" s="4120"/>
      <c r="X11" s="4120"/>
      <c r="Y11" s="4120"/>
      <c r="Z11" s="4120"/>
      <c r="AA11" s="4120"/>
      <c r="AB11" s="4120"/>
      <c r="AC11" s="4120"/>
      <c r="AD11" s="4120"/>
      <c r="AE11" s="4121"/>
      <c r="AF11" s="26"/>
      <c r="AN11" s="732" t="s">
        <v>243</v>
      </c>
      <c r="AO11" s="732" t="s">
        <v>828</v>
      </c>
    </row>
    <row r="12" spans="2:46" ht="6" customHeight="1">
      <c r="B12" s="24"/>
      <c r="C12" s="674"/>
      <c r="D12" s="674"/>
      <c r="E12" s="674"/>
      <c r="F12" s="674"/>
      <c r="G12" s="674"/>
      <c r="H12" s="674"/>
      <c r="I12" s="674"/>
      <c r="J12" s="674"/>
      <c r="K12" s="674"/>
      <c r="L12" s="674"/>
      <c r="M12" s="674"/>
      <c r="N12" s="674"/>
      <c r="O12" s="674"/>
      <c r="AF12" s="26"/>
      <c r="AO12" s="25"/>
    </row>
    <row r="13" spans="2:46">
      <c r="B13" s="24"/>
      <c r="C13" s="675" t="s">
        <v>95</v>
      </c>
      <c r="D13" s="675"/>
      <c r="E13" s="675"/>
      <c r="F13" s="675"/>
      <c r="G13" s="675"/>
      <c r="H13" s="675"/>
      <c r="I13" s="675"/>
      <c r="J13" s="675"/>
      <c r="K13" s="675"/>
      <c r="L13" s="675"/>
      <c r="M13" s="675"/>
      <c r="N13" s="675"/>
      <c r="O13" s="675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F13" s="26"/>
      <c r="AM13" s="1145"/>
      <c r="AN13" s="1166">
        <v>1</v>
      </c>
      <c r="AO13" s="1157">
        <v>9.0299999999999994</v>
      </c>
      <c r="AQ13" s="1146"/>
      <c r="AR13" s="1146"/>
      <c r="AS13" s="1146"/>
      <c r="AT13" s="1122"/>
    </row>
    <row r="14" spans="2:46" s="8" customFormat="1" ht="16.5" customHeight="1">
      <c r="B14" s="703"/>
      <c r="C14" s="8" t="s">
        <v>398</v>
      </c>
      <c r="J14" s="8" t="s">
        <v>27</v>
      </c>
      <c r="K14" s="4363" t="str">
        <f>Details!B4</f>
        <v xml:space="preserve">PT Itamatra Nusantara </v>
      </c>
      <c r="L14" s="4363"/>
      <c r="M14" s="4363"/>
      <c r="N14" s="4363"/>
      <c r="O14" s="4363"/>
      <c r="P14" s="4363"/>
      <c r="Q14" s="4363"/>
      <c r="R14" s="4363"/>
      <c r="S14" s="4363"/>
      <c r="T14" s="4363"/>
      <c r="U14" s="4363"/>
      <c r="V14" s="4363"/>
      <c r="W14" s="8" t="s">
        <v>394</v>
      </c>
      <c r="AB14" s="8" t="s">
        <v>27</v>
      </c>
      <c r="AC14" s="4362" t="s">
        <v>823</v>
      </c>
      <c r="AD14" s="4362"/>
      <c r="AF14" s="704"/>
      <c r="AI14" s="1814"/>
      <c r="AJ14" s="8" t="s">
        <v>1334</v>
      </c>
      <c r="AM14" s="1148"/>
      <c r="AN14" s="1166">
        <v>2</v>
      </c>
      <c r="AO14" s="1158">
        <v>8.8420000000000005</v>
      </c>
    </row>
    <row r="15" spans="2:46" s="8" customFormat="1" ht="16.5" customHeight="1">
      <c r="B15" s="703"/>
      <c r="C15" s="8" t="s">
        <v>818</v>
      </c>
      <c r="J15" s="8" t="s">
        <v>27</v>
      </c>
      <c r="K15" s="4364" t="str">
        <f>Details!B8</f>
        <v>hidroplogi</v>
      </c>
      <c r="L15" s="4364"/>
      <c r="M15" s="4364"/>
      <c r="N15" s="4364"/>
      <c r="O15" s="4364"/>
      <c r="P15" s="4364"/>
      <c r="Q15" s="4364"/>
      <c r="R15" s="4364"/>
      <c r="S15" s="4364"/>
      <c r="T15" s="4364"/>
      <c r="U15" s="4364"/>
      <c r="V15" s="4364"/>
      <c r="W15" s="8" t="s">
        <v>822</v>
      </c>
      <c r="AB15" s="8" t="s">
        <v>27</v>
      </c>
      <c r="AC15" s="4362" t="s">
        <v>824</v>
      </c>
      <c r="AD15" s="4362"/>
      <c r="AF15" s="704"/>
      <c r="AM15" s="1148"/>
      <c r="AN15" s="1166">
        <v>3</v>
      </c>
      <c r="AO15" s="1158">
        <v>9.0410000000000004</v>
      </c>
    </row>
    <row r="16" spans="2:46" s="8" customFormat="1" ht="16.5" customHeight="1">
      <c r="B16" s="703"/>
      <c r="C16" s="8" t="s">
        <v>1311</v>
      </c>
      <c r="J16" s="8" t="s">
        <v>27</v>
      </c>
      <c r="K16" s="4362" t="str">
        <f>Details!B7</f>
        <v>23-GQT--19-UDS-1-BH-05-0,00-0,50-100726-001</v>
      </c>
      <c r="L16" s="4362"/>
      <c r="M16" s="4362"/>
      <c r="N16" s="4362"/>
      <c r="O16" s="4362"/>
      <c r="P16" s="4362"/>
      <c r="Q16" s="4362"/>
      <c r="R16" s="4362"/>
      <c r="S16" s="4362"/>
      <c r="T16" s="4362"/>
      <c r="U16" s="4362"/>
      <c r="V16" s="4362"/>
      <c r="W16" s="8" t="s">
        <v>395</v>
      </c>
      <c r="X16" s="1169"/>
      <c r="AB16" s="8" t="s">
        <v>27</v>
      </c>
      <c r="AC16" s="4360">
        <f>Details!B30</f>
        <v>46214</v>
      </c>
      <c r="AD16" s="4360"/>
      <c r="AF16" s="704"/>
      <c r="AM16" s="1147"/>
      <c r="AN16" s="1166">
        <v>4</v>
      </c>
      <c r="AO16" s="1159">
        <v>8.9359999999999999</v>
      </c>
    </row>
    <row r="17" spans="2:43" s="8" customFormat="1" ht="16.5" customHeight="1">
      <c r="B17" s="2742"/>
      <c r="C17" s="8" t="s">
        <v>399</v>
      </c>
      <c r="J17" s="8" t="s">
        <v>27</v>
      </c>
      <c r="K17" s="4128" t="str">
        <f>Details!B1</f>
        <v>BH-05_UDS-01</v>
      </c>
      <c r="L17" s="4128"/>
      <c r="M17" s="4128"/>
      <c r="N17" s="4128"/>
      <c r="O17" s="4128"/>
      <c r="P17" s="4128"/>
      <c r="Q17" s="4128"/>
      <c r="R17" s="4128"/>
      <c r="S17" s="4128"/>
      <c r="T17" s="4128"/>
      <c r="U17" s="4128"/>
      <c r="V17" s="4128"/>
      <c r="W17" s="8" t="s">
        <v>396</v>
      </c>
      <c r="AB17" s="8" t="s">
        <v>27</v>
      </c>
      <c r="AC17" s="4362" t="str">
        <f>Details!B22</f>
        <v>AS Sumartadji</v>
      </c>
      <c r="AD17" s="4362"/>
      <c r="AF17" s="704"/>
      <c r="AI17" s="1156"/>
      <c r="AJ17" s="1156"/>
      <c r="AK17" s="1156"/>
      <c r="AL17" s="1147"/>
      <c r="AM17" s="1147"/>
      <c r="AN17" s="1166">
        <v>5</v>
      </c>
      <c r="AO17" s="1159">
        <v>8.8559999999999999</v>
      </c>
    </row>
    <row r="18" spans="2:43" s="8" customFormat="1" ht="16.5" customHeight="1">
      <c r="B18" s="703"/>
      <c r="C18" s="8" t="s">
        <v>400</v>
      </c>
      <c r="J18" s="8" t="s">
        <v>27</v>
      </c>
      <c r="K18" s="4365" t="str">
        <f>Details!B13&amp;" m"</f>
        <v>0,00-0,50 m</v>
      </c>
      <c r="L18" s="4365"/>
      <c r="M18" s="4365"/>
      <c r="N18" s="4365"/>
      <c r="O18" s="4365"/>
      <c r="P18" s="4365"/>
      <c r="Q18" s="4365"/>
      <c r="R18" s="4365"/>
      <c r="S18" s="4365"/>
      <c r="T18" s="4365"/>
      <c r="U18" s="4365"/>
      <c r="V18" s="4365"/>
      <c r="W18" s="8" t="s">
        <v>186</v>
      </c>
      <c r="AB18" s="8" t="s">
        <v>27</v>
      </c>
      <c r="AC18" s="4128" t="str">
        <f>Details!B2</f>
        <v>MGS/02/VI/2026</v>
      </c>
      <c r="AD18" s="4128"/>
      <c r="AF18" s="704"/>
      <c r="AI18" s="680" t="s">
        <v>362</v>
      </c>
      <c r="AJ18" s="680"/>
      <c r="AK18" s="680" t="s">
        <v>363</v>
      </c>
      <c r="AL18" s="680"/>
      <c r="AM18" s="1147"/>
      <c r="AN18" s="1166">
        <v>6</v>
      </c>
      <c r="AO18" s="1159">
        <v>8.7260000000000009</v>
      </c>
    </row>
    <row r="19" spans="2:43" s="8" customFormat="1" ht="16.5" customHeight="1">
      <c r="B19" s="703"/>
      <c r="C19" s="8" t="s">
        <v>401</v>
      </c>
      <c r="J19" s="8" t="s">
        <v>27</v>
      </c>
      <c r="K19" s="4362" t="str">
        <f>Details!B14</f>
        <v>silty CLAY with sand</v>
      </c>
      <c r="L19" s="4362"/>
      <c r="M19" s="4362"/>
      <c r="N19" s="4362"/>
      <c r="O19" s="4362"/>
      <c r="P19" s="4362"/>
      <c r="Q19" s="4362"/>
      <c r="R19" s="4362"/>
      <c r="S19" s="4362"/>
      <c r="T19" s="4362"/>
      <c r="U19" s="4362"/>
      <c r="V19" s="4362"/>
      <c r="AF19" s="704"/>
      <c r="AI19" s="682" t="s">
        <v>116</v>
      </c>
      <c r="AJ19" s="682" t="s">
        <v>115</v>
      </c>
      <c r="AK19" s="682" t="s">
        <v>116</v>
      </c>
      <c r="AL19" s="682" t="s">
        <v>115</v>
      </c>
      <c r="AM19" s="1147"/>
      <c r="AN19" s="1166">
        <v>7</v>
      </c>
      <c r="AO19" s="1159">
        <v>8.8819999999999997</v>
      </c>
    </row>
    <row r="20" spans="2:43" s="8" customFormat="1" ht="16.5" customHeight="1">
      <c r="B20" s="703"/>
      <c r="C20" s="8" t="s">
        <v>796</v>
      </c>
      <c r="J20" s="1170" t="s">
        <v>27</v>
      </c>
      <c r="K20" s="4366">
        <f>PP!J24</f>
        <v>2.6497359418773012</v>
      </c>
      <c r="L20" s="4366"/>
      <c r="M20" s="4366"/>
      <c r="N20" s="4366"/>
      <c r="O20" s="4366"/>
      <c r="P20" s="4366"/>
      <c r="Q20" s="4366"/>
      <c r="R20" s="4366"/>
      <c r="S20" s="4366"/>
      <c r="T20" s="4366"/>
      <c r="U20" s="4366"/>
      <c r="V20" s="4366"/>
      <c r="AF20" s="704"/>
      <c r="AI20" s="689">
        <v>25</v>
      </c>
      <c r="AJ20" s="689">
        <v>0</v>
      </c>
      <c r="AK20" s="689">
        <v>1</v>
      </c>
      <c r="AL20" s="690" t="str">
        <f>AI30</f>
        <v>NP</v>
      </c>
      <c r="AM20" s="1147"/>
      <c r="AN20" s="1166">
        <v>8</v>
      </c>
      <c r="AO20" s="1159">
        <v>8.8179999999999996</v>
      </c>
    </row>
    <row r="21" spans="2:43" s="8" customFormat="1" ht="16.5" customHeight="1">
      <c r="B21" s="703"/>
      <c r="C21" s="8" t="s">
        <v>798</v>
      </c>
      <c r="J21" s="8" t="s">
        <v>27</v>
      </c>
      <c r="K21" s="4365" t="str">
        <f>Details!B15</f>
        <v>Abu-abu / Gray</v>
      </c>
      <c r="L21" s="4365"/>
      <c r="M21" s="4365"/>
      <c r="N21" s="4365"/>
      <c r="O21" s="4365"/>
      <c r="P21" s="4365"/>
      <c r="Q21" s="4365"/>
      <c r="R21" s="4365"/>
      <c r="S21" s="4365"/>
      <c r="T21" s="4365"/>
      <c r="U21" s="4365"/>
      <c r="V21" s="4365"/>
      <c r="AF21" s="704"/>
      <c r="AI21" s="689">
        <v>25</v>
      </c>
      <c r="AJ21" s="690" t="str">
        <f>AI30</f>
        <v>NP</v>
      </c>
      <c r="AK21" s="689">
        <v>25</v>
      </c>
      <c r="AL21" s="690" t="str">
        <f>AI30</f>
        <v>NP</v>
      </c>
      <c r="AM21" s="1147"/>
      <c r="AN21" s="1166">
        <v>9</v>
      </c>
      <c r="AO21" s="1159">
        <v>8.7989999999999995</v>
      </c>
    </row>
    <row r="22" spans="2:43">
      <c r="B22" s="703"/>
      <c r="C22" s="8" t="s">
        <v>797</v>
      </c>
      <c r="D22" s="8"/>
      <c r="E22" s="8"/>
      <c r="F22" s="8"/>
      <c r="G22" s="8"/>
      <c r="H22" s="8"/>
      <c r="I22" s="8"/>
      <c r="J22" s="8" t="s">
        <v>27</v>
      </c>
      <c r="K22" s="4362" t="str">
        <f>Details!B16</f>
        <v>Undisturbed Sample / UDS</v>
      </c>
      <c r="L22" s="4362"/>
      <c r="M22" s="4362"/>
      <c r="N22" s="4362"/>
      <c r="O22" s="4362"/>
      <c r="P22" s="4362"/>
      <c r="Q22" s="4362"/>
      <c r="R22" s="4362"/>
      <c r="S22" s="4362"/>
      <c r="T22" s="4362"/>
      <c r="U22" s="4362"/>
      <c r="V22" s="4362"/>
      <c r="W22" s="8"/>
      <c r="X22" s="8"/>
      <c r="Y22" s="8"/>
      <c r="Z22" s="8"/>
      <c r="AA22" s="8"/>
      <c r="AB22" s="8"/>
      <c r="AC22" s="8"/>
      <c r="AD22" s="8"/>
      <c r="AE22" s="8"/>
      <c r="AF22" s="704"/>
      <c r="AL22" s="1144"/>
      <c r="AM22" s="1144"/>
      <c r="AN22" s="1166">
        <v>10</v>
      </c>
      <c r="AO22" s="1160">
        <v>8.7929999999999993</v>
      </c>
    </row>
    <row r="23" spans="2:43" s="673" customFormat="1" ht="15.75">
      <c r="B23" s="24"/>
      <c r="C23" s="25"/>
      <c r="D23" s="25"/>
      <c r="E23" s="4361" t="str">
        <f>Details!C15</f>
        <v>Disclaimer :</v>
      </c>
      <c r="F23" s="4361"/>
      <c r="G23" s="4361"/>
      <c r="H23" s="1396" t="str">
        <f>Details!C16</f>
        <v>The samples were received as Undisturbed Sample / UDS and the validity of the sampling process was not verified by the laboratory.</v>
      </c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706"/>
      <c r="Z23" s="25"/>
      <c r="AA23" s="25"/>
      <c r="AB23" s="25"/>
      <c r="AC23" s="25"/>
      <c r="AD23" s="25"/>
      <c r="AE23" s="25"/>
      <c r="AF23" s="26"/>
      <c r="AI23" s="12" t="s">
        <v>364</v>
      </c>
      <c r="AJ23" s="12"/>
      <c r="AK23" s="12"/>
      <c r="AM23" s="1149"/>
      <c r="AN23" s="1166">
        <v>11</v>
      </c>
      <c r="AO23" s="713">
        <v>8.8040000000000003</v>
      </c>
    </row>
    <row r="24" spans="2:43" ht="19.5" customHeight="1">
      <c r="B24" s="678"/>
      <c r="C24" s="673"/>
      <c r="D24" s="673" t="s">
        <v>361</v>
      </c>
      <c r="E24" s="673"/>
      <c r="F24" s="673"/>
      <c r="G24" s="673"/>
      <c r="H24" s="673"/>
      <c r="I24" s="673"/>
      <c r="J24" s="673"/>
      <c r="K24" s="673"/>
      <c r="L24" s="673"/>
      <c r="M24" s="673"/>
      <c r="N24" s="673"/>
      <c r="O24" s="673"/>
      <c r="P24" s="673"/>
      <c r="Q24" s="673"/>
      <c r="R24" s="673"/>
      <c r="S24" s="673"/>
      <c r="T24" s="673"/>
      <c r="U24" s="673"/>
      <c r="V24" s="673"/>
      <c r="W24" s="673"/>
      <c r="X24" s="673"/>
      <c r="Z24" s="673"/>
      <c r="AA24" s="673"/>
      <c r="AB24" s="673"/>
      <c r="AC24" s="673"/>
      <c r="AD24" s="673"/>
      <c r="AE24" s="673"/>
      <c r="AF24" s="679"/>
      <c r="AH24" s="688"/>
      <c r="AI24" s="683"/>
      <c r="AJ24" s="684"/>
      <c r="AK24" s="685"/>
      <c r="AM24" s="1149"/>
      <c r="AN24" s="1166">
        <v>12</v>
      </c>
      <c r="AO24" s="1161">
        <v>8.9280000000000008</v>
      </c>
    </row>
    <row r="25" spans="2:43" ht="19.5" customHeight="1">
      <c r="B25" s="4109"/>
      <c r="C25" s="4110"/>
      <c r="D25" s="4345" t="s">
        <v>365</v>
      </c>
      <c r="E25" s="4346"/>
      <c r="F25" s="4346"/>
      <c r="G25" s="4346"/>
      <c r="H25" s="4346"/>
      <c r="I25" s="4346"/>
      <c r="J25" s="4346"/>
      <c r="K25" s="4346"/>
      <c r="L25" s="4346"/>
      <c r="M25" s="4346"/>
      <c r="N25" s="4346"/>
      <c r="O25" s="4346"/>
      <c r="P25" s="4346"/>
      <c r="Q25" s="4346"/>
      <c r="R25" s="4347"/>
      <c r="S25" s="4345">
        <v>1</v>
      </c>
      <c r="T25" s="4346"/>
      <c r="U25" s="4347"/>
      <c r="V25" s="4345">
        <v>2</v>
      </c>
      <c r="W25" s="4346"/>
      <c r="X25" s="4347"/>
      <c r="Y25" s="4345">
        <v>3</v>
      </c>
      <c r="Z25" s="4346"/>
      <c r="AA25" s="4347"/>
      <c r="AB25" s="4345">
        <v>4</v>
      </c>
      <c r="AC25" s="4347"/>
      <c r="AD25" s="1171"/>
      <c r="AF25" s="26"/>
      <c r="AH25" s="688"/>
      <c r="AI25" s="691" t="s">
        <v>116</v>
      </c>
      <c r="AJ25" s="691" t="s">
        <v>115</v>
      </c>
      <c r="AK25" s="691"/>
      <c r="AM25" s="1149"/>
      <c r="AN25" s="1166">
        <v>13</v>
      </c>
      <c r="AO25" s="1161">
        <v>8.8770000000000007</v>
      </c>
    </row>
    <row r="26" spans="2:43" ht="19.5" customHeight="1">
      <c r="B26" s="4354"/>
      <c r="C26" s="4355"/>
      <c r="D26" s="4333" t="s">
        <v>366</v>
      </c>
      <c r="E26" s="4334"/>
      <c r="F26" s="4334"/>
      <c r="G26" s="4334"/>
      <c r="H26" s="4334"/>
      <c r="I26" s="4334"/>
      <c r="J26" s="4334"/>
      <c r="K26" s="4334"/>
      <c r="L26" s="4334"/>
      <c r="M26" s="4334"/>
      <c r="N26" s="4334"/>
      <c r="O26" s="4334"/>
      <c r="P26" s="4334"/>
      <c r="Q26" s="4334"/>
      <c r="R26" s="687"/>
      <c r="S26" s="4357"/>
      <c r="T26" s="4358"/>
      <c r="U26" s="4359"/>
      <c r="V26" s="4357"/>
      <c r="W26" s="4358"/>
      <c r="X26" s="4359"/>
      <c r="Y26" s="4357"/>
      <c r="Z26" s="4358"/>
      <c r="AA26" s="4359"/>
      <c r="AB26" s="4357"/>
      <c r="AC26" s="4359"/>
      <c r="AD26" s="1172"/>
      <c r="AF26" s="26"/>
      <c r="AH26" s="688"/>
      <c r="AI26" s="692">
        <f>Y26</f>
        <v>0</v>
      </c>
      <c r="AJ26" s="693" t="str">
        <f>Y34</f>
        <v/>
      </c>
      <c r="AK26" s="682"/>
      <c r="AM26" s="1149"/>
      <c r="AN26" s="1166">
        <v>14</v>
      </c>
      <c r="AO26" s="1161">
        <v>8.8919999999999995</v>
      </c>
    </row>
    <row r="27" spans="2:43" ht="19.5" customHeight="1">
      <c r="B27" s="686"/>
      <c r="C27" s="677"/>
      <c r="D27" s="4333" t="s">
        <v>367</v>
      </c>
      <c r="E27" s="4334"/>
      <c r="F27" s="4334"/>
      <c r="G27" s="4334"/>
      <c r="H27" s="4334"/>
      <c r="I27" s="4334"/>
      <c r="J27" s="4334"/>
      <c r="K27" s="4334"/>
      <c r="L27" s="4334"/>
      <c r="M27" s="4334"/>
      <c r="N27" s="4334"/>
      <c r="O27" s="4334"/>
      <c r="P27" s="4334"/>
      <c r="Q27" s="4334"/>
      <c r="R27" s="687"/>
      <c r="S27" s="4345"/>
      <c r="T27" s="4346"/>
      <c r="U27" s="4347"/>
      <c r="V27" s="4345"/>
      <c r="W27" s="4346"/>
      <c r="X27" s="4347"/>
      <c r="Y27" s="4345"/>
      <c r="Z27" s="4346"/>
      <c r="AA27" s="4347"/>
      <c r="AB27" s="4345"/>
      <c r="AC27" s="4347"/>
      <c r="AD27" s="1171"/>
      <c r="AF27" s="26"/>
      <c r="AH27" s="688"/>
      <c r="AI27" s="692">
        <f>V26</f>
        <v>0</v>
      </c>
      <c r="AJ27" s="693" t="str">
        <f>V34</f>
        <v/>
      </c>
      <c r="AK27" s="682"/>
      <c r="AL27" s="1149"/>
      <c r="AM27" s="1149"/>
      <c r="AN27" s="1166">
        <v>15</v>
      </c>
      <c r="AO27" s="1161">
        <v>8.9930000000000003</v>
      </c>
    </row>
    <row r="28" spans="2:43" ht="19.5" customHeight="1">
      <c r="B28" s="4354"/>
      <c r="C28" s="4355"/>
      <c r="D28" s="4333" t="s">
        <v>368</v>
      </c>
      <c r="E28" s="4334"/>
      <c r="F28" s="4334"/>
      <c r="G28" s="4334"/>
      <c r="H28" s="4334"/>
      <c r="I28" s="4334"/>
      <c r="J28" s="4334"/>
      <c r="K28" s="4334"/>
      <c r="L28" s="4334"/>
      <c r="M28" s="4334"/>
      <c r="N28" s="4334"/>
      <c r="O28" s="4334"/>
      <c r="P28" s="4334"/>
      <c r="Q28" s="4334"/>
      <c r="R28" s="687" t="s">
        <v>369</v>
      </c>
      <c r="S28" s="4335" t="str">
        <f>IFERROR(VLOOKUP(S27,$AN$11:$AO$212,2,0),"")</f>
        <v/>
      </c>
      <c r="T28" s="4336"/>
      <c r="U28" s="4337"/>
      <c r="V28" s="4335" t="str">
        <f>IFERROR(VLOOKUP(V27,$AN$11:$AO$212,2,0),"")</f>
        <v/>
      </c>
      <c r="W28" s="4336"/>
      <c r="X28" s="4337"/>
      <c r="Y28" s="4335" t="str">
        <f>IFERROR(VLOOKUP(Y27,$AN$9:$AO$212,2,0),"")</f>
        <v/>
      </c>
      <c r="Z28" s="4336"/>
      <c r="AA28" s="4337"/>
      <c r="AB28" s="4335" t="str">
        <f>IFERROR(VLOOKUP(AB27,$AN$9:$AO$212,2,0),"")</f>
        <v/>
      </c>
      <c r="AC28" s="4337"/>
      <c r="AD28" s="773"/>
      <c r="AF28" s="26"/>
      <c r="AH28" s="688"/>
      <c r="AL28" s="1149"/>
      <c r="AM28" s="1149"/>
      <c r="AN28" s="1166">
        <v>16</v>
      </c>
      <c r="AO28" s="1161">
        <v>8.9090000000000007</v>
      </c>
    </row>
    <row r="29" spans="2:43" ht="19.5" customHeight="1">
      <c r="B29" s="4354"/>
      <c r="C29" s="4355"/>
      <c r="D29" s="4333" t="s">
        <v>370</v>
      </c>
      <c r="E29" s="4334"/>
      <c r="F29" s="4334"/>
      <c r="G29" s="4334"/>
      <c r="H29" s="4334"/>
      <c r="I29" s="4334"/>
      <c r="J29" s="4334"/>
      <c r="K29" s="4334"/>
      <c r="L29" s="4334"/>
      <c r="M29" s="4334"/>
      <c r="N29" s="4334"/>
      <c r="O29" s="4334"/>
      <c r="P29" s="4334"/>
      <c r="Q29" s="4334"/>
      <c r="R29" s="687" t="s">
        <v>369</v>
      </c>
      <c r="S29" s="4335"/>
      <c r="T29" s="4336"/>
      <c r="U29" s="4337"/>
      <c r="V29" s="4335"/>
      <c r="W29" s="4336"/>
      <c r="X29" s="4337"/>
      <c r="Y29" s="4335"/>
      <c r="Z29" s="4336"/>
      <c r="AA29" s="4337"/>
      <c r="AB29" s="4335"/>
      <c r="AC29" s="4337"/>
      <c r="AD29" s="773"/>
      <c r="AF29" s="26"/>
      <c r="AH29" s="688"/>
      <c r="AI29" s="694" t="s">
        <v>373</v>
      </c>
      <c r="AJ29" s="695"/>
      <c r="AK29" s="12"/>
      <c r="AL29" s="1149"/>
      <c r="AM29" s="1149"/>
      <c r="AN29" s="1166">
        <v>17</v>
      </c>
      <c r="AO29" s="1161">
        <v>9.0489999999999995</v>
      </c>
    </row>
    <row r="30" spans="2:43" ht="19.5" customHeight="1">
      <c r="B30" s="4354"/>
      <c r="C30" s="4355"/>
      <c r="D30" s="4333" t="s">
        <v>371</v>
      </c>
      <c r="E30" s="4334"/>
      <c r="F30" s="4334"/>
      <c r="G30" s="4334"/>
      <c r="H30" s="4334"/>
      <c r="I30" s="4334"/>
      <c r="J30" s="4334"/>
      <c r="K30" s="4334"/>
      <c r="L30" s="4334"/>
      <c r="M30" s="4334"/>
      <c r="N30" s="4334"/>
      <c r="O30" s="4334"/>
      <c r="P30" s="4334"/>
      <c r="Q30" s="4334"/>
      <c r="R30" s="687" t="s">
        <v>369</v>
      </c>
      <c r="S30" s="4335"/>
      <c r="T30" s="4336"/>
      <c r="U30" s="4337"/>
      <c r="V30" s="4335"/>
      <c r="W30" s="4336"/>
      <c r="X30" s="4337"/>
      <c r="Y30" s="4335"/>
      <c r="Z30" s="4336"/>
      <c r="AA30" s="4337"/>
      <c r="AB30" s="4335"/>
      <c r="AC30" s="4337"/>
      <c r="AD30" s="773"/>
      <c r="AF30" s="26"/>
      <c r="AI30" s="696" t="str" cm="1">
        <f t="array" ref="AI30">IF(OR(AI26="",AI27="",AJ26="",AJ27=""),"NP",TREND(AJ26:AJ27,AI26:AI27,25))</f>
        <v>NP</v>
      </c>
      <c r="AJ30" s="697" t="s">
        <v>1</v>
      </c>
      <c r="AK30" s="12"/>
      <c r="AL30" s="1149"/>
      <c r="AM30" s="1149"/>
      <c r="AN30" s="1166">
        <v>18</v>
      </c>
      <c r="AO30" s="1161">
        <v>8.9339999999999993</v>
      </c>
    </row>
    <row r="31" spans="2:43" ht="19.5" customHeight="1">
      <c r="B31" s="4354"/>
      <c r="C31" s="4355"/>
      <c r="D31" s="4333" t="s">
        <v>372</v>
      </c>
      <c r="E31" s="4334"/>
      <c r="F31" s="4334"/>
      <c r="G31" s="4334"/>
      <c r="H31" s="4334"/>
      <c r="I31" s="4334"/>
      <c r="J31" s="4334"/>
      <c r="K31" s="4334"/>
      <c r="L31" s="4334"/>
      <c r="M31" s="4334"/>
      <c r="N31" s="4334"/>
      <c r="O31" s="4334"/>
      <c r="P31" s="4334"/>
      <c r="Q31" s="4334"/>
      <c r="R31" s="687" t="s">
        <v>369</v>
      </c>
      <c r="S31" s="4335" t="str">
        <f>IF(OR(S28="",S29=""),"",(S29-S28))</f>
        <v/>
      </c>
      <c r="T31" s="4336"/>
      <c r="U31" s="4337"/>
      <c r="V31" s="4335" t="str">
        <f>IF(OR(V28="",V29=""),"",(V29-V28))</f>
        <v/>
      </c>
      <c r="W31" s="4336"/>
      <c r="X31" s="4337"/>
      <c r="Y31" s="4335" t="str">
        <f>IF(OR(Y28="",Y29=""),"",(Y29-Y28))</f>
        <v/>
      </c>
      <c r="Z31" s="4336"/>
      <c r="AA31" s="4337"/>
      <c r="AB31" s="4335" t="str">
        <f>IF(OR(AB28="",AB29=""),"",(AB29-AB28))</f>
        <v/>
      </c>
      <c r="AC31" s="4337"/>
      <c r="AD31" s="773"/>
      <c r="AF31" s="26"/>
      <c r="AK31" s="12"/>
      <c r="AL31" s="1149"/>
      <c r="AM31" s="1149"/>
      <c r="AN31" s="1166">
        <v>19</v>
      </c>
      <c r="AO31" s="1161">
        <v>8.9610000000000003</v>
      </c>
    </row>
    <row r="32" spans="2:43" ht="19.5" customHeight="1">
      <c r="B32" s="4354"/>
      <c r="C32" s="4355"/>
      <c r="D32" s="4333" t="s">
        <v>374</v>
      </c>
      <c r="E32" s="4334"/>
      <c r="F32" s="4334"/>
      <c r="G32" s="4334"/>
      <c r="H32" s="4334"/>
      <c r="I32" s="4334"/>
      <c r="J32" s="4334"/>
      <c r="K32" s="4334"/>
      <c r="L32" s="4334"/>
      <c r="M32" s="4334"/>
      <c r="N32" s="4334"/>
      <c r="O32" s="4334"/>
      <c r="P32" s="4334"/>
      <c r="Q32" s="4334"/>
      <c r="R32" s="687" t="s">
        <v>369</v>
      </c>
      <c r="S32" s="4335" t="str">
        <f>IF(OR(S28="",S30=""),"",(S30-S28))</f>
        <v/>
      </c>
      <c r="T32" s="4336"/>
      <c r="U32" s="4337"/>
      <c r="V32" s="4335" t="str">
        <f>IF(OR(V28="",V30=""),"",(V30-V28))</f>
        <v/>
      </c>
      <c r="W32" s="4336"/>
      <c r="X32" s="4337"/>
      <c r="Y32" s="4335" t="str">
        <f>IF(OR(Y28="",Y30=""),"",(Y30-Y28))</f>
        <v/>
      </c>
      <c r="Z32" s="4336"/>
      <c r="AA32" s="4337"/>
      <c r="AB32" s="4335" t="str">
        <f>IF(OR(AB28="",AB30=""),"",(AB30-AB28))</f>
        <v/>
      </c>
      <c r="AC32" s="4337"/>
      <c r="AD32" s="773"/>
      <c r="AF32" s="26"/>
      <c r="AH32" s="25" t="s">
        <v>323</v>
      </c>
      <c r="AI32" s="1150" t="str">
        <f>AI30</f>
        <v>NP</v>
      </c>
      <c r="AJ32" s="1151"/>
      <c r="AK32" s="1151"/>
      <c r="AL32" s="1151"/>
      <c r="AM32" s="1151"/>
      <c r="AN32" s="1166">
        <v>20</v>
      </c>
      <c r="AO32" s="1162">
        <v>8.7759999999999998</v>
      </c>
      <c r="AP32" s="1151"/>
      <c r="AQ32" s="1151"/>
    </row>
    <row r="33" spans="2:72" ht="19.5" customHeight="1">
      <c r="B33" s="4354"/>
      <c r="C33" s="4355"/>
      <c r="D33" s="4333" t="s">
        <v>375</v>
      </c>
      <c r="E33" s="4334"/>
      <c r="F33" s="4334"/>
      <c r="G33" s="4334"/>
      <c r="H33" s="4334"/>
      <c r="I33" s="4334"/>
      <c r="J33" s="4334"/>
      <c r="K33" s="4334"/>
      <c r="L33" s="4334"/>
      <c r="M33" s="4334"/>
      <c r="N33" s="4334"/>
      <c r="O33" s="4334"/>
      <c r="P33" s="4334"/>
      <c r="Q33" s="4334"/>
      <c r="R33" s="687" t="s">
        <v>369</v>
      </c>
      <c r="S33" s="4335" t="str">
        <f>IF(OR(S29="",S30=""),"",S29-S30)</f>
        <v/>
      </c>
      <c r="T33" s="4336"/>
      <c r="U33" s="4337"/>
      <c r="V33" s="4335" t="str">
        <f>IF(OR(V29="",V30=""),"",V29-V30)</f>
        <v/>
      </c>
      <c r="W33" s="4336"/>
      <c r="X33" s="4337"/>
      <c r="Y33" s="4335" t="str">
        <f>IF(OR(Y29="",Y30=""),"",Y29-Y30)</f>
        <v/>
      </c>
      <c r="Z33" s="4336"/>
      <c r="AA33" s="4337"/>
      <c r="AB33" s="4335" t="str">
        <f>IF(OR(AB29="",AB30=""),"",AB29-AB30)</f>
        <v/>
      </c>
      <c r="AC33" s="4337"/>
      <c r="AD33" s="773"/>
      <c r="AF33" s="26"/>
      <c r="AH33" s="25" t="s">
        <v>326</v>
      </c>
      <c r="AI33" s="1150" t="str">
        <f>AB53</f>
        <v>NP</v>
      </c>
      <c r="AJ33" s="1149"/>
      <c r="AK33" s="1149"/>
      <c r="AL33" s="1149"/>
      <c r="AM33" s="1149"/>
      <c r="AN33" s="1166">
        <v>21</v>
      </c>
      <c r="AO33" s="1163">
        <v>8.9030000000000005</v>
      </c>
    </row>
    <row r="34" spans="2:72" ht="19.5" customHeight="1">
      <c r="B34" s="4354"/>
      <c r="C34" s="4355"/>
      <c r="D34" s="4333" t="s">
        <v>376</v>
      </c>
      <c r="E34" s="4334"/>
      <c r="F34" s="4334"/>
      <c r="G34" s="4334"/>
      <c r="H34" s="4334"/>
      <c r="I34" s="4334"/>
      <c r="J34" s="4334"/>
      <c r="K34" s="4334"/>
      <c r="L34" s="4334"/>
      <c r="M34" s="4334"/>
      <c r="N34" s="4334"/>
      <c r="O34" s="4334"/>
      <c r="P34" s="4334"/>
      <c r="Q34" s="4334"/>
      <c r="R34" s="687" t="s">
        <v>164</v>
      </c>
      <c r="S34" s="4335" t="str">
        <f>IF(OR(S32="",S33=""),"",S33/S32*100)</f>
        <v/>
      </c>
      <c r="T34" s="4336"/>
      <c r="U34" s="4337"/>
      <c r="V34" s="4335" t="str">
        <f>IF(OR(V32="",V33=""),"",V33/V32*100)</f>
        <v/>
      </c>
      <c r="W34" s="4336"/>
      <c r="X34" s="4337"/>
      <c r="Y34" s="4335" t="str">
        <f>IF(OR(Y32="",Y33=""),"",Y33/Y32*100)</f>
        <v/>
      </c>
      <c r="Z34" s="4336"/>
      <c r="AA34" s="4337"/>
      <c r="AB34" s="4335" t="str">
        <f>IF(OR(AB32="",AB33=""),"",AB33/AB32*100)</f>
        <v/>
      </c>
      <c r="AC34" s="4337"/>
      <c r="AD34" s="773"/>
      <c r="AF34" s="26"/>
      <c r="AH34" s="25" t="s">
        <v>329</v>
      </c>
      <c r="AI34" s="1150" t="str">
        <f>AD53</f>
        <v>NP</v>
      </c>
      <c r="AJ34" s="1149"/>
      <c r="AM34" s="1149"/>
      <c r="AN34" s="1166">
        <v>22</v>
      </c>
      <c r="AO34" s="1163">
        <v>8.843</v>
      </c>
    </row>
    <row r="35" spans="2:72" ht="15">
      <c r="B35" s="24"/>
      <c r="AF35" s="26"/>
      <c r="AJ35" s="1149"/>
      <c r="AM35" s="1149"/>
      <c r="AN35" s="1166">
        <v>23</v>
      </c>
      <c r="AO35" s="1163">
        <v>8.84</v>
      </c>
    </row>
    <row r="36" spans="2:72" ht="15">
      <c r="B36" s="24"/>
      <c r="AF36" s="26"/>
      <c r="AI36" s="732" t="s">
        <v>323</v>
      </c>
      <c r="AJ36" s="732" t="s">
        <v>378</v>
      </c>
      <c r="AK36" s="732" t="s">
        <v>381</v>
      </c>
      <c r="AL36" s="1149"/>
      <c r="AM36" s="1149"/>
      <c r="AN36" s="1166">
        <v>24</v>
      </c>
      <c r="AO36" s="1163">
        <v>9.01</v>
      </c>
      <c r="AQ36" s="1151"/>
      <c r="AR36" s="1151"/>
      <c r="AS36" s="1151"/>
      <c r="AT36" s="698"/>
      <c r="AU36" s="698"/>
      <c r="AV36" s="698"/>
      <c r="AW36" s="698"/>
      <c r="AX36" s="698"/>
      <c r="AY36" s="698"/>
      <c r="AZ36" s="698"/>
      <c r="BA36" s="698"/>
      <c r="BB36" s="698"/>
      <c r="BC36" s="698"/>
      <c r="BD36" s="698"/>
      <c r="BE36" s="698"/>
      <c r="BF36" s="698"/>
      <c r="BG36" s="698"/>
      <c r="BH36" s="698"/>
      <c r="BI36" s="698"/>
      <c r="BJ36" s="698"/>
      <c r="BK36" s="698"/>
      <c r="BL36" s="698"/>
      <c r="BM36" s="698"/>
      <c r="BN36" s="698"/>
      <c r="BO36" s="698"/>
      <c r="BP36" s="4356"/>
      <c r="BQ36" s="4356"/>
      <c r="BR36" s="4356"/>
      <c r="BS36" s="4356"/>
      <c r="BT36" s="4356"/>
    </row>
    <row r="37" spans="2:72" ht="15">
      <c r="B37" s="24"/>
      <c r="AF37" s="26"/>
      <c r="AI37" s="732">
        <v>0</v>
      </c>
      <c r="AJ37" s="732"/>
      <c r="AK37" s="732"/>
      <c r="AL37" s="1152"/>
      <c r="AM37" s="1152"/>
      <c r="AN37" s="1166">
        <v>25</v>
      </c>
      <c r="AO37" s="1163">
        <v>8.8119999999999994</v>
      </c>
      <c r="AQ37" s="1151"/>
      <c r="AR37" s="1151"/>
      <c r="AS37" s="1151"/>
      <c r="AT37" s="698"/>
      <c r="AU37" s="698"/>
      <c r="AV37" s="698"/>
      <c r="AW37" s="698"/>
      <c r="AX37" s="698"/>
      <c r="AY37" s="698"/>
      <c r="AZ37" s="698"/>
      <c r="BA37" s="698"/>
      <c r="BB37" s="698"/>
      <c r="BC37" s="698"/>
      <c r="BD37" s="698"/>
      <c r="BE37" s="698"/>
      <c r="BF37" s="698"/>
      <c r="BG37" s="698"/>
      <c r="BH37" s="698"/>
      <c r="BI37" s="698"/>
      <c r="BJ37" s="698"/>
      <c r="BK37" s="698"/>
      <c r="BL37" s="698"/>
      <c r="BM37" s="698"/>
      <c r="BN37" s="698"/>
      <c r="BO37" s="698"/>
      <c r="BP37" s="4356"/>
      <c r="BQ37" s="4356"/>
      <c r="BR37" s="4356"/>
      <c r="BS37" s="4356"/>
      <c r="BT37" s="4356"/>
    </row>
    <row r="38" spans="2:72" ht="15">
      <c r="B38" s="24"/>
      <c r="AF38" s="26"/>
      <c r="AI38" s="732">
        <v>8</v>
      </c>
      <c r="AJ38" s="732"/>
      <c r="AK38" s="732">
        <v>0</v>
      </c>
      <c r="AL38" s="1153"/>
      <c r="AM38" s="1153"/>
      <c r="AN38" s="1166">
        <v>26</v>
      </c>
      <c r="AO38" s="1163">
        <v>8.8460000000000001</v>
      </c>
    </row>
    <row r="39" spans="2:72" ht="15">
      <c r="B39" s="24"/>
      <c r="AF39" s="26"/>
      <c r="AI39" s="732">
        <v>20</v>
      </c>
      <c r="AJ39" s="732">
        <v>0</v>
      </c>
      <c r="AK39" s="732">
        <v>10.8</v>
      </c>
      <c r="AL39" s="1153"/>
      <c r="AM39" s="1153"/>
      <c r="AN39" s="1166">
        <v>27</v>
      </c>
      <c r="AO39" s="1163">
        <v>8.9139999999999997</v>
      </c>
    </row>
    <row r="40" spans="2:72" ht="15">
      <c r="B40" s="24"/>
      <c r="AF40" s="26"/>
      <c r="AH40" s="1154"/>
      <c r="AI40" s="732">
        <v>30</v>
      </c>
      <c r="AJ40" s="732">
        <v>7.3</v>
      </c>
      <c r="AK40" s="732">
        <v>19.8</v>
      </c>
      <c r="AL40" s="1154"/>
      <c r="AM40" s="1154"/>
      <c r="AN40" s="1166">
        <v>28</v>
      </c>
      <c r="AO40" s="1162">
        <v>9.9</v>
      </c>
      <c r="AP40" s="1154"/>
      <c r="AQ40" s="1154"/>
    </row>
    <row r="41" spans="2:72" ht="15">
      <c r="B41" s="24"/>
      <c r="AF41" s="26"/>
      <c r="AH41" s="1151"/>
      <c r="AI41" s="732">
        <v>40</v>
      </c>
      <c r="AJ41" s="732">
        <v>14.6</v>
      </c>
      <c r="AK41" s="732">
        <v>28.8</v>
      </c>
      <c r="AL41" s="1151"/>
      <c r="AM41" s="1151"/>
      <c r="AN41" s="1166">
        <v>29</v>
      </c>
      <c r="AO41" s="1162">
        <v>8.9</v>
      </c>
      <c r="AP41" s="1151"/>
      <c r="AQ41" s="1151"/>
    </row>
    <row r="42" spans="2:72" ht="15">
      <c r="B42" s="24"/>
      <c r="AF42" s="26"/>
      <c r="AH42" s="1151"/>
      <c r="AI42" s="732">
        <v>50</v>
      </c>
      <c r="AJ42" s="732">
        <v>21.9</v>
      </c>
      <c r="AK42" s="732">
        <v>37.800000000000004</v>
      </c>
      <c r="AL42" s="1151"/>
      <c r="AM42" s="1151"/>
      <c r="AN42" s="1166">
        <v>30</v>
      </c>
      <c r="AO42" s="1162">
        <v>8.8539999999999992</v>
      </c>
      <c r="AP42" s="1151"/>
      <c r="AQ42" s="1151"/>
    </row>
    <row r="43" spans="2:72" ht="15">
      <c r="B43" s="24"/>
      <c r="AF43" s="26"/>
      <c r="AH43" s="1155"/>
      <c r="AI43" s="732">
        <v>60</v>
      </c>
      <c r="AJ43" s="732">
        <v>29.2</v>
      </c>
      <c r="AK43" s="732">
        <v>46.800000000000004</v>
      </c>
      <c r="AL43" s="1155"/>
      <c r="AM43" s="1155"/>
      <c r="AN43" s="1166">
        <v>31</v>
      </c>
      <c r="AO43" s="1164">
        <v>8.8149999999999995</v>
      </c>
      <c r="AP43" s="1155"/>
      <c r="AQ43" s="1155"/>
    </row>
    <row r="44" spans="2:72" ht="15">
      <c r="B44" s="24"/>
      <c r="J44" s="25" t="s">
        <v>377</v>
      </c>
      <c r="AF44" s="26"/>
      <c r="AI44" s="732">
        <v>70</v>
      </c>
      <c r="AJ44" s="732">
        <v>36.5</v>
      </c>
      <c r="AK44" s="732">
        <v>55.800000000000004</v>
      </c>
      <c r="AL44" s="1149"/>
      <c r="AM44" s="1153"/>
      <c r="AN44" s="1166">
        <v>32</v>
      </c>
      <c r="AO44" s="1163">
        <v>8.9849999999999994</v>
      </c>
    </row>
    <row r="45" spans="2:72" ht="15">
      <c r="B45" s="24"/>
      <c r="AF45" s="26"/>
      <c r="AI45" s="732">
        <v>80</v>
      </c>
      <c r="AJ45" s="732">
        <v>43.8</v>
      </c>
      <c r="AK45" s="732">
        <v>64.8</v>
      </c>
      <c r="AL45" s="1149"/>
      <c r="AM45" s="1149"/>
      <c r="AN45" s="1166">
        <v>33</v>
      </c>
      <c r="AO45" s="1163">
        <v>8.8970000000000002</v>
      </c>
    </row>
    <row r="46" spans="2:72" ht="15">
      <c r="B46" s="24"/>
      <c r="AF46" s="26"/>
      <c r="AI46" s="732">
        <v>90</v>
      </c>
      <c r="AJ46" s="732">
        <v>51.1</v>
      </c>
      <c r="AK46" s="732">
        <v>73.8</v>
      </c>
      <c r="AL46" s="1149"/>
      <c r="AM46" s="1149"/>
      <c r="AN46" s="1166">
        <v>34</v>
      </c>
      <c r="AO46" s="1163">
        <v>8.91</v>
      </c>
    </row>
    <row r="47" spans="2:72" ht="15">
      <c r="B47" s="24"/>
      <c r="AF47" s="26"/>
      <c r="AI47" s="732">
        <v>100</v>
      </c>
      <c r="AJ47" s="732">
        <v>58.4</v>
      </c>
      <c r="AK47" s="732">
        <v>82.8</v>
      </c>
      <c r="AL47" s="1149"/>
      <c r="AM47" s="1149"/>
      <c r="AN47" s="1166">
        <v>35</v>
      </c>
      <c r="AO47" s="1163">
        <v>8.7249999999999996</v>
      </c>
    </row>
    <row r="48" spans="2:72" ht="3.75" customHeight="1">
      <c r="B48" s="24"/>
      <c r="AF48" s="26"/>
      <c r="AN48" s="1166">
        <v>36</v>
      </c>
      <c r="AO48" s="1161">
        <v>8.7149999999999999</v>
      </c>
    </row>
    <row r="49" spans="2:64" ht="15.75">
      <c r="B49" s="24"/>
      <c r="AF49" s="26"/>
      <c r="AN49" s="1166">
        <v>37</v>
      </c>
      <c r="AO49" s="1165">
        <v>8.7520000000000007</v>
      </c>
    </row>
    <row r="50" spans="2:64" ht="15.75">
      <c r="B50" s="24"/>
      <c r="D50" s="25" t="s">
        <v>380</v>
      </c>
      <c r="R50" s="4344"/>
      <c r="S50" s="4344"/>
      <c r="T50" s="4344"/>
      <c r="U50" s="4344"/>
      <c r="V50" s="4344"/>
      <c r="W50" s="4344"/>
      <c r="AF50" s="26"/>
      <c r="AI50" s="25" t="s">
        <v>378</v>
      </c>
      <c r="AJ50" s="25" t="s">
        <v>379</v>
      </c>
      <c r="AN50" s="1166">
        <v>38</v>
      </c>
      <c r="AO50" s="1165">
        <v>8.73</v>
      </c>
    </row>
    <row r="51" spans="2:64" ht="19.5" customHeight="1">
      <c r="B51" s="24"/>
      <c r="D51" s="4345" t="s">
        <v>367</v>
      </c>
      <c r="E51" s="4346"/>
      <c r="F51" s="4346"/>
      <c r="G51" s="4346"/>
      <c r="H51" s="4346"/>
      <c r="I51" s="4346"/>
      <c r="J51" s="4346"/>
      <c r="K51" s="4346"/>
      <c r="L51" s="4346"/>
      <c r="M51" s="4346"/>
      <c r="N51" s="4346"/>
      <c r="O51" s="4346"/>
      <c r="P51" s="4346"/>
      <c r="Q51" s="4347"/>
      <c r="R51" s="4345"/>
      <c r="S51" s="4346"/>
      <c r="T51" s="4347"/>
      <c r="U51" s="4345"/>
      <c r="V51" s="4346"/>
      <c r="W51" s="4347"/>
      <c r="Y51" s="4348" t="s">
        <v>323</v>
      </c>
      <c r="Z51" s="4350"/>
      <c r="AA51" s="4349"/>
      <c r="AB51" s="4348" t="s">
        <v>326</v>
      </c>
      <c r="AC51" s="4349"/>
      <c r="AD51" s="1118" t="s">
        <v>329</v>
      </c>
      <c r="AF51" s="26"/>
      <c r="AH51" s="688"/>
      <c r="AI51" s="25" t="s">
        <v>381</v>
      </c>
      <c r="AJ51" s="25" t="s">
        <v>382</v>
      </c>
      <c r="AN51" s="1166">
        <v>39</v>
      </c>
      <c r="AO51" s="1165">
        <v>8.8610000000000007</v>
      </c>
      <c r="AP51" s="1151"/>
      <c r="AQ51" s="1151"/>
      <c r="AR51" s="1151"/>
      <c r="AS51" s="1151"/>
      <c r="AT51" s="698"/>
      <c r="AU51" s="698"/>
      <c r="AV51" s="698"/>
      <c r="AW51" s="698"/>
      <c r="AX51" s="698"/>
      <c r="AY51" s="698"/>
      <c r="AZ51" s="698"/>
      <c r="BA51" s="698"/>
      <c r="BB51" s="698"/>
      <c r="BC51" s="698"/>
      <c r="BD51" s="698"/>
      <c r="BE51" s="698"/>
      <c r="BF51" s="698"/>
      <c r="BG51" s="698"/>
      <c r="BH51" s="698"/>
      <c r="BI51" s="698"/>
      <c r="BJ51" s="698"/>
      <c r="BK51" s="698"/>
      <c r="BL51" s="698"/>
    </row>
    <row r="52" spans="2:64" ht="19.5" customHeight="1">
      <c r="B52" s="24"/>
      <c r="D52" s="4333" t="s">
        <v>383</v>
      </c>
      <c r="E52" s="4334"/>
      <c r="F52" s="4334"/>
      <c r="G52" s="4334"/>
      <c r="H52" s="4334"/>
      <c r="I52" s="4334"/>
      <c r="J52" s="4334"/>
      <c r="K52" s="4334"/>
      <c r="L52" s="4334"/>
      <c r="M52" s="4334"/>
      <c r="N52" s="4334"/>
      <c r="O52" s="4334"/>
      <c r="P52" s="4334"/>
      <c r="Q52" s="687" t="s">
        <v>369</v>
      </c>
      <c r="R52" s="4335" t="str">
        <f>IFERROR(VLOOKUP(R51,$AN$11:$AO$212,2,0),"")</f>
        <v/>
      </c>
      <c r="S52" s="4336"/>
      <c r="T52" s="4337"/>
      <c r="U52" s="4335" t="str">
        <f>IFERROR(VLOOKUP(U51,$AN$9:$AO$212,2,0),"")</f>
        <v/>
      </c>
      <c r="V52" s="4336"/>
      <c r="W52" s="4337"/>
      <c r="Y52" s="4351" t="s">
        <v>1</v>
      </c>
      <c r="Z52" s="4352"/>
      <c r="AA52" s="4352"/>
      <c r="AB52" s="4352"/>
      <c r="AC52" s="4352"/>
      <c r="AD52" s="4353"/>
      <c r="AF52" s="26"/>
      <c r="AH52" s="688"/>
      <c r="AI52" s="756" t="s">
        <v>391</v>
      </c>
      <c r="AJ52" s="682"/>
      <c r="AN52" s="1166">
        <v>40</v>
      </c>
      <c r="AO52" s="1165">
        <v>8.8580000000000005</v>
      </c>
    </row>
    <row r="53" spans="2:64" ht="19.5" customHeight="1">
      <c r="B53" s="24"/>
      <c r="D53" s="4333" t="s">
        <v>370</v>
      </c>
      <c r="E53" s="4334"/>
      <c r="F53" s="4334"/>
      <c r="G53" s="4334"/>
      <c r="H53" s="4334"/>
      <c r="I53" s="4334"/>
      <c r="J53" s="4334"/>
      <c r="K53" s="4334"/>
      <c r="L53" s="4334"/>
      <c r="M53" s="4334"/>
      <c r="N53" s="4334"/>
      <c r="O53" s="4334"/>
      <c r="P53" s="4334"/>
      <c r="Q53" s="687" t="s">
        <v>369</v>
      </c>
      <c r="R53" s="4335"/>
      <c r="S53" s="4336"/>
      <c r="T53" s="4337"/>
      <c r="U53" s="4335"/>
      <c r="V53" s="4336"/>
      <c r="W53" s="4337"/>
      <c r="Y53" s="4341" t="str">
        <f>AI30</f>
        <v>NP</v>
      </c>
      <c r="Z53" s="4342"/>
      <c r="AA53" s="4343"/>
      <c r="AB53" s="4341" t="str">
        <f>IF(R58="","NP",R58)</f>
        <v>NP</v>
      </c>
      <c r="AC53" s="4343"/>
      <c r="AD53" s="1119" t="str">
        <f>IF(OR(Y53="",AB53=""),"NP",IFERROR(Y53-AB53,"NP"))</f>
        <v>NP</v>
      </c>
      <c r="AF53" s="26"/>
      <c r="AH53" s="688"/>
      <c r="AI53" s="682">
        <v>50</v>
      </c>
      <c r="AJ53" s="682">
        <v>0</v>
      </c>
      <c r="AK53" s="12"/>
      <c r="AL53" s="12"/>
      <c r="AN53" s="1166">
        <v>41</v>
      </c>
      <c r="AO53" s="1165">
        <v>8.7590000000000003</v>
      </c>
    </row>
    <row r="54" spans="2:64" ht="19.5" customHeight="1">
      <c r="B54" s="24"/>
      <c r="D54" s="4333" t="s">
        <v>384</v>
      </c>
      <c r="E54" s="4334"/>
      <c r="F54" s="4334"/>
      <c r="G54" s="4334"/>
      <c r="H54" s="4334"/>
      <c r="I54" s="4334"/>
      <c r="J54" s="4334"/>
      <c r="K54" s="4334"/>
      <c r="L54" s="4334"/>
      <c r="M54" s="4334"/>
      <c r="N54" s="4334"/>
      <c r="O54" s="4334"/>
      <c r="P54" s="4334"/>
      <c r="Q54" s="687" t="s">
        <v>369</v>
      </c>
      <c r="R54" s="4335"/>
      <c r="S54" s="4336"/>
      <c r="T54" s="4337"/>
      <c r="U54" s="4338"/>
      <c r="V54" s="4339"/>
      <c r="W54" s="4340"/>
      <c r="Y54" s="25"/>
      <c r="AF54" s="26"/>
      <c r="AH54" s="688"/>
      <c r="AI54" s="682">
        <v>50</v>
      </c>
      <c r="AJ54" s="682">
        <v>60</v>
      </c>
      <c r="AK54" s="12"/>
      <c r="AL54" s="12"/>
      <c r="AN54" s="1166">
        <v>42</v>
      </c>
      <c r="AO54" s="1165">
        <v>8.8000000000000007</v>
      </c>
    </row>
    <row r="55" spans="2:64" ht="19.5" customHeight="1">
      <c r="B55" s="24"/>
      <c r="D55" s="1142" t="s">
        <v>385</v>
      </c>
      <c r="E55" s="712"/>
      <c r="F55" s="712"/>
      <c r="G55" s="712"/>
      <c r="H55" s="712"/>
      <c r="I55" s="712"/>
      <c r="J55" s="712"/>
      <c r="K55" s="712"/>
      <c r="L55" s="712"/>
      <c r="M55" s="712"/>
      <c r="N55" s="712"/>
      <c r="O55" s="712"/>
      <c r="P55" s="712"/>
      <c r="Q55" s="687" t="s">
        <v>386</v>
      </c>
      <c r="R55" s="4335" t="str">
        <f>IF(OR(R52="",R54=""),"",(R54-R52))</f>
        <v/>
      </c>
      <c r="S55" s="4336"/>
      <c r="T55" s="4337"/>
      <c r="U55" s="4335" t="str">
        <f>IF(OR(U52="",U54=""),"",(U54-U52))</f>
        <v/>
      </c>
      <c r="V55" s="4336"/>
      <c r="W55" s="4337"/>
      <c r="Z55" s="676"/>
      <c r="AA55" s="676"/>
      <c r="AB55" s="676"/>
      <c r="AC55" s="676"/>
      <c r="AD55" s="676"/>
      <c r="AE55" s="676"/>
      <c r="AF55" s="26"/>
      <c r="AK55" s="12"/>
      <c r="AL55" s="12"/>
      <c r="AN55" s="1166">
        <v>43</v>
      </c>
      <c r="AO55" s="1165">
        <v>8.8610000000000007</v>
      </c>
    </row>
    <row r="56" spans="2:64" ht="19.5" customHeight="1">
      <c r="B56" s="24"/>
      <c r="D56" s="4333" t="s">
        <v>387</v>
      </c>
      <c r="E56" s="4334"/>
      <c r="F56" s="4334"/>
      <c r="G56" s="4334"/>
      <c r="H56" s="4334"/>
      <c r="I56" s="4334"/>
      <c r="J56" s="4334"/>
      <c r="K56" s="4334"/>
      <c r="L56" s="4334"/>
      <c r="M56" s="4334"/>
      <c r="N56" s="4334"/>
      <c r="O56" s="4334"/>
      <c r="P56" s="4334"/>
      <c r="Q56" s="687" t="s">
        <v>369</v>
      </c>
      <c r="R56" s="4335" t="str">
        <f>IF(OR(R53="",R54=""),"",(R53-R54))</f>
        <v/>
      </c>
      <c r="S56" s="4336"/>
      <c r="T56" s="4337"/>
      <c r="U56" s="4335" t="str">
        <f>IF(OR(U53="",U54=""),"",(U53-U54))</f>
        <v/>
      </c>
      <c r="V56" s="4336"/>
      <c r="W56" s="4337"/>
      <c r="Y56" s="25"/>
      <c r="AC56" s="1125"/>
      <c r="AD56" s="1125"/>
      <c r="AE56" s="1125"/>
      <c r="AF56" s="26"/>
      <c r="AG56" s="24"/>
      <c r="AH56" s="1125"/>
      <c r="AI56" s="682" t="s">
        <v>392</v>
      </c>
      <c r="AJ56" s="682" t="s">
        <v>393</v>
      </c>
      <c r="AK56" s="682" t="s">
        <v>378</v>
      </c>
      <c r="AL56" s="682" t="s">
        <v>381</v>
      </c>
      <c r="AN56" s="1166">
        <v>44</v>
      </c>
      <c r="AO56" s="1165">
        <v>8.8780000000000001</v>
      </c>
    </row>
    <row r="57" spans="2:64" ht="19.5" customHeight="1">
      <c r="B57" s="24"/>
      <c r="D57" s="4333" t="s">
        <v>388</v>
      </c>
      <c r="E57" s="4334"/>
      <c r="F57" s="4334"/>
      <c r="G57" s="4334"/>
      <c r="H57" s="4334"/>
      <c r="I57" s="4334"/>
      <c r="J57" s="4334"/>
      <c r="K57" s="4334"/>
      <c r="L57" s="4334"/>
      <c r="M57" s="4334"/>
      <c r="N57" s="4334"/>
      <c r="O57" s="4334"/>
      <c r="P57" s="4334"/>
      <c r="Q57" s="687" t="s">
        <v>164</v>
      </c>
      <c r="R57" s="4335" t="str">
        <f>IF(OR(R55="",R56=""),"",(R56/R55*100))</f>
        <v/>
      </c>
      <c r="S57" s="4336"/>
      <c r="T57" s="4337"/>
      <c r="U57" s="4335" t="str">
        <f>IF(OR(U55="",U56=""),"",(U56/U55*100))</f>
        <v/>
      </c>
      <c r="V57" s="4336"/>
      <c r="W57" s="4337"/>
      <c r="Y57" s="25"/>
      <c r="AC57" s="673"/>
      <c r="AD57" s="673"/>
      <c r="AE57" s="673"/>
      <c r="AF57" s="26"/>
      <c r="AG57" s="24"/>
      <c r="AH57" s="673"/>
      <c r="AI57" s="682">
        <v>4</v>
      </c>
      <c r="AJ57" s="682">
        <v>4</v>
      </c>
      <c r="AK57" s="682">
        <v>25.479452054794521</v>
      </c>
      <c r="AL57" s="682">
        <v>12.444444444444445</v>
      </c>
      <c r="AN57" s="1166">
        <v>45</v>
      </c>
      <c r="AO57" s="1165">
        <v>8.9410000000000007</v>
      </c>
      <c r="AP57" s="1151"/>
      <c r="AQ57" s="1151"/>
      <c r="AR57" s="1151"/>
      <c r="AS57" s="1151"/>
      <c r="AT57" s="698"/>
      <c r="AU57" s="698"/>
      <c r="AV57" s="698"/>
      <c r="AW57" s="698"/>
      <c r="AX57" s="698"/>
      <c r="AY57" s="698"/>
      <c r="AZ57" s="698"/>
      <c r="BA57" s="698"/>
      <c r="BB57" s="698"/>
    </row>
    <row r="58" spans="2:64" ht="19.5" customHeight="1">
      <c r="B58" s="24"/>
      <c r="D58" s="4333" t="s">
        <v>389</v>
      </c>
      <c r="E58" s="4334"/>
      <c r="F58" s="4334"/>
      <c r="G58" s="4334"/>
      <c r="H58" s="4334"/>
      <c r="I58" s="4334"/>
      <c r="J58" s="4334"/>
      <c r="K58" s="4334"/>
      <c r="L58" s="4334"/>
      <c r="M58" s="4334"/>
      <c r="N58" s="4334"/>
      <c r="O58" s="4334"/>
      <c r="P58" s="4334"/>
      <c r="Q58" s="1143" t="s">
        <v>390</v>
      </c>
      <c r="R58" s="4341" t="str">
        <f>IF(OR(R57="",U57=""),"",AVERAGE(R57:W57))</f>
        <v/>
      </c>
      <c r="S58" s="4342"/>
      <c r="T58" s="4342"/>
      <c r="U58" s="4342"/>
      <c r="V58" s="4342"/>
      <c r="W58" s="4343"/>
      <c r="Y58" s="25"/>
      <c r="Z58" s="1173" t="s">
        <v>795</v>
      </c>
      <c r="AC58" s="1126"/>
      <c r="AD58" s="1126"/>
      <c r="AE58" s="1126"/>
      <c r="AF58" s="26"/>
      <c r="AG58" s="24"/>
      <c r="AH58" s="1126"/>
      <c r="AI58" s="682">
        <v>7</v>
      </c>
      <c r="AJ58" s="682">
        <v>7</v>
      </c>
      <c r="AK58" s="682">
        <v>29.589041095890412</v>
      </c>
      <c r="AL58" s="682">
        <v>15.777777777777779</v>
      </c>
      <c r="AN58" s="1166">
        <v>46</v>
      </c>
      <c r="AO58" s="1165">
        <v>9.01</v>
      </c>
    </row>
    <row r="59" spans="2:64" ht="6" customHeight="1">
      <c r="B59" s="24"/>
      <c r="H59" s="699"/>
      <c r="I59" s="699"/>
      <c r="AF59" s="26"/>
      <c r="AN59" s="1166">
        <v>47</v>
      </c>
      <c r="AO59" s="1165">
        <v>8.8993000000000002</v>
      </c>
    </row>
    <row r="60" spans="2:64" ht="15.75">
      <c r="B60" s="24"/>
      <c r="K60" s="4344"/>
      <c r="L60" s="4344"/>
      <c r="M60" s="4344"/>
      <c r="AF60" s="26"/>
      <c r="AN60" s="1166">
        <v>48</v>
      </c>
      <c r="AO60" s="1165">
        <v>8.7490000000000006</v>
      </c>
    </row>
    <row r="61" spans="2:64" ht="15.75">
      <c r="B61" s="24"/>
      <c r="Z61" s="1796"/>
      <c r="AA61" s="1796"/>
      <c r="AB61" s="1796"/>
      <c r="AC61" s="1796"/>
      <c r="AF61" s="26"/>
      <c r="AI61" s="732">
        <v>0</v>
      </c>
      <c r="AJ61" s="732">
        <v>4</v>
      </c>
      <c r="AM61" s="12"/>
      <c r="AN61" s="1166">
        <v>49</v>
      </c>
      <c r="AO61" s="1165">
        <v>8.8219999999999992</v>
      </c>
    </row>
    <row r="62" spans="2:64" ht="15.75">
      <c r="B62" s="24"/>
      <c r="AF62" s="26"/>
      <c r="AI62" s="732">
        <f>AL57</f>
        <v>12.444444444444445</v>
      </c>
      <c r="AJ62" s="732">
        <v>4</v>
      </c>
      <c r="AK62" s="12"/>
      <c r="AL62" s="12"/>
      <c r="AM62" s="12"/>
      <c r="AN62" s="1166">
        <v>50</v>
      </c>
      <c r="AO62" s="1165">
        <v>8.7810000000000006</v>
      </c>
    </row>
    <row r="63" spans="2:64" ht="15.75">
      <c r="B63" s="24"/>
      <c r="Z63" s="1796"/>
      <c r="AA63" s="1796"/>
      <c r="AB63" s="1796"/>
      <c r="AC63" s="1796"/>
      <c r="AF63" s="26"/>
      <c r="AI63" s="732"/>
      <c r="AJ63" s="732"/>
      <c r="AM63" s="12"/>
      <c r="AN63" s="1166">
        <v>51</v>
      </c>
      <c r="AO63" s="1165">
        <v>8.843</v>
      </c>
    </row>
    <row r="64" spans="2:64" ht="15.75">
      <c r="B64" s="24"/>
      <c r="AF64" s="26"/>
      <c r="AI64" s="732"/>
      <c r="AJ64" s="732"/>
      <c r="AM64" s="12"/>
      <c r="AN64" s="1166">
        <v>52</v>
      </c>
      <c r="AO64" s="1165">
        <v>8.8580000000000005</v>
      </c>
    </row>
    <row r="65" spans="2:41" ht="15.75">
      <c r="B65" s="24"/>
      <c r="Z65" s="1796"/>
      <c r="AA65" s="1796"/>
      <c r="AB65" s="1796"/>
      <c r="AC65" s="1796"/>
      <c r="AF65" s="26"/>
      <c r="AI65" s="732">
        <v>0</v>
      </c>
      <c r="AJ65" s="732">
        <v>7</v>
      </c>
      <c r="AM65" s="12"/>
      <c r="AN65" s="1166">
        <v>53</v>
      </c>
      <c r="AO65" s="1165">
        <v>8.7810000000000006</v>
      </c>
    </row>
    <row r="66" spans="2:41" ht="15.75">
      <c r="B66" s="24"/>
      <c r="AF66" s="26"/>
      <c r="AI66" s="732">
        <f>AL58</f>
        <v>15.777777777777779</v>
      </c>
      <c r="AJ66" s="732">
        <v>7</v>
      </c>
      <c r="AM66" s="12"/>
      <c r="AN66" s="1166">
        <v>54</v>
      </c>
      <c r="AO66" s="1165">
        <v>8.9179999999999993</v>
      </c>
    </row>
    <row r="67" spans="2:41" ht="15.75">
      <c r="B67" s="24"/>
      <c r="Z67" s="1796"/>
      <c r="AA67" s="1796"/>
      <c r="AB67" s="1796"/>
      <c r="AC67" s="1796"/>
      <c r="AF67" s="26"/>
      <c r="AM67" s="12"/>
      <c r="AN67" s="1166">
        <v>55</v>
      </c>
      <c r="AO67" s="1165">
        <v>9.0299999999999994</v>
      </c>
    </row>
    <row r="68" spans="2:41" ht="15.75">
      <c r="B68" s="24"/>
      <c r="AF68" s="26"/>
      <c r="AM68" s="12"/>
      <c r="AN68" s="1166">
        <v>56</v>
      </c>
      <c r="AO68" s="1165">
        <v>8.9239999999999995</v>
      </c>
    </row>
    <row r="69" spans="2:41" ht="15.75">
      <c r="B69" s="24"/>
      <c r="Z69" s="1796"/>
      <c r="AA69" s="1796"/>
      <c r="AB69" s="1796"/>
      <c r="AC69" s="1796"/>
      <c r="AF69" s="26"/>
      <c r="AM69" s="12"/>
      <c r="AN69" s="1166">
        <v>57</v>
      </c>
      <c r="AO69" s="1165">
        <v>9.0109999999999992</v>
      </c>
    </row>
    <row r="70" spans="2:41" ht="15.75">
      <c r="B70" s="24"/>
      <c r="AF70" s="26"/>
      <c r="AI70" s="12"/>
      <c r="AJ70" s="12"/>
      <c r="AK70" s="12"/>
      <c r="AL70" s="12"/>
      <c r="AM70" s="12"/>
      <c r="AN70" s="1166">
        <v>58</v>
      </c>
      <c r="AO70" s="1165">
        <v>8.8539999999999992</v>
      </c>
    </row>
    <row r="71" spans="2:41">
      <c r="B71" s="24"/>
      <c r="AF71" s="26"/>
      <c r="AN71" s="1166">
        <v>59</v>
      </c>
      <c r="AO71" s="1161">
        <v>8.8989999999999991</v>
      </c>
    </row>
    <row r="72" spans="2:41">
      <c r="B72" s="24"/>
      <c r="AF72" s="26"/>
      <c r="AN72" s="1166">
        <v>60</v>
      </c>
      <c r="AO72" s="1161">
        <v>8.8209999999999997</v>
      </c>
    </row>
    <row r="73" spans="2:41">
      <c r="B73" s="24"/>
      <c r="AF73" s="26"/>
      <c r="AN73" s="1166">
        <v>61</v>
      </c>
      <c r="AO73" s="1161">
        <v>8.8450000000000006</v>
      </c>
    </row>
    <row r="74" spans="2:41">
      <c r="B74" s="24"/>
      <c r="AF74" s="26"/>
      <c r="AN74" s="1166">
        <v>62</v>
      </c>
      <c r="AO74" s="1161">
        <v>8.76</v>
      </c>
    </row>
    <row r="75" spans="2:41">
      <c r="B75" s="24"/>
      <c r="AF75" s="26"/>
      <c r="AN75" s="1166">
        <v>63</v>
      </c>
      <c r="AO75" s="1161">
        <v>8.86</v>
      </c>
    </row>
    <row r="76" spans="2:41">
      <c r="B76" s="24"/>
      <c r="AF76" s="26"/>
      <c r="AN76" s="1166">
        <v>64</v>
      </c>
      <c r="AO76" s="1161">
        <v>8.8089999999999993</v>
      </c>
    </row>
    <row r="77" spans="2:41">
      <c r="B77" s="24"/>
      <c r="F77" s="676"/>
      <c r="L77" s="7"/>
      <c r="AF77" s="26"/>
      <c r="AH77" s="1114" t="s">
        <v>530</v>
      </c>
      <c r="AI77" s="813"/>
      <c r="AJ77" s="813"/>
      <c r="AK77" s="813"/>
      <c r="AL77" s="813"/>
      <c r="AN77" s="1166">
        <v>65</v>
      </c>
      <c r="AO77" s="1161">
        <v>8.8840000000000003</v>
      </c>
    </row>
    <row r="78" spans="2:41">
      <c r="B78" s="24"/>
      <c r="AF78" s="26"/>
      <c r="AH78" s="28" t="str">
        <f>CONCATENATE(AH77,AH79)</f>
        <v>Klasifikasi Tanah/Soil Classification (USCS ) :       NP</v>
      </c>
      <c r="AN78" s="1166">
        <v>66</v>
      </c>
      <c r="AO78" s="1161">
        <v>8.923</v>
      </c>
    </row>
    <row r="79" spans="2:41">
      <c r="B79" s="24"/>
      <c r="AF79" s="26"/>
      <c r="AH79" s="1114" t="str">
        <f>IF(OR(Y53="",AB53=""),"NP",
   IFERROR(
      IF(Y53&lt;50,
         IF(AD53 &gt;= 0.73*(Y53-20),"CL","ML"),
         IF(AD53 &gt;= 0.73*(Y53-20),"CH","MH")
      ),
   "NP"))</f>
        <v>NP</v>
      </c>
      <c r="AN79" s="1166">
        <v>67</v>
      </c>
      <c r="AO79" s="1161">
        <v>8.9600000000000009</v>
      </c>
    </row>
    <row r="80" spans="2:41">
      <c r="B80" s="24"/>
      <c r="AF80" s="26"/>
      <c r="AN80" s="1166">
        <v>68</v>
      </c>
      <c r="AO80" s="1161">
        <v>8.9870000000000001</v>
      </c>
    </row>
    <row r="81" spans="2:41">
      <c r="B81" s="24"/>
      <c r="C81" s="4332" t="str">
        <f>AH78</f>
        <v>Klasifikasi Tanah/Soil Classification (USCS ) :       NP</v>
      </c>
      <c r="D81" s="4332"/>
      <c r="E81" s="4332"/>
      <c r="F81" s="4332"/>
      <c r="G81" s="4332"/>
      <c r="H81" s="4332"/>
      <c r="I81" s="4332"/>
      <c r="J81" s="4332"/>
      <c r="K81" s="4332"/>
      <c r="L81" s="4332"/>
      <c r="M81" s="4332"/>
      <c r="N81" s="4332"/>
      <c r="O81" s="4332"/>
      <c r="P81" s="4332"/>
      <c r="Q81" s="4332"/>
      <c r="R81" s="4332"/>
      <c r="S81" s="4332"/>
      <c r="T81" s="4332"/>
      <c r="U81" s="4332"/>
      <c r="V81" s="4332"/>
      <c r="W81" s="4332"/>
      <c r="X81" s="4332"/>
      <c r="Y81" s="4332"/>
      <c r="Z81" s="4332"/>
      <c r="AA81" s="4332"/>
      <c r="AF81" s="26"/>
      <c r="AN81" s="1166">
        <v>69</v>
      </c>
      <c r="AO81" s="1161">
        <v>8.8239999999999998</v>
      </c>
    </row>
    <row r="82" spans="2:41" ht="8.25" customHeight="1">
      <c r="B82" s="700"/>
      <c r="C82" s="701"/>
      <c r="D82" s="701"/>
      <c r="E82" s="701"/>
      <c r="F82" s="701"/>
      <c r="G82" s="701"/>
      <c r="H82" s="701"/>
      <c r="I82" s="701"/>
      <c r="J82" s="701"/>
      <c r="K82" s="701"/>
      <c r="L82" s="701"/>
      <c r="M82" s="701"/>
      <c r="N82" s="701"/>
      <c r="O82" s="701"/>
      <c r="P82" s="701"/>
      <c r="Q82" s="701"/>
      <c r="R82" s="701"/>
      <c r="S82" s="701"/>
      <c r="T82" s="701"/>
      <c r="U82" s="701"/>
      <c r="V82" s="701"/>
      <c r="W82" s="701"/>
      <c r="X82" s="701"/>
      <c r="Y82" s="708"/>
      <c r="Z82" s="701"/>
      <c r="AA82" s="701"/>
      <c r="AB82" s="701"/>
      <c r="AC82" s="701"/>
      <c r="AD82" s="701"/>
      <c r="AE82" s="701"/>
      <c r="AF82" s="702"/>
      <c r="AN82" s="1166">
        <v>70</v>
      </c>
      <c r="AO82" s="1161">
        <v>8.923</v>
      </c>
    </row>
    <row r="83" spans="2:41">
      <c r="AD83" s="677"/>
      <c r="AE83" s="1124"/>
      <c r="AF83" s="1124"/>
      <c r="AN83" s="1166">
        <v>71</v>
      </c>
      <c r="AO83" s="1161">
        <v>8.8940000000000001</v>
      </c>
    </row>
    <row r="84" spans="2:41">
      <c r="AN84" s="1166">
        <v>72</v>
      </c>
      <c r="AO84" s="1161">
        <v>8.8279999999999994</v>
      </c>
    </row>
    <row r="85" spans="2:41">
      <c r="AN85" s="1166">
        <v>73</v>
      </c>
      <c r="AO85" s="1161">
        <v>8.8030000000000008</v>
      </c>
    </row>
    <row r="86" spans="2:41">
      <c r="AN86" s="1166">
        <v>74</v>
      </c>
      <c r="AO86" s="1161">
        <v>8.9489999999999998</v>
      </c>
    </row>
    <row r="87" spans="2:41">
      <c r="AN87" s="1166">
        <v>75</v>
      </c>
      <c r="AO87" s="1161">
        <v>8.8510000000000009</v>
      </c>
    </row>
    <row r="88" spans="2:41">
      <c r="AN88" s="1166">
        <v>76</v>
      </c>
      <c r="AO88" s="1161">
        <v>8.7460000000000004</v>
      </c>
    </row>
    <row r="89" spans="2:41">
      <c r="AN89" s="1166">
        <v>77</v>
      </c>
      <c r="AO89" s="1161">
        <v>8.843</v>
      </c>
    </row>
    <row r="90" spans="2:41">
      <c r="AN90" s="1166">
        <v>78</v>
      </c>
      <c r="AO90" s="1161">
        <v>8.8279999999999994</v>
      </c>
    </row>
    <row r="91" spans="2:41">
      <c r="AN91" s="1166">
        <v>79</v>
      </c>
      <c r="AO91" s="1161">
        <v>8.9149999999999991</v>
      </c>
    </row>
    <row r="92" spans="2:41">
      <c r="AN92" s="1166">
        <v>80</v>
      </c>
      <c r="AO92" s="1161">
        <v>8.8130000000000006</v>
      </c>
    </row>
    <row r="93" spans="2:41">
      <c r="AN93" s="1166">
        <v>81</v>
      </c>
      <c r="AO93" s="1161">
        <v>8.9649999999999999</v>
      </c>
    </row>
    <row r="94" spans="2:41">
      <c r="AN94" s="1166">
        <v>82</v>
      </c>
      <c r="AO94" s="1161">
        <v>8.7970000000000006</v>
      </c>
    </row>
    <row r="95" spans="2:41">
      <c r="AN95" s="1166">
        <v>83</v>
      </c>
      <c r="AO95" s="1161">
        <v>8.9280000000000008</v>
      </c>
    </row>
    <row r="96" spans="2:41">
      <c r="AN96" s="1166">
        <v>84</v>
      </c>
      <c r="AO96" s="1161">
        <v>8.9039999999999999</v>
      </c>
    </row>
    <row r="97" spans="40:41">
      <c r="AN97" s="1166">
        <v>85</v>
      </c>
      <c r="AO97" s="1161">
        <v>8.7690000000000001</v>
      </c>
    </row>
    <row r="98" spans="40:41">
      <c r="AN98" s="1166">
        <v>86</v>
      </c>
      <c r="AO98" s="1161">
        <v>8.8079999999999998</v>
      </c>
    </row>
    <row r="99" spans="40:41">
      <c r="AN99" s="1166">
        <v>87</v>
      </c>
      <c r="AO99" s="1161">
        <v>8.8320000000000007</v>
      </c>
    </row>
    <row r="100" spans="40:41">
      <c r="AN100" s="1166">
        <v>88</v>
      </c>
      <c r="AO100" s="1161">
        <v>8.9280000000000008</v>
      </c>
    </row>
    <row r="101" spans="40:41">
      <c r="AN101" s="1166">
        <v>89</v>
      </c>
      <c r="AO101" s="1161">
        <v>9.0719999999999992</v>
      </c>
    </row>
    <row r="102" spans="40:41">
      <c r="AN102" s="1166">
        <v>90</v>
      </c>
      <c r="AO102" s="1161">
        <v>8.9060000000000006</v>
      </c>
    </row>
    <row r="103" spans="40:41">
      <c r="AN103" s="1166">
        <v>91</v>
      </c>
      <c r="AO103" s="1161">
        <v>8.8390000000000004</v>
      </c>
    </row>
    <row r="104" spans="40:41">
      <c r="AN104" s="1166">
        <v>92</v>
      </c>
      <c r="AO104" s="1161">
        <v>8.8219999999999992</v>
      </c>
    </row>
    <row r="105" spans="40:41">
      <c r="AN105" s="1166">
        <v>93</v>
      </c>
      <c r="AO105" s="1161">
        <v>8.8539999999999992</v>
      </c>
    </row>
    <row r="106" spans="40:41">
      <c r="AN106" s="1166">
        <v>94</v>
      </c>
      <c r="AO106" s="1161">
        <v>8.8260000000000005</v>
      </c>
    </row>
    <row r="107" spans="40:41">
      <c r="AN107" s="1166">
        <v>95</v>
      </c>
      <c r="AO107" s="1161">
        <v>8.8789999999999996</v>
      </c>
    </row>
    <row r="108" spans="40:41">
      <c r="AN108" s="1166">
        <v>96</v>
      </c>
      <c r="AO108" s="1161">
        <v>11.742000000000001</v>
      </c>
    </row>
    <row r="109" spans="40:41">
      <c r="AN109" s="1166">
        <v>97</v>
      </c>
      <c r="AO109" s="1161">
        <v>11.648</v>
      </c>
    </row>
    <row r="110" spans="40:41">
      <c r="AN110" s="1166">
        <v>98</v>
      </c>
      <c r="AO110" s="1161">
        <v>11.9</v>
      </c>
    </row>
    <row r="111" spans="40:41">
      <c r="AN111" s="1166">
        <v>99</v>
      </c>
      <c r="AO111" s="1161">
        <v>11.936</v>
      </c>
    </row>
    <row r="112" spans="40:41">
      <c r="AN112" s="1166">
        <v>100</v>
      </c>
      <c r="AO112" s="1161">
        <v>11.704000000000001</v>
      </c>
    </row>
    <row r="113" spans="40:41">
      <c r="AN113" s="1166">
        <v>101</v>
      </c>
      <c r="AO113" s="1161">
        <v>11.682</v>
      </c>
    </row>
    <row r="114" spans="40:41">
      <c r="AN114" s="1166">
        <v>102</v>
      </c>
      <c r="AO114" s="1161">
        <v>11.487</v>
      </c>
    </row>
    <row r="115" spans="40:41">
      <c r="AN115" s="1166">
        <v>103</v>
      </c>
      <c r="AO115" s="1161">
        <v>11.670999999999999</v>
      </c>
    </row>
    <row r="116" spans="40:41">
      <c r="AN116" s="1166">
        <v>104</v>
      </c>
      <c r="AO116" s="1161">
        <v>11.765000000000001</v>
      </c>
    </row>
    <row r="117" spans="40:41">
      <c r="AN117" s="1166">
        <v>105</v>
      </c>
      <c r="AO117" s="1161">
        <v>11.739000000000001</v>
      </c>
    </row>
    <row r="118" spans="40:41">
      <c r="AN118" s="1166">
        <v>106</v>
      </c>
      <c r="AO118" s="1161">
        <v>11.691000000000001</v>
      </c>
    </row>
    <row r="119" spans="40:41">
      <c r="AN119" s="1166">
        <v>107</v>
      </c>
      <c r="AO119" s="1161">
        <v>11.662000000000001</v>
      </c>
    </row>
    <row r="120" spans="40:41">
      <c r="AN120" s="1166">
        <v>108</v>
      </c>
      <c r="AO120" s="1161">
        <v>11.763999999999999</v>
      </c>
    </row>
    <row r="121" spans="40:41">
      <c r="AN121" s="1166">
        <v>109</v>
      </c>
      <c r="AO121" s="1161">
        <v>11.73</v>
      </c>
    </row>
    <row r="122" spans="40:41">
      <c r="AN122" s="1166">
        <v>110</v>
      </c>
      <c r="AO122" s="1161">
        <v>11.663</v>
      </c>
    </row>
    <row r="123" spans="40:41">
      <c r="AN123" s="1166">
        <v>111</v>
      </c>
      <c r="AO123" s="1161">
        <v>11.741</v>
      </c>
    </row>
    <row r="124" spans="40:41">
      <c r="AN124" s="1166">
        <v>112</v>
      </c>
      <c r="AO124" s="1161">
        <v>11.68</v>
      </c>
    </row>
    <row r="125" spans="40:41">
      <c r="AN125" s="1166">
        <v>113</v>
      </c>
      <c r="AO125" s="1161">
        <v>8.9589999999999996</v>
      </c>
    </row>
    <row r="126" spans="40:41">
      <c r="AN126" s="1166">
        <v>114</v>
      </c>
      <c r="AO126" s="1161">
        <v>8.8190000000000008</v>
      </c>
    </row>
    <row r="127" spans="40:41">
      <c r="AN127" s="1453">
        <v>115</v>
      </c>
      <c r="AO127" s="1161">
        <v>11.619</v>
      </c>
    </row>
    <row r="128" spans="40:41">
      <c r="AN128" s="1453">
        <v>116</v>
      </c>
      <c r="AO128" s="1161">
        <v>8.8699999999999992</v>
      </c>
    </row>
    <row r="129" spans="40:41">
      <c r="AN129" s="1453">
        <v>117</v>
      </c>
      <c r="AO129" s="1161">
        <v>9</v>
      </c>
    </row>
    <row r="130" spans="40:41">
      <c r="AN130" s="1453">
        <v>118</v>
      </c>
      <c r="AO130" s="1161">
        <v>8.8339999999999996</v>
      </c>
    </row>
    <row r="131" spans="40:41">
      <c r="AN131" s="1453">
        <v>119</v>
      </c>
      <c r="AO131" s="1161">
        <v>8.9469999999999992</v>
      </c>
    </row>
    <row r="132" spans="40:41">
      <c r="AN132" s="1453">
        <v>120</v>
      </c>
      <c r="AO132" s="1161">
        <v>11.666</v>
      </c>
    </row>
    <row r="133" spans="40:41">
      <c r="AN133" s="1453">
        <v>121</v>
      </c>
      <c r="AO133" s="1161">
        <v>8.7379999999999995</v>
      </c>
    </row>
    <row r="134" spans="40:41">
      <c r="AN134" s="1453">
        <v>122</v>
      </c>
      <c r="AO134" s="1161">
        <v>8.9849999999999994</v>
      </c>
    </row>
    <row r="135" spans="40:41">
      <c r="AN135" s="1453">
        <v>123</v>
      </c>
      <c r="AO135" s="1161">
        <v>8.86</v>
      </c>
    </row>
    <row r="136" spans="40:41">
      <c r="AN136" s="1453">
        <v>124</v>
      </c>
      <c r="AO136" s="1161">
        <v>8.984</v>
      </c>
    </row>
    <row r="137" spans="40:41">
      <c r="AN137" s="1453">
        <v>125</v>
      </c>
      <c r="AO137" s="1161">
        <v>8.9109999999999996</v>
      </c>
    </row>
    <row r="138" spans="40:41">
      <c r="AN138" s="1453">
        <v>126</v>
      </c>
      <c r="AO138" s="1161">
        <v>8.859</v>
      </c>
    </row>
    <row r="139" spans="40:41">
      <c r="AN139" s="1453">
        <v>127</v>
      </c>
      <c r="AO139" s="1161">
        <v>8.9060000000000006</v>
      </c>
    </row>
    <row r="140" spans="40:41">
      <c r="AN140" s="1453">
        <v>128</v>
      </c>
      <c r="AO140" s="1161">
        <v>8.9429999999999996</v>
      </c>
    </row>
    <row r="141" spans="40:41">
      <c r="AN141" s="1453">
        <v>129</v>
      </c>
      <c r="AO141" s="1161">
        <v>8.8569999999999993</v>
      </c>
    </row>
    <row r="142" spans="40:41">
      <c r="AN142" s="1453">
        <v>130</v>
      </c>
      <c r="AO142" s="1161">
        <v>8.891</v>
      </c>
    </row>
    <row r="143" spans="40:41">
      <c r="AN143" s="1453">
        <v>131</v>
      </c>
      <c r="AO143" s="1161">
        <v>9.0549999999999997</v>
      </c>
    </row>
    <row r="144" spans="40:41">
      <c r="AN144" s="1453">
        <v>132</v>
      </c>
      <c r="AO144" s="1161">
        <v>8.9480000000000004</v>
      </c>
    </row>
    <row r="145" spans="40:41">
      <c r="AN145" s="1453">
        <v>133</v>
      </c>
      <c r="AO145" s="1161">
        <v>8.9860000000000007</v>
      </c>
    </row>
    <row r="146" spans="40:41">
      <c r="AN146" s="1453">
        <v>134</v>
      </c>
      <c r="AO146" s="1161">
        <v>8.8170000000000002</v>
      </c>
    </row>
    <row r="147" spans="40:41">
      <c r="AN147" s="1453">
        <v>135</v>
      </c>
      <c r="AO147" s="1161">
        <v>8.8819999999999997</v>
      </c>
    </row>
    <row r="148" spans="40:41">
      <c r="AN148" s="1453">
        <v>136</v>
      </c>
      <c r="AO148" s="1161">
        <v>8.9169999999999998</v>
      </c>
    </row>
    <row r="149" spans="40:41">
      <c r="AN149" s="1453">
        <v>137</v>
      </c>
      <c r="AO149" s="1161">
        <v>11.711</v>
      </c>
    </row>
    <row r="150" spans="40:41">
      <c r="AN150" s="1453">
        <v>138</v>
      </c>
      <c r="AO150" s="1161">
        <v>11.858000000000001</v>
      </c>
    </row>
    <row r="151" spans="40:41">
      <c r="AN151" s="1453">
        <v>139</v>
      </c>
      <c r="AO151" s="1161">
        <v>8.8810000000000002</v>
      </c>
    </row>
    <row r="152" spans="40:41">
      <c r="AN152" s="1453">
        <v>140</v>
      </c>
      <c r="AO152" s="1161">
        <v>8.8369999999999997</v>
      </c>
    </row>
    <row r="153" spans="40:41">
      <c r="AN153" s="1453">
        <v>141</v>
      </c>
      <c r="AO153" s="1161">
        <v>8.8870000000000005</v>
      </c>
    </row>
    <row r="154" spans="40:41">
      <c r="AN154" s="1453">
        <v>142</v>
      </c>
      <c r="AO154" s="1161">
        <v>8.8949999999999996</v>
      </c>
    </row>
    <row r="155" spans="40:41">
      <c r="AN155" s="1453">
        <v>143</v>
      </c>
    </row>
    <row r="156" spans="40:41">
      <c r="AN156" s="1453">
        <v>144</v>
      </c>
    </row>
    <row r="157" spans="40:41">
      <c r="AN157" s="1453">
        <v>145</v>
      </c>
    </row>
    <row r="158" spans="40:41">
      <c r="AN158" s="1453">
        <v>146</v>
      </c>
    </row>
    <row r="159" spans="40:41">
      <c r="AN159" s="1453">
        <v>147</v>
      </c>
    </row>
    <row r="160" spans="40:41">
      <c r="AN160" s="1453">
        <v>148</v>
      </c>
    </row>
    <row r="161" spans="40:40">
      <c r="AN161" s="1453">
        <v>149</v>
      </c>
    </row>
    <row r="162" spans="40:40">
      <c r="AN162" s="1453">
        <v>150</v>
      </c>
    </row>
    <row r="163" spans="40:40">
      <c r="AN163" s="1453">
        <v>151</v>
      </c>
    </row>
    <row r="164" spans="40:40">
      <c r="AN164" s="1453">
        <v>152</v>
      </c>
    </row>
    <row r="165" spans="40:40">
      <c r="AN165" s="1453">
        <v>153</v>
      </c>
    </row>
    <row r="166" spans="40:40">
      <c r="AN166" s="1453">
        <v>154</v>
      </c>
    </row>
    <row r="167" spans="40:40">
      <c r="AN167" s="1453">
        <v>155</v>
      </c>
    </row>
    <row r="168" spans="40:40">
      <c r="AN168" s="1453">
        <v>156</v>
      </c>
    </row>
    <row r="169" spans="40:40">
      <c r="AN169" s="1453">
        <v>157</v>
      </c>
    </row>
    <row r="170" spans="40:40">
      <c r="AN170" s="1453">
        <v>158</v>
      </c>
    </row>
    <row r="171" spans="40:40">
      <c r="AN171" s="1453">
        <v>159</v>
      </c>
    </row>
    <row r="172" spans="40:40">
      <c r="AN172" s="1453">
        <v>160</v>
      </c>
    </row>
    <row r="173" spans="40:40">
      <c r="AN173" s="1453">
        <v>161</v>
      </c>
    </row>
    <row r="174" spans="40:40">
      <c r="AN174" s="1453">
        <v>162</v>
      </c>
    </row>
    <row r="175" spans="40:40">
      <c r="AN175" s="1453">
        <v>163</v>
      </c>
    </row>
    <row r="176" spans="40:40">
      <c r="AN176" s="1453">
        <v>164</v>
      </c>
    </row>
    <row r="177" spans="40:40">
      <c r="AN177" s="1453">
        <v>165</v>
      </c>
    </row>
    <row r="178" spans="40:40">
      <c r="AN178" s="1453">
        <v>166</v>
      </c>
    </row>
    <row r="179" spans="40:40">
      <c r="AN179" s="1453">
        <v>167</v>
      </c>
    </row>
    <row r="180" spans="40:40">
      <c r="AN180" s="1453">
        <v>168</v>
      </c>
    </row>
    <row r="181" spans="40:40">
      <c r="AN181" s="1453">
        <v>169</v>
      </c>
    </row>
    <row r="182" spans="40:40">
      <c r="AN182" s="1453">
        <v>170</v>
      </c>
    </row>
    <row r="183" spans="40:40">
      <c r="AN183" s="1453">
        <v>171</v>
      </c>
    </row>
    <row r="184" spans="40:40">
      <c r="AN184" s="1453">
        <v>172</v>
      </c>
    </row>
    <row r="185" spans="40:40">
      <c r="AN185" s="1453">
        <v>173</v>
      </c>
    </row>
    <row r="186" spans="40:40">
      <c r="AN186" s="1453">
        <v>174</v>
      </c>
    </row>
    <row r="187" spans="40:40">
      <c r="AN187" s="1453">
        <v>175</v>
      </c>
    </row>
    <row r="188" spans="40:40">
      <c r="AN188" s="1453">
        <v>176</v>
      </c>
    </row>
    <row r="189" spans="40:40">
      <c r="AN189" s="1453">
        <v>177</v>
      </c>
    </row>
    <row r="190" spans="40:40">
      <c r="AN190" s="1453">
        <v>178</v>
      </c>
    </row>
    <row r="191" spans="40:40">
      <c r="AN191" s="1453">
        <v>179</v>
      </c>
    </row>
    <row r="192" spans="40:40">
      <c r="AN192" s="1453">
        <v>180</v>
      </c>
    </row>
    <row r="193" spans="40:40">
      <c r="AN193" s="1453">
        <v>181</v>
      </c>
    </row>
    <row r="194" spans="40:40">
      <c r="AN194" s="1453">
        <v>182</v>
      </c>
    </row>
    <row r="195" spans="40:40">
      <c r="AN195" s="1453">
        <v>183</v>
      </c>
    </row>
    <row r="196" spans="40:40">
      <c r="AN196" s="1453">
        <v>184</v>
      </c>
    </row>
    <row r="197" spans="40:40">
      <c r="AN197" s="1453">
        <v>185</v>
      </c>
    </row>
    <row r="198" spans="40:40">
      <c r="AN198" s="1453">
        <v>186</v>
      </c>
    </row>
    <row r="199" spans="40:40">
      <c r="AN199" s="1453">
        <v>187</v>
      </c>
    </row>
    <row r="200" spans="40:40">
      <c r="AN200" s="1453">
        <v>188</v>
      </c>
    </row>
    <row r="201" spans="40:40">
      <c r="AN201" s="1453">
        <v>189</v>
      </c>
    </row>
    <row r="202" spans="40:40">
      <c r="AN202" s="1453">
        <v>190</v>
      </c>
    </row>
    <row r="203" spans="40:40">
      <c r="AN203" s="1453">
        <v>191</v>
      </c>
    </row>
    <row r="204" spans="40:40">
      <c r="AN204" s="1453">
        <v>192</v>
      </c>
    </row>
    <row r="205" spans="40:40">
      <c r="AN205" s="1453">
        <v>193</v>
      </c>
    </row>
    <row r="206" spans="40:40">
      <c r="AN206" s="1453">
        <v>194</v>
      </c>
    </row>
    <row r="207" spans="40:40">
      <c r="AN207" s="1453">
        <v>195</v>
      </c>
    </row>
    <row r="208" spans="40:40">
      <c r="AN208" s="1453">
        <v>196</v>
      </c>
    </row>
    <row r="209" spans="40:40">
      <c r="AN209" s="1453">
        <v>197</v>
      </c>
    </row>
    <row r="210" spans="40:40">
      <c r="AN210" s="1453">
        <v>198</v>
      </c>
    </row>
    <row r="211" spans="40:40">
      <c r="AN211" s="1453">
        <v>199</v>
      </c>
    </row>
    <row r="212" spans="40:40">
      <c r="AN212" s="1453">
        <v>200</v>
      </c>
    </row>
  </sheetData>
  <mergeCells count="114">
    <mergeCell ref="H3:AD3"/>
    <mergeCell ref="H4:AD4"/>
    <mergeCell ref="H5:AD5"/>
    <mergeCell ref="H6:AD6"/>
    <mergeCell ref="H7:AD7"/>
    <mergeCell ref="C10:AE10"/>
    <mergeCell ref="C11:AE11"/>
    <mergeCell ref="AC16:AD16"/>
    <mergeCell ref="E23:G23"/>
    <mergeCell ref="K22:V22"/>
    <mergeCell ref="AC14:AD14"/>
    <mergeCell ref="AC15:AD15"/>
    <mergeCell ref="AC17:AD17"/>
    <mergeCell ref="AC18:AD18"/>
    <mergeCell ref="K14:V14"/>
    <mergeCell ref="K15:V15"/>
    <mergeCell ref="K16:V16"/>
    <mergeCell ref="K17:V17"/>
    <mergeCell ref="K18:V18"/>
    <mergeCell ref="K19:V19"/>
    <mergeCell ref="K20:V20"/>
    <mergeCell ref="K21:V21"/>
    <mergeCell ref="AB26:AC26"/>
    <mergeCell ref="V25:X25"/>
    <mergeCell ref="V26:X26"/>
    <mergeCell ref="B30:C30"/>
    <mergeCell ref="D30:Q30"/>
    <mergeCell ref="B29:C29"/>
    <mergeCell ref="D29:Q29"/>
    <mergeCell ref="D27:Q27"/>
    <mergeCell ref="B28:C28"/>
    <mergeCell ref="D28:Q28"/>
    <mergeCell ref="V27:X27"/>
    <mergeCell ref="V28:X28"/>
    <mergeCell ref="V29:X29"/>
    <mergeCell ref="V30:X30"/>
    <mergeCell ref="B25:C25"/>
    <mergeCell ref="D25:R25"/>
    <mergeCell ref="AB25:AC25"/>
    <mergeCell ref="B31:C31"/>
    <mergeCell ref="D31:Q31"/>
    <mergeCell ref="S31:U31"/>
    <mergeCell ref="V31:X31"/>
    <mergeCell ref="Y31:AA31"/>
    <mergeCell ref="AB31:AC31"/>
    <mergeCell ref="AB29:AC29"/>
    <mergeCell ref="AB30:AC30"/>
    <mergeCell ref="Y25:AA25"/>
    <mergeCell ref="Y26:AA26"/>
    <mergeCell ref="Y27:AA27"/>
    <mergeCell ref="Y28:AA28"/>
    <mergeCell ref="Y29:AA29"/>
    <mergeCell ref="Y30:AA30"/>
    <mergeCell ref="S25:U25"/>
    <mergeCell ref="S26:U26"/>
    <mergeCell ref="S27:U27"/>
    <mergeCell ref="S28:U28"/>
    <mergeCell ref="AB27:AC27"/>
    <mergeCell ref="AB28:AC28"/>
    <mergeCell ref="S29:U29"/>
    <mergeCell ref="S30:U30"/>
    <mergeCell ref="B26:C26"/>
    <mergeCell ref="D26:Q26"/>
    <mergeCell ref="B34:C34"/>
    <mergeCell ref="D34:Q34"/>
    <mergeCell ref="S34:U34"/>
    <mergeCell ref="V34:X34"/>
    <mergeCell ref="Y34:AA34"/>
    <mergeCell ref="BP36:BT36"/>
    <mergeCell ref="BP37:BT37"/>
    <mergeCell ref="AB34:AC34"/>
    <mergeCell ref="B32:C32"/>
    <mergeCell ref="D32:Q32"/>
    <mergeCell ref="S32:U32"/>
    <mergeCell ref="V32:X32"/>
    <mergeCell ref="Y32:AA32"/>
    <mergeCell ref="B33:C33"/>
    <mergeCell ref="D33:Q33"/>
    <mergeCell ref="S33:U33"/>
    <mergeCell ref="V33:X33"/>
    <mergeCell ref="Y33:AA33"/>
    <mergeCell ref="AB32:AC32"/>
    <mergeCell ref="D51:Q51"/>
    <mergeCell ref="R51:T51"/>
    <mergeCell ref="R52:T52"/>
    <mergeCell ref="R53:T53"/>
    <mergeCell ref="R54:T54"/>
    <mergeCell ref="U51:W51"/>
    <mergeCell ref="U52:W52"/>
    <mergeCell ref="AB33:AC33"/>
    <mergeCell ref="AB51:AC51"/>
    <mergeCell ref="AB53:AC53"/>
    <mergeCell ref="Y51:AA51"/>
    <mergeCell ref="Y52:AD52"/>
    <mergeCell ref="R50:T50"/>
    <mergeCell ref="U50:W50"/>
    <mergeCell ref="D52:P52"/>
    <mergeCell ref="C81:AA81"/>
    <mergeCell ref="D57:P57"/>
    <mergeCell ref="D58:P58"/>
    <mergeCell ref="U53:W53"/>
    <mergeCell ref="U54:W54"/>
    <mergeCell ref="R57:T57"/>
    <mergeCell ref="U57:W57"/>
    <mergeCell ref="R58:W58"/>
    <mergeCell ref="K60:M60"/>
    <mergeCell ref="Y53:AA53"/>
    <mergeCell ref="R55:T55"/>
    <mergeCell ref="U55:W55"/>
    <mergeCell ref="D56:P56"/>
    <mergeCell ref="R56:T56"/>
    <mergeCell ref="U56:W56"/>
    <mergeCell ref="D53:P53"/>
    <mergeCell ref="D54:P54"/>
  </mergeCells>
  <phoneticPr fontId="149" type="noConversion"/>
  <conditionalFormatting sqref="R51:W51 R53:W54">
    <cfRule type="expression" dxfId="6" priority="1">
      <formula>AND($R$53:$W$54,$R$51:$W$51="",UPPER($AI$14)&lt;&gt;"NP")</formula>
    </cfRule>
  </conditionalFormatting>
  <conditionalFormatting sqref="S26:AC27 S29:AC30">
    <cfRule type="expression" dxfId="5" priority="3">
      <formula>AND($S$26:$AC$27,$S$29:$AC$30="",UPPER($AI$14)&lt;&gt;"NP")</formula>
    </cfRule>
  </conditionalFormatting>
  <printOptions horizontalCentered="1"/>
  <pageMargins left="0.19685039370078741" right="0.19685039370078741" top="0.19685039370078741" bottom="0.19685039370078741" header="0.11811023622047245" footer="0.11811023622047245"/>
  <pageSetup paperSize="9" scale="64" orientation="portrait" r:id="rId1"/>
  <headerFooter>
    <oddFooter>&amp;R&amp;"Aptos,Regular"&amp;10Page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C315F86-C291-49B2-8E14-7C8595829F01}">
          <x14:formula1>
            <xm:f>Details!$D$2:$D$6</xm:f>
          </x14:formula1>
          <xm:sqref>AC14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7A27-3C22-4E95-99ED-24E2A016EFD4}">
  <sheetPr>
    <tabColor theme="5" tint="-0.249977111117893"/>
    <pageSetUpPr fitToPage="1"/>
  </sheetPr>
  <dimension ref="B1:AT215"/>
  <sheetViews>
    <sheetView showGridLines="0" topLeftCell="D1" zoomScaleNormal="100" zoomScaleSheetLayoutView="130" workbookViewId="0">
      <selection activeCell="H18" sqref="H18:L18"/>
    </sheetView>
  </sheetViews>
  <sheetFormatPr defaultColWidth="11" defaultRowHeight="15.75"/>
  <cols>
    <col min="1" max="1" width="11" style="12"/>
    <col min="2" max="2" width="2.5" style="12" customWidth="1"/>
    <col min="3" max="3" width="1.125" style="12" customWidth="1"/>
    <col min="4" max="4" width="2" style="12" customWidth="1"/>
    <col min="5" max="5" width="13.125" style="12" customWidth="1"/>
    <col min="6" max="6" width="12.125" style="12" customWidth="1"/>
    <col min="7" max="7" width="1.375" style="12" customWidth="1"/>
    <col min="8" max="8" width="13.875" style="12" customWidth="1"/>
    <col min="9" max="9" width="1.375" style="12" bestFit="1" customWidth="1"/>
    <col min="10" max="10" width="10.5" style="12" customWidth="1"/>
    <col min="11" max="11" width="8" style="12" customWidth="1"/>
    <col min="12" max="12" width="10" style="12" customWidth="1"/>
    <col min="13" max="13" width="4.875" style="12" bestFit="1" customWidth="1"/>
    <col min="14" max="14" width="5" style="12" customWidth="1"/>
    <col min="15" max="15" width="9" style="12" customWidth="1"/>
    <col min="16" max="16" width="1.375" style="12" bestFit="1" customWidth="1"/>
    <col min="17" max="17" width="7.875" style="12" customWidth="1"/>
    <col min="18" max="18" width="1.5" style="12" customWidth="1"/>
    <col min="19" max="19" width="8.875" style="12" customWidth="1"/>
    <col min="20" max="20" width="5.25" style="12" customWidth="1"/>
    <col min="21" max="22" width="1.125" style="12" customWidth="1"/>
    <col min="23" max="23" width="1.875" style="1195" customWidth="1"/>
    <col min="24" max="24" width="6" style="12" customWidth="1"/>
    <col min="25" max="25" width="12" style="12" customWidth="1"/>
    <col min="26" max="26" width="8.125" style="681" bestFit="1" customWidth="1"/>
    <col min="27" max="27" width="7" style="12" bestFit="1" customWidth="1"/>
    <col min="28" max="28" width="8.125" style="12" bestFit="1" customWidth="1"/>
    <col min="29" max="30" width="9.125" style="12" bestFit="1" customWidth="1"/>
    <col min="31" max="31" width="8.125" style="12" customWidth="1"/>
    <col min="32" max="33" width="9.125" style="12" bestFit="1" customWidth="1"/>
    <col min="34" max="34" width="10.5" style="12" bestFit="1" customWidth="1"/>
    <col min="35" max="35" width="10.625" style="12" bestFit="1" customWidth="1"/>
    <col min="36" max="36" width="9.125" style="12" bestFit="1" customWidth="1"/>
    <col min="37" max="37" width="10.25" style="12" bestFit="1" customWidth="1"/>
    <col min="38" max="38" width="11.5" style="12" bestFit="1" customWidth="1"/>
    <col min="39" max="43" width="11" style="12"/>
    <col min="44" max="44" width="5.125" style="12" bestFit="1" customWidth="1"/>
    <col min="45" max="45" width="9.125" style="12" bestFit="1" customWidth="1"/>
    <col min="46" max="46" width="6.125" style="12" bestFit="1" customWidth="1"/>
    <col min="47" max="47" width="7.875" style="12" bestFit="1" customWidth="1"/>
    <col min="48" max="16384" width="11" style="12"/>
  </cols>
  <sheetData>
    <row r="1" spans="2:46" ht="18.75">
      <c r="Y1" s="681" t="s">
        <v>471</v>
      </c>
      <c r="Z1" s="1023">
        <f>Data!I17</f>
        <v>1</v>
      </c>
      <c r="AJ1" s="39" t="s">
        <v>472</v>
      </c>
      <c r="AK1" s="39"/>
      <c r="AL1" s="39"/>
      <c r="AM1" s="39"/>
      <c r="AN1" s="715"/>
      <c r="AO1" s="716"/>
      <c r="AP1" s="716"/>
      <c r="AQ1" s="716"/>
      <c r="AR1" s="716"/>
    </row>
    <row r="2" spans="2:46" ht="6.75" customHeight="1"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  <c r="V2" s="13"/>
      <c r="Y2" s="681"/>
      <c r="Z2" s="12"/>
      <c r="AD2" s="673"/>
      <c r="AE2" s="673"/>
      <c r="AJ2" s="721"/>
      <c r="AK2" s="721" t="s">
        <v>104</v>
      </c>
      <c r="AL2" s="721" t="s">
        <v>104</v>
      </c>
      <c r="AM2" s="721" t="s">
        <v>37</v>
      </c>
      <c r="AN2" s="715"/>
      <c r="AO2" s="716"/>
      <c r="AP2" s="719"/>
      <c r="AR2" s="720"/>
    </row>
    <row r="3" spans="2:46" ht="18.95" customHeight="1" thickBot="1">
      <c r="C3" s="13"/>
      <c r="D3" s="9"/>
      <c r="E3" s="10"/>
      <c r="F3" s="1" t="s">
        <v>821</v>
      </c>
      <c r="G3" s="4107"/>
      <c r="H3" s="4107"/>
      <c r="I3" s="4107"/>
      <c r="J3" s="4107"/>
      <c r="K3" s="4107"/>
      <c r="L3" s="4107"/>
      <c r="M3" s="4107"/>
      <c r="N3" s="4107"/>
      <c r="O3" s="4107"/>
      <c r="P3" s="4107"/>
      <c r="Q3" s="4107"/>
      <c r="R3" s="4107"/>
      <c r="S3" s="4107"/>
      <c r="T3" s="4108"/>
      <c r="U3" s="1193"/>
      <c r="V3" s="1192"/>
      <c r="W3" s="1191"/>
      <c r="X3" s="1348" t="s">
        <v>412</v>
      </c>
      <c r="Y3" s="755"/>
      <c r="Z3" s="717">
        <f>VLOOKUP($Z$1,AJ3:AM12,3,TRUE)</f>
        <v>2.0099999999999998</v>
      </c>
      <c r="AA3" s="718" t="s">
        <v>104</v>
      </c>
      <c r="AC3" s="490" t="s">
        <v>435</v>
      </c>
      <c r="AG3" s="722"/>
      <c r="AJ3" s="721" t="s">
        <v>284</v>
      </c>
      <c r="AK3" s="721" t="s">
        <v>12</v>
      </c>
      <c r="AL3" s="721" t="s">
        <v>469</v>
      </c>
      <c r="AM3" s="721" t="s">
        <v>470</v>
      </c>
      <c r="AO3" s="490" t="s">
        <v>436</v>
      </c>
      <c r="AP3" s="715"/>
      <c r="AQ3" s="716"/>
      <c r="AR3" s="719"/>
      <c r="AT3" s="720"/>
    </row>
    <row r="4" spans="2:46" ht="15.75" customHeight="1">
      <c r="C4" s="13"/>
      <c r="D4" s="13"/>
      <c r="F4" s="4109" t="s">
        <v>819</v>
      </c>
      <c r="G4" s="4110"/>
      <c r="H4" s="4110"/>
      <c r="I4" s="4110"/>
      <c r="J4" s="4110"/>
      <c r="K4" s="4110"/>
      <c r="L4" s="4110"/>
      <c r="M4" s="4110"/>
      <c r="N4" s="4110"/>
      <c r="O4" s="4110"/>
      <c r="P4" s="4110"/>
      <c r="Q4" s="4110"/>
      <c r="R4" s="4110"/>
      <c r="S4" s="4110"/>
      <c r="T4" s="4111"/>
      <c r="U4" s="679"/>
      <c r="V4" s="678"/>
      <c r="W4" s="673"/>
      <c r="X4" s="1348" t="s">
        <v>413</v>
      </c>
      <c r="Y4" s="755"/>
      <c r="Z4" s="717">
        <f>VLOOKUP($Z$1,AJ4:AM12,2,TRUE)</f>
        <v>5.07</v>
      </c>
      <c r="AA4" s="718" t="s">
        <v>104</v>
      </c>
      <c r="AC4" s="723" t="s">
        <v>438</v>
      </c>
      <c r="AD4" s="724"/>
      <c r="AE4" s="725"/>
      <c r="AF4" s="726" t="s">
        <v>124</v>
      </c>
      <c r="AG4" s="727">
        <f>PI()*(Z4/2)^2</f>
        <v>20.188581250315071</v>
      </c>
      <c r="AH4" s="728" t="s">
        <v>473</v>
      </c>
      <c r="AJ4" s="721">
        <v>1</v>
      </c>
      <c r="AK4" s="721">
        <v>5.07</v>
      </c>
      <c r="AL4" s="721">
        <v>2.0099999999999998</v>
      </c>
      <c r="AM4" s="721">
        <v>41.466999999999999</v>
      </c>
      <c r="AP4" s="719"/>
      <c r="AQ4" s="729"/>
      <c r="AR4" s="720"/>
    </row>
    <row r="5" spans="2:46" ht="15.75" customHeight="1">
      <c r="C5" s="13"/>
      <c r="D5" s="13"/>
      <c r="F5" s="4109" t="s">
        <v>820</v>
      </c>
      <c r="G5" s="4110"/>
      <c r="H5" s="4110"/>
      <c r="I5" s="4110"/>
      <c r="J5" s="4110"/>
      <c r="K5" s="4110"/>
      <c r="L5" s="4110"/>
      <c r="M5" s="4110"/>
      <c r="N5" s="4110"/>
      <c r="O5" s="4110"/>
      <c r="P5" s="4110"/>
      <c r="Q5" s="4110"/>
      <c r="R5" s="4110"/>
      <c r="S5" s="4110"/>
      <c r="T5" s="4111"/>
      <c r="U5" s="679"/>
      <c r="V5" s="678"/>
      <c r="W5" s="673"/>
      <c r="X5" s="1348" t="s">
        <v>434</v>
      </c>
      <c r="Y5" s="755"/>
      <c r="Z5" s="717">
        <f>VLOOKUP($Z$1,AJ3:AM12,4,TRUE)</f>
        <v>41.466999999999999</v>
      </c>
      <c r="AA5" s="718" t="s">
        <v>414</v>
      </c>
      <c r="AC5" s="731" t="s">
        <v>442</v>
      </c>
      <c r="AD5" s="712"/>
      <c r="AE5" s="687"/>
      <c r="AF5" s="732" t="s">
        <v>474</v>
      </c>
      <c r="AG5" s="713">
        <f>PI()*(Z4/2)^2*Z3</f>
        <v>40.579048313133285</v>
      </c>
      <c r="AH5" s="733" t="s">
        <v>475</v>
      </c>
      <c r="AJ5" s="721">
        <v>2</v>
      </c>
      <c r="AK5" s="721">
        <v>5.0199999999999996</v>
      </c>
      <c r="AL5" s="721">
        <v>2.0099999999999998</v>
      </c>
      <c r="AM5" s="721">
        <v>44.957999999999998</v>
      </c>
    </row>
    <row r="6" spans="2:46" ht="15.75" customHeight="1">
      <c r="C6" s="13"/>
      <c r="D6" s="13"/>
      <c r="F6" s="4109" t="s">
        <v>830</v>
      </c>
      <c r="G6" s="4110"/>
      <c r="H6" s="4110"/>
      <c r="I6" s="4110"/>
      <c r="J6" s="4110"/>
      <c r="K6" s="4110"/>
      <c r="L6" s="4110"/>
      <c r="M6" s="4110"/>
      <c r="N6" s="4110"/>
      <c r="O6" s="4110"/>
      <c r="P6" s="4110"/>
      <c r="Q6" s="4110"/>
      <c r="R6" s="4110"/>
      <c r="S6" s="4110"/>
      <c r="T6" s="4111"/>
      <c r="U6" s="679"/>
      <c r="V6" s="678"/>
      <c r="W6" s="673"/>
      <c r="X6" s="1348" t="s">
        <v>437</v>
      </c>
      <c r="Y6" s="755"/>
      <c r="Z6" s="730">
        <v>125.19799999999999</v>
      </c>
      <c r="AA6" s="718" t="s">
        <v>414</v>
      </c>
      <c r="AC6" s="731"/>
      <c r="AD6" s="712"/>
      <c r="AE6" s="687"/>
      <c r="AF6" s="732"/>
      <c r="AG6" s="713"/>
      <c r="AH6" s="733"/>
      <c r="AJ6" s="721"/>
      <c r="AK6" s="721"/>
      <c r="AL6" s="721"/>
      <c r="AM6" s="721"/>
    </row>
    <row r="7" spans="2:46" s="19" customFormat="1">
      <c r="C7" s="17"/>
      <c r="D7" s="38"/>
      <c r="E7" s="39"/>
      <c r="F7" s="4112" t="s">
        <v>827</v>
      </c>
      <c r="G7" s="4113"/>
      <c r="H7" s="4113"/>
      <c r="I7" s="4113"/>
      <c r="J7" s="4113"/>
      <c r="K7" s="4113"/>
      <c r="L7" s="4113"/>
      <c r="M7" s="4113"/>
      <c r="N7" s="4113"/>
      <c r="O7" s="4113"/>
      <c r="P7" s="4113"/>
      <c r="Q7" s="4113"/>
      <c r="R7" s="4113"/>
      <c r="S7" s="4113"/>
      <c r="T7" s="4114"/>
      <c r="U7" s="679"/>
      <c r="V7" s="678"/>
      <c r="W7" s="673"/>
      <c r="AA7" s="8"/>
      <c r="AB7" s="673"/>
      <c r="AC7" s="731" t="s">
        <v>446</v>
      </c>
      <c r="AD7" s="712"/>
      <c r="AE7" s="687"/>
      <c r="AF7" s="732" t="s">
        <v>68</v>
      </c>
      <c r="AG7" s="713">
        <f>Z6-Z5</f>
        <v>83.730999999999995</v>
      </c>
      <c r="AH7" s="733" t="s">
        <v>414</v>
      </c>
      <c r="AJ7" s="721">
        <v>3</v>
      </c>
      <c r="AK7" s="721">
        <v>5.0599999999999996</v>
      </c>
      <c r="AL7" s="721">
        <v>1.97</v>
      </c>
      <c r="AM7" s="721">
        <v>42.502000000000002</v>
      </c>
      <c r="AO7" s="19" t="s">
        <v>439</v>
      </c>
      <c r="AR7" s="19" t="s">
        <v>440</v>
      </c>
      <c r="AS7" s="19">
        <f>Z14-Z13</f>
        <v>66.777000000000001</v>
      </c>
      <c r="AT7" s="19" t="s">
        <v>414</v>
      </c>
    </row>
    <row r="8" spans="2:46" s="19" customFormat="1" ht="6" customHeight="1">
      <c r="C8" s="17"/>
      <c r="E8" s="20"/>
      <c r="F8" s="20"/>
      <c r="G8" s="20"/>
      <c r="H8" s="20"/>
      <c r="I8" s="20"/>
      <c r="J8" s="21"/>
      <c r="K8" s="21"/>
      <c r="L8" s="21"/>
      <c r="M8" s="21"/>
      <c r="N8" s="21"/>
      <c r="O8" s="22"/>
      <c r="P8" s="23"/>
      <c r="Q8" s="23"/>
      <c r="R8" s="23"/>
      <c r="S8" s="23"/>
      <c r="T8" s="23"/>
      <c r="U8" s="18"/>
      <c r="V8" s="17"/>
      <c r="W8" s="1195"/>
    </row>
    <row r="9" spans="2:46">
      <c r="C9" s="13"/>
      <c r="D9" s="4116" t="s">
        <v>444</v>
      </c>
      <c r="E9" s="4117"/>
      <c r="F9" s="4117"/>
      <c r="G9" s="4117"/>
      <c r="H9" s="4117"/>
      <c r="I9" s="4117"/>
      <c r="J9" s="4117"/>
      <c r="K9" s="4117"/>
      <c r="L9" s="4117"/>
      <c r="M9" s="4117"/>
      <c r="N9" s="4117"/>
      <c r="O9" s="4117"/>
      <c r="P9" s="4117"/>
      <c r="Q9" s="4117"/>
      <c r="R9" s="4117"/>
      <c r="S9" s="4117"/>
      <c r="T9" s="4118"/>
      <c r="U9" s="14"/>
      <c r="V9" s="13"/>
      <c r="Z9" s="12"/>
      <c r="AA9" s="681"/>
      <c r="AC9" s="731" t="s">
        <v>449</v>
      </c>
      <c r="AD9" s="712"/>
      <c r="AE9" s="687"/>
      <c r="AF9" s="732" t="s">
        <v>415</v>
      </c>
      <c r="AG9" s="1451">
        <f>Data!I16</f>
        <v>47.283936667127378</v>
      </c>
      <c r="AH9" s="733" t="s">
        <v>414</v>
      </c>
      <c r="AJ9" s="721">
        <v>4</v>
      </c>
      <c r="AK9" s="721">
        <v>5.05</v>
      </c>
      <c r="AL9" s="721">
        <v>2.04</v>
      </c>
      <c r="AM9" s="721">
        <v>48.853000000000002</v>
      </c>
      <c r="AO9" s="19" t="s">
        <v>443</v>
      </c>
      <c r="AP9" s="19"/>
      <c r="AQ9" s="19"/>
      <c r="AR9" s="19"/>
      <c r="AS9" s="736">
        <f>Z18/Z17*100</f>
        <v>7.4172377183669607</v>
      </c>
      <c r="AT9" s="19" t="s">
        <v>1</v>
      </c>
    </row>
    <row r="10" spans="2:46">
      <c r="C10" s="13"/>
      <c r="D10" s="4119" t="s">
        <v>332</v>
      </c>
      <c r="E10" s="4120"/>
      <c r="F10" s="4120"/>
      <c r="G10" s="4120"/>
      <c r="H10" s="4120"/>
      <c r="I10" s="4120"/>
      <c r="J10" s="4120"/>
      <c r="K10" s="4120"/>
      <c r="L10" s="4120"/>
      <c r="M10" s="4120"/>
      <c r="N10" s="4120"/>
      <c r="O10" s="4120"/>
      <c r="P10" s="4120"/>
      <c r="Q10" s="4120"/>
      <c r="R10" s="4120"/>
      <c r="S10" s="4120"/>
      <c r="T10" s="4121"/>
      <c r="U10" s="14"/>
      <c r="Z10" s="12"/>
      <c r="AA10" s="681"/>
      <c r="AC10" s="731" t="s">
        <v>419</v>
      </c>
      <c r="AD10" s="712"/>
      <c r="AE10" s="687"/>
      <c r="AF10" s="732"/>
      <c r="AG10" s="713">
        <f>AG7-AG9</f>
        <v>36.447063332872617</v>
      </c>
      <c r="AH10" s="733" t="s">
        <v>414</v>
      </c>
      <c r="AJ10" s="721">
        <v>5</v>
      </c>
      <c r="AK10" s="721">
        <v>5.05</v>
      </c>
      <c r="AL10" s="721">
        <v>2.02</v>
      </c>
      <c r="AM10" s="721">
        <v>45.231000000000002</v>
      </c>
      <c r="AO10" s="12" t="s">
        <v>447</v>
      </c>
      <c r="AR10" s="732" t="s">
        <v>476</v>
      </c>
      <c r="AS10" s="774">
        <f>AS7/AG5</f>
        <v>1.6456029102680516</v>
      </c>
    </row>
    <row r="11" spans="2:46" s="25" customFormat="1" ht="8.25" customHeight="1">
      <c r="C11" s="24"/>
      <c r="U11" s="26"/>
      <c r="W11" s="1196"/>
    </row>
    <row r="12" spans="2:46" s="28" customFormat="1" ht="17.25" customHeight="1">
      <c r="C12" s="27"/>
      <c r="E12" s="675" t="s">
        <v>95</v>
      </c>
      <c r="F12" s="675"/>
      <c r="G12" s="675"/>
      <c r="H12" s="675"/>
      <c r="I12" s="675"/>
      <c r="J12" s="675"/>
      <c r="M12" s="675" t="s">
        <v>394</v>
      </c>
      <c r="N12" s="675"/>
      <c r="O12" s="675"/>
      <c r="P12" s="675" t="s">
        <v>27</v>
      </c>
      <c r="Q12" s="4128" t="s">
        <v>823</v>
      </c>
      <c r="R12" s="4128"/>
      <c r="S12" s="4128"/>
      <c r="T12" s="4128"/>
      <c r="U12" s="29"/>
      <c r="W12" s="1197"/>
      <c r="X12" s="734" t="s">
        <v>441</v>
      </c>
      <c r="Y12" s="1198"/>
      <c r="Z12" s="1199"/>
      <c r="AC12" s="731" t="s">
        <v>452</v>
      </c>
      <c r="AD12" s="712"/>
      <c r="AE12" s="687"/>
      <c r="AF12" s="732" t="s">
        <v>453</v>
      </c>
      <c r="AG12" s="713">
        <f>(AG10/AG9)*100</f>
        <v>77.081279398234315</v>
      </c>
      <c r="AH12" s="733" t="s">
        <v>1</v>
      </c>
      <c r="AJ12" s="721">
        <v>6</v>
      </c>
      <c r="AK12" s="721">
        <v>5.05</v>
      </c>
      <c r="AL12" s="721">
        <v>2</v>
      </c>
      <c r="AM12" s="721">
        <v>47.069000000000003</v>
      </c>
      <c r="AO12" s="12" t="s">
        <v>450</v>
      </c>
      <c r="AP12" s="12"/>
      <c r="AQ12" s="12"/>
      <c r="AR12" s="732" t="s">
        <v>477</v>
      </c>
      <c r="AS12" s="774">
        <f>Z17/AG5</f>
        <v>1.5319728427411188</v>
      </c>
      <c r="AT12" s="25" t="s">
        <v>1</v>
      </c>
    </row>
    <row r="13" spans="2:46" s="23" customFormat="1" ht="18.75" customHeight="1">
      <c r="C13" s="30"/>
      <c r="E13" s="33" t="s">
        <v>97</v>
      </c>
      <c r="F13" s="33"/>
      <c r="G13" s="673" t="s">
        <v>27</v>
      </c>
      <c r="H13" s="4124" t="str">
        <f>Details!B4</f>
        <v xml:space="preserve">PT Itamatra Nusantara </v>
      </c>
      <c r="I13" s="4124"/>
      <c r="J13" s="4124"/>
      <c r="K13" s="4124"/>
      <c r="L13" s="4124"/>
      <c r="M13" s="34" t="s">
        <v>822</v>
      </c>
      <c r="N13" s="34"/>
      <c r="O13" s="34"/>
      <c r="P13" s="34" t="s">
        <v>27</v>
      </c>
      <c r="Q13" s="4126" t="s">
        <v>824</v>
      </c>
      <c r="R13" s="4126"/>
      <c r="S13" s="4126"/>
      <c r="T13" s="4126"/>
      <c r="U13" s="31"/>
      <c r="W13" s="1200"/>
      <c r="X13" s="734" t="s">
        <v>445</v>
      </c>
      <c r="Y13" s="1201"/>
      <c r="Z13" s="732">
        <f>Data!I19</f>
        <v>8.8339999999999996</v>
      </c>
      <c r="AC13" s="731" t="s">
        <v>416</v>
      </c>
      <c r="AD13" s="712"/>
      <c r="AE13" s="687"/>
      <c r="AF13" s="732" t="s">
        <v>478</v>
      </c>
      <c r="AG13" s="713">
        <f>AG7/AG5</f>
        <v>2.063404724375971</v>
      </c>
      <c r="AH13" s="733" t="s">
        <v>397</v>
      </c>
      <c r="AO13" s="25" t="s">
        <v>454</v>
      </c>
      <c r="AP13" s="25"/>
      <c r="AQ13" s="25"/>
      <c r="AR13" s="732" t="s">
        <v>479</v>
      </c>
      <c r="AS13" s="25"/>
      <c r="AT13" s="28"/>
    </row>
    <row r="14" spans="2:46" s="33" customFormat="1" ht="18.75" customHeight="1">
      <c r="C14" s="15"/>
      <c r="D14" s="16"/>
      <c r="E14" s="33" t="s">
        <v>842</v>
      </c>
      <c r="G14" s="33" t="s">
        <v>27</v>
      </c>
      <c r="H14" s="4124" t="str">
        <f>Details!B8</f>
        <v>hidroplogi</v>
      </c>
      <c r="I14" s="4124"/>
      <c r="J14" s="4124"/>
      <c r="K14" s="4124"/>
      <c r="L14" s="4124"/>
      <c r="M14" s="34" t="s">
        <v>395</v>
      </c>
      <c r="N14" s="34"/>
      <c r="O14" s="34"/>
      <c r="P14" s="34" t="s">
        <v>27</v>
      </c>
      <c r="Q14" s="4129">
        <f>Details!B31</f>
        <v>46219</v>
      </c>
      <c r="R14" s="4129"/>
      <c r="S14" s="4129"/>
      <c r="T14" s="4129"/>
      <c r="U14" s="36"/>
      <c r="V14" s="16"/>
      <c r="W14" s="1200"/>
      <c r="X14" s="734" t="s">
        <v>448</v>
      </c>
      <c r="Y14" s="1189"/>
      <c r="Z14" s="732">
        <f>Data!I18</f>
        <v>75.611000000000004</v>
      </c>
      <c r="AC14" s="731" t="s">
        <v>456</v>
      </c>
      <c r="AD14" s="712"/>
      <c r="AE14" s="687"/>
      <c r="AF14" s="732" t="s">
        <v>480</v>
      </c>
      <c r="AG14" s="713">
        <f>AG9/AG5</f>
        <v>1.1652303006777041</v>
      </c>
      <c r="AH14" s="733"/>
    </row>
    <row r="15" spans="2:46" s="16" customFormat="1" ht="18.75" customHeight="1">
      <c r="B15" s="33"/>
      <c r="C15" s="2743"/>
      <c r="E15" s="33" t="s">
        <v>1312</v>
      </c>
      <c r="F15" s="33"/>
      <c r="G15" s="33" t="s">
        <v>27</v>
      </c>
      <c r="H15" s="4124" t="str">
        <f>Details!B7</f>
        <v>23-GQT--19-UDS-1-BH-05-0,00-0,50-100726-001</v>
      </c>
      <c r="I15" s="4124"/>
      <c r="J15" s="4124"/>
      <c r="K15" s="4124"/>
      <c r="L15" s="4124"/>
      <c r="M15" s="34" t="s">
        <v>396</v>
      </c>
      <c r="N15" s="34"/>
      <c r="O15" s="34"/>
      <c r="P15" s="34" t="s">
        <v>27</v>
      </c>
      <c r="Q15" s="4126" t="str">
        <f>Details!B22</f>
        <v>AS Sumartadji</v>
      </c>
      <c r="R15" s="4126"/>
      <c r="S15" s="4126"/>
      <c r="T15" s="4126"/>
      <c r="U15" s="36"/>
      <c r="W15" s="1200"/>
      <c r="X15" s="734" t="s">
        <v>451</v>
      </c>
      <c r="Y15" s="1202"/>
      <c r="Z15" s="730">
        <v>71</v>
      </c>
      <c r="AC15" s="731" t="s">
        <v>417</v>
      </c>
      <c r="AD15" s="712"/>
      <c r="AE15" s="687"/>
      <c r="AF15" s="732"/>
      <c r="AG15" s="713">
        <f>AG7</f>
        <v>83.730999999999995</v>
      </c>
      <c r="AH15" s="733" t="s">
        <v>414</v>
      </c>
      <c r="AN15" s="715"/>
      <c r="AO15" s="715"/>
      <c r="AP15" s="716"/>
      <c r="AQ15" s="737"/>
    </row>
    <row r="16" spans="2:46" s="16" customFormat="1" ht="18.75" customHeight="1">
      <c r="C16" s="15"/>
      <c r="E16" s="33" t="s">
        <v>860</v>
      </c>
      <c r="F16" s="33"/>
      <c r="G16" s="673" t="s">
        <v>27</v>
      </c>
      <c r="H16" s="4125" t="str">
        <f>Details!B1</f>
        <v>BH-05_UDS-01</v>
      </c>
      <c r="I16" s="4125"/>
      <c r="J16" s="4125"/>
      <c r="K16" s="4125"/>
      <c r="L16" s="4125"/>
      <c r="M16" s="34" t="s">
        <v>186</v>
      </c>
      <c r="N16" s="34"/>
      <c r="O16" s="34"/>
      <c r="P16" s="34" t="s">
        <v>27</v>
      </c>
      <c r="Q16" s="4125" t="str">
        <f>Details!B2</f>
        <v>MGS/02/VI/2026</v>
      </c>
      <c r="R16" s="4125"/>
      <c r="S16" s="4125"/>
      <c r="T16" s="4125"/>
      <c r="U16" s="36"/>
      <c r="W16" s="1200"/>
      <c r="X16" s="734" t="s">
        <v>455</v>
      </c>
      <c r="Y16" s="1202"/>
      <c r="Z16" s="1203">
        <f>Z14-Z13</f>
        <v>66.777000000000001</v>
      </c>
      <c r="AC16" s="731" t="s">
        <v>420</v>
      </c>
      <c r="AD16" s="712"/>
      <c r="AE16" s="687"/>
      <c r="AF16" s="732" t="s">
        <v>481</v>
      </c>
      <c r="AG16" s="713">
        <f>AG10/AG5</f>
        <v>0.89817442369826683</v>
      </c>
      <c r="AH16" s="733" t="s">
        <v>397</v>
      </c>
      <c r="AN16" s="716"/>
      <c r="AO16" s="716"/>
      <c r="AP16" s="716"/>
      <c r="AQ16" s="716"/>
    </row>
    <row r="17" spans="3:43" s="16" customFormat="1" ht="18.75" customHeight="1">
      <c r="C17" s="15"/>
      <c r="E17" s="33" t="s">
        <v>100</v>
      </c>
      <c r="F17" s="33"/>
      <c r="G17" s="673" t="s">
        <v>27</v>
      </c>
      <c r="H17" s="4126" t="str">
        <f>Details!B13&amp;" m"</f>
        <v>0,00-0,50 m</v>
      </c>
      <c r="I17" s="4126"/>
      <c r="J17" s="4126"/>
      <c r="K17" s="4126"/>
      <c r="L17" s="4126"/>
      <c r="R17" s="34"/>
      <c r="S17" s="34"/>
      <c r="U17" s="36"/>
      <c r="W17" s="1200"/>
      <c r="X17" s="734" t="s">
        <v>457</v>
      </c>
      <c r="Y17" s="1202"/>
      <c r="Z17" s="1199">
        <f>Z15-Z13</f>
        <v>62.165999999999997</v>
      </c>
      <c r="AC17" s="731" t="s">
        <v>418</v>
      </c>
      <c r="AD17" s="712"/>
      <c r="AE17" s="687"/>
      <c r="AF17" s="732"/>
      <c r="AG17" s="713">
        <f>PP!J24</f>
        <v>2.6497359418773012</v>
      </c>
      <c r="AH17" s="733"/>
      <c r="AN17" s="715"/>
      <c r="AO17" s="738"/>
      <c r="AP17" s="716"/>
      <c r="AQ17" s="739"/>
    </row>
    <row r="18" spans="3:43" s="16" customFormat="1" ht="18.75" customHeight="1">
      <c r="C18" s="15"/>
      <c r="E18" s="33" t="s">
        <v>101</v>
      </c>
      <c r="F18" s="33"/>
      <c r="G18" s="673" t="s">
        <v>27</v>
      </c>
      <c r="H18" s="4126" t="str">
        <f>Details!B14</f>
        <v>silty CLAY with sand</v>
      </c>
      <c r="I18" s="4126"/>
      <c r="J18" s="4126"/>
      <c r="K18" s="4126"/>
      <c r="L18" s="4126"/>
      <c r="U18" s="36"/>
      <c r="W18" s="1200"/>
      <c r="X18" s="734" t="s">
        <v>458</v>
      </c>
      <c r="Y18" s="1202"/>
      <c r="Z18" s="1204">
        <f>Z14-Z15</f>
        <v>4.6110000000000042</v>
      </c>
      <c r="AC18" s="731" t="s">
        <v>421</v>
      </c>
      <c r="AD18" s="712"/>
      <c r="AE18" s="687"/>
      <c r="AF18" s="732" t="s">
        <v>422</v>
      </c>
      <c r="AG18" s="735">
        <f>PP!J42</f>
        <v>1.2742616566143372</v>
      </c>
      <c r="AH18" s="740" t="s">
        <v>309</v>
      </c>
      <c r="AN18" s="715"/>
      <c r="AO18" s="715"/>
      <c r="AP18" s="716"/>
      <c r="AQ18" s="716"/>
    </row>
    <row r="19" spans="3:43" s="16" customFormat="1" ht="18.75" customHeight="1">
      <c r="C19" s="15"/>
      <c r="E19" s="33" t="s">
        <v>98</v>
      </c>
      <c r="F19" s="33"/>
      <c r="G19" s="673" t="s">
        <v>27</v>
      </c>
      <c r="H19" s="4126" t="str">
        <f>Details!B15</f>
        <v>Abu-abu / Gray</v>
      </c>
      <c r="I19" s="4126"/>
      <c r="J19" s="4126"/>
      <c r="K19" s="4126"/>
      <c r="L19" s="4126"/>
      <c r="U19" s="36"/>
      <c r="W19" s="1200"/>
      <c r="AA19" s="34"/>
      <c r="AC19" s="731" t="s">
        <v>459</v>
      </c>
      <c r="AD19" s="712"/>
      <c r="AE19" s="687"/>
      <c r="AF19" s="732" t="s">
        <v>479</v>
      </c>
      <c r="AG19" s="713">
        <f>(AG12*AG17)/AG18</f>
        <v>160.28500536542768</v>
      </c>
      <c r="AH19" s="733" t="s">
        <v>1</v>
      </c>
      <c r="AO19" s="741"/>
      <c r="AP19" s="741"/>
      <c r="AQ19" s="742"/>
    </row>
    <row r="20" spans="3:43" s="16" customFormat="1" ht="18.75" customHeight="1" thickBot="1">
      <c r="C20" s="15"/>
      <c r="E20" s="33" t="s">
        <v>99</v>
      </c>
      <c r="F20" s="33"/>
      <c r="G20" s="673" t="s">
        <v>27</v>
      </c>
      <c r="H20" s="4127" t="str">
        <f>Details!B16</f>
        <v>Undisturbed Sample / UDS</v>
      </c>
      <c r="I20" s="4127"/>
      <c r="J20" s="4127"/>
      <c r="K20" s="4127"/>
      <c r="L20" s="4127"/>
      <c r="U20" s="36"/>
      <c r="W20" s="1200"/>
      <c r="Y20" s="56" t="s">
        <v>430</v>
      </c>
      <c r="Z20" s="913">
        <f>AC52-AC53</f>
        <v>0.13033085635442165</v>
      </c>
      <c r="AA20" s="1207">
        <f>Z20/Z21</f>
        <v>0.4329497333544825</v>
      </c>
      <c r="AC20" s="744" t="s">
        <v>502</v>
      </c>
      <c r="AD20" s="745"/>
      <c r="AE20" s="746"/>
      <c r="AF20" s="747" t="s">
        <v>501</v>
      </c>
      <c r="AG20" s="748">
        <f>AG9/AG17/AG4</f>
        <v>0.88390426658998711</v>
      </c>
      <c r="AH20" s="749" t="s">
        <v>460</v>
      </c>
    </row>
    <row r="21" spans="3:43" s="16" customFormat="1" ht="18.75" customHeight="1">
      <c r="C21" s="15"/>
      <c r="E21" s="1205" t="s">
        <v>847</v>
      </c>
      <c r="F21" s="1206" t="str">
        <f>"The samples were received as "&amp;H20&amp;" and the validity of the sampling process was not verified by the laboratory."</f>
        <v>The samples were received as Undisturbed Sample / UDS and the validity of the sampling process was not verified by the laboratory.</v>
      </c>
      <c r="G21" s="673"/>
      <c r="H21" s="673"/>
      <c r="I21" s="673"/>
      <c r="J21" s="673"/>
      <c r="K21" s="25"/>
      <c r="L21" s="25"/>
      <c r="U21" s="36"/>
      <c r="W21" s="1200"/>
      <c r="Y21" s="56"/>
      <c r="Z21" s="1208">
        <f>LOG10(Y53)-LOG10(Y52)</f>
        <v>0.30102999566398114</v>
      </c>
      <c r="AA21" s="1204"/>
    </row>
    <row r="22" spans="3:43" s="16" customFormat="1" ht="24" customHeight="1">
      <c r="C22" s="15"/>
      <c r="E22" s="490" t="s">
        <v>96</v>
      </c>
      <c r="F22" s="490"/>
      <c r="G22" s="490"/>
      <c r="H22" s="490"/>
      <c r="I22" s="675"/>
      <c r="J22" s="675"/>
      <c r="K22" s="675"/>
      <c r="U22" s="36"/>
      <c r="W22" s="1200"/>
      <c r="Y22" s="44"/>
      <c r="Z22" s="1209"/>
      <c r="AA22" s="1210"/>
      <c r="AC22" s="731"/>
      <c r="AD22" s="712"/>
      <c r="AE22" s="687"/>
      <c r="AF22" s="732"/>
      <c r="AG22" s="713"/>
      <c r="AH22" s="733"/>
    </row>
    <row r="23" spans="3:43" s="16" customFormat="1" ht="24" customHeight="1">
      <c r="C23" s="15"/>
      <c r="E23" s="1376" t="s">
        <v>861</v>
      </c>
      <c r="F23" s="1376"/>
      <c r="G23" s="1376"/>
      <c r="H23" s="1376"/>
      <c r="I23" s="1789" t="s">
        <v>27</v>
      </c>
      <c r="J23" s="1790">
        <f ca="1">AI57</f>
        <v>3.0572214651160519E-9</v>
      </c>
      <c r="K23" s="1403" t="s">
        <v>526</v>
      </c>
      <c r="U23" s="36"/>
      <c r="W23" s="1200"/>
      <c r="Y23" s="44"/>
      <c r="Z23" s="1209"/>
      <c r="AA23" s="1210"/>
      <c r="AC23" s="743"/>
    </row>
    <row r="24" spans="3:43" s="16" customFormat="1" ht="24" customHeight="1">
      <c r="C24" s="15"/>
      <c r="E24" s="33" t="s">
        <v>862</v>
      </c>
      <c r="F24" s="33"/>
      <c r="G24" s="33"/>
      <c r="H24" s="33"/>
      <c r="I24" s="8" t="s">
        <v>27</v>
      </c>
      <c r="J24" s="45">
        <f>AA20</f>
        <v>0.4329497333544825</v>
      </c>
      <c r="K24" s="34" t="s">
        <v>309</v>
      </c>
      <c r="M24" s="45"/>
      <c r="R24" s="44"/>
      <c r="U24" s="36"/>
      <c r="W24" s="1200"/>
      <c r="Y24" s="56" t="s">
        <v>461</v>
      </c>
      <c r="Z24" s="1208">
        <f>MAX(AC48:AC55)</f>
        <v>1.2701888173532614</v>
      </c>
      <c r="AA24" s="1210"/>
      <c r="AC24" s="742"/>
    </row>
    <row r="25" spans="3:43" s="16" customFormat="1" ht="24" customHeight="1">
      <c r="C25" s="15"/>
      <c r="E25" s="1376" t="s">
        <v>863</v>
      </c>
      <c r="F25" s="1376"/>
      <c r="G25" s="1376"/>
      <c r="H25" s="1376"/>
      <c r="I25" s="8" t="s">
        <v>27</v>
      </c>
      <c r="J25" s="1790">
        <f ca="1">AI56</f>
        <v>1.818526782772842E-4</v>
      </c>
      <c r="K25" s="34" t="s">
        <v>866</v>
      </c>
      <c r="M25" s="45"/>
      <c r="R25" s="44"/>
      <c r="U25" s="36"/>
      <c r="W25" s="1200"/>
      <c r="Y25" s="56" t="s">
        <v>462</v>
      </c>
      <c r="Z25" s="1208">
        <f>MIN(AC48:AC55)</f>
        <v>0.94108077817356328</v>
      </c>
      <c r="AA25" s="1210"/>
      <c r="AB25" s="751" t="s">
        <v>464</v>
      </c>
      <c r="AC25" s="1211" t="s">
        <v>465</v>
      </c>
      <c r="AD25" s="1212"/>
      <c r="AE25" s="1212"/>
      <c r="AF25" s="1212"/>
      <c r="AG25" s="1212"/>
      <c r="AH25" s="1212"/>
      <c r="AI25" s="1212"/>
      <c r="AJ25" s="1212"/>
      <c r="AK25" s="1213"/>
    </row>
    <row r="26" spans="3:43" s="16" customFormat="1" ht="24" customHeight="1">
      <c r="C26" s="15"/>
      <c r="E26" s="33" t="s">
        <v>864</v>
      </c>
      <c r="F26" s="33"/>
      <c r="G26" s="33"/>
      <c r="H26" s="33"/>
      <c r="I26" s="673" t="s">
        <v>27</v>
      </c>
      <c r="J26" s="1791">
        <f ca="1">AI55</f>
        <v>1.6811528398028214E-2</v>
      </c>
      <c r="K26" s="33" t="s">
        <v>867</v>
      </c>
      <c r="R26" s="44"/>
      <c r="U26" s="36"/>
      <c r="W26" s="1200"/>
      <c r="Y26" s="44"/>
      <c r="Z26" s="1214"/>
      <c r="AA26" s="1210"/>
      <c r="AB26" s="1215" t="s">
        <v>16</v>
      </c>
      <c r="AC26" s="751"/>
      <c r="AD26" s="1216" t="s">
        <v>482</v>
      </c>
      <c r="AE26" s="1216" t="s">
        <v>483</v>
      </c>
      <c r="AF26" s="1216" t="s">
        <v>484</v>
      </c>
      <c r="AG26" s="1216" t="s">
        <v>485</v>
      </c>
      <c r="AH26" s="1216" t="s">
        <v>486</v>
      </c>
      <c r="AI26" s="1216" t="s">
        <v>487</v>
      </c>
      <c r="AJ26" s="1216" t="s">
        <v>485</v>
      </c>
      <c r="AK26" s="1216" t="s">
        <v>482</v>
      </c>
    </row>
    <row r="27" spans="3:43" s="16" customFormat="1">
      <c r="C27" s="15"/>
      <c r="E27" s="33" t="s">
        <v>865</v>
      </c>
      <c r="F27" s="33"/>
      <c r="G27" s="33"/>
      <c r="H27" s="33"/>
      <c r="I27" s="8" t="s">
        <v>27</v>
      </c>
      <c r="J27" s="45">
        <f>AG18</f>
        <v>1.2742616566143372</v>
      </c>
      <c r="K27" s="33" t="s">
        <v>309</v>
      </c>
      <c r="R27" s="44"/>
      <c r="U27" s="36"/>
      <c r="W27" s="1200"/>
      <c r="Y27" s="44"/>
      <c r="Z27" s="1214"/>
      <c r="AA27" s="1210"/>
      <c r="AB27" s="1178" t="s">
        <v>466</v>
      </c>
      <c r="AC27" s="1217" t="s">
        <v>10</v>
      </c>
      <c r="AD27" s="1218"/>
      <c r="AE27" s="1218"/>
      <c r="AF27" s="1218"/>
      <c r="AG27" s="1218"/>
      <c r="AH27" s="1218"/>
      <c r="AI27" s="1218"/>
      <c r="AJ27" s="1218"/>
      <c r="AK27" s="1218"/>
    </row>
    <row r="28" spans="3:43" s="16" customFormat="1" ht="13.5">
      <c r="C28" s="15"/>
      <c r="U28" s="36"/>
      <c r="W28" s="1200"/>
      <c r="Y28" s="56" t="s">
        <v>463</v>
      </c>
      <c r="Z28" s="1208"/>
      <c r="AA28" s="1210"/>
      <c r="AB28" s="1219">
        <v>0</v>
      </c>
      <c r="AC28" s="1219">
        <f t="shared" ref="AC28:AC41" si="0">AB28^0.5</f>
        <v>0</v>
      </c>
      <c r="AD28" s="1220">
        <f>Data!I2</f>
        <v>0.99450000000000005</v>
      </c>
      <c r="AE28" s="1220">
        <f>Data!J2</f>
        <v>0.9909</v>
      </c>
      <c r="AF28" s="1220">
        <f>Data!K2</f>
        <v>0.98</v>
      </c>
      <c r="AG28" s="1220">
        <f>Data!L2</f>
        <v>0.95399999999999996</v>
      </c>
      <c r="AH28" s="1220">
        <f>Data!M2</f>
        <v>0.89600000000000002</v>
      </c>
      <c r="AI28" s="1220">
        <f>Data!N2</f>
        <v>0.81520000000000004</v>
      </c>
      <c r="AJ28" s="1220">
        <f>Data!O2</f>
        <v>0.7</v>
      </c>
      <c r="AK28" s="1220">
        <f>Data!P2</f>
        <v>0.71819999999999995</v>
      </c>
      <c r="AL28" s="750"/>
    </row>
    <row r="29" spans="3:43" s="16" customFormat="1" ht="13.5">
      <c r="C29" s="15"/>
      <c r="U29" s="36"/>
      <c r="W29" s="1200"/>
      <c r="Y29" s="56">
        <v>0.1</v>
      </c>
      <c r="Z29" s="1208">
        <f>J27</f>
        <v>1.2742616566143372</v>
      </c>
      <c r="AA29" s="1210"/>
      <c r="AB29" s="1219">
        <v>0.25</v>
      </c>
      <c r="AC29" s="1219">
        <f t="shared" si="0"/>
        <v>0.5</v>
      </c>
      <c r="AD29" s="1221">
        <f>Data!I3</f>
        <v>0.99229999999999996</v>
      </c>
      <c r="AE29" s="1221">
        <f>Data!J3</f>
        <v>0.98729999999999996</v>
      </c>
      <c r="AF29" s="1221">
        <f>Data!K3</f>
        <v>0.97160000000000002</v>
      </c>
      <c r="AG29" s="1221">
        <f>Data!L3</f>
        <v>0.94</v>
      </c>
      <c r="AH29" s="1221">
        <f>Data!M3</f>
        <v>0.88139999999999996</v>
      </c>
      <c r="AI29" s="1221">
        <f>Data!N3</f>
        <v>0.80120000000000002</v>
      </c>
      <c r="AJ29" s="1221"/>
      <c r="AK29" s="1221"/>
      <c r="AL29" s="750"/>
    </row>
    <row r="30" spans="3:43" s="16" customFormat="1" ht="13.5">
      <c r="C30" s="15"/>
      <c r="U30" s="36"/>
      <c r="W30" s="1200"/>
      <c r="Y30" s="56">
        <v>10</v>
      </c>
      <c r="Z30" s="1208">
        <f>Z29</f>
        <v>1.2742616566143372</v>
      </c>
      <c r="AA30" s="1210"/>
      <c r="AB30" s="1219">
        <v>0.5</v>
      </c>
      <c r="AC30" s="1219">
        <f t="shared" si="0"/>
        <v>0.70710678118654757</v>
      </c>
      <c r="AD30" s="1221">
        <f>Data!I4</f>
        <v>0.99199999999999999</v>
      </c>
      <c r="AE30" s="1221">
        <f>Data!J4</f>
        <v>0.98680000000000001</v>
      </c>
      <c r="AF30" s="1221">
        <f>Data!K4</f>
        <v>0.97019999999999995</v>
      </c>
      <c r="AG30" s="1221">
        <f>Data!L4</f>
        <v>0.93779999999999997</v>
      </c>
      <c r="AH30" s="1221">
        <f>Data!M4</f>
        <v>0.87919999999999998</v>
      </c>
      <c r="AI30" s="1221">
        <f>Data!N4</f>
        <v>0.79669999999999996</v>
      </c>
      <c r="AJ30" s="1221"/>
      <c r="AK30" s="1221"/>
      <c r="AL30" s="750"/>
    </row>
    <row r="31" spans="3:43" s="16" customFormat="1" ht="12">
      <c r="C31" s="15"/>
      <c r="U31" s="36"/>
      <c r="W31" s="1200"/>
      <c r="Y31" s="44"/>
      <c r="Z31" s="44"/>
      <c r="AA31" s="44"/>
      <c r="AB31" s="1222">
        <v>1</v>
      </c>
      <c r="AC31" s="1219">
        <f t="shared" si="0"/>
        <v>1</v>
      </c>
      <c r="AD31" s="1221">
        <f>Data!I5</f>
        <v>0.99170000000000003</v>
      </c>
      <c r="AE31" s="1221">
        <f>Data!J5</f>
        <v>0.98599999999999999</v>
      </c>
      <c r="AF31" s="1221">
        <f>Data!K5</f>
        <v>0.96799999999999997</v>
      </c>
      <c r="AG31" s="1221">
        <f>Data!L5</f>
        <v>0.93559999999999999</v>
      </c>
      <c r="AH31" s="1221">
        <f>Data!M5</f>
        <v>0.87609999999999999</v>
      </c>
      <c r="AI31" s="1221">
        <f>Data!N5</f>
        <v>0.79279999999999995</v>
      </c>
      <c r="AJ31" s="1221"/>
      <c r="AK31" s="1221"/>
    </row>
    <row r="32" spans="3:43" s="16" customFormat="1" ht="12">
      <c r="C32" s="15"/>
      <c r="U32" s="36"/>
      <c r="W32" s="1200"/>
      <c r="Y32" s="56" t="s">
        <v>498</v>
      </c>
      <c r="Z32" s="56"/>
      <c r="AA32" s="44"/>
      <c r="AB32" s="1222">
        <v>2</v>
      </c>
      <c r="AC32" s="1219">
        <f t="shared" si="0"/>
        <v>1.4142135623730951</v>
      </c>
      <c r="AD32" s="1221">
        <f>Data!I6</f>
        <v>0.99139999999999995</v>
      </c>
      <c r="AE32" s="1221">
        <f>Data!J6</f>
        <v>0.98529999999999995</v>
      </c>
      <c r="AF32" s="1221">
        <f>Data!K6</f>
        <v>0.96640000000000004</v>
      </c>
      <c r="AG32" s="1221">
        <f>Data!L6</f>
        <v>0.93300000000000005</v>
      </c>
      <c r="AH32" s="1221">
        <f>Data!M6</f>
        <v>0.87209999999999999</v>
      </c>
      <c r="AI32" s="1221">
        <f>Data!N6</f>
        <v>0.78859999999999997</v>
      </c>
      <c r="AJ32" s="1221"/>
      <c r="AK32" s="1221"/>
    </row>
    <row r="33" spans="3:42" s="16" customFormat="1" ht="12">
      <c r="C33" s="15"/>
      <c r="U33" s="36"/>
      <c r="W33" s="1200"/>
      <c r="Y33" s="56" t="s">
        <v>499</v>
      </c>
      <c r="Z33" s="1055">
        <f>MAX(AM48:AM53)</f>
        <v>2.1738387444413435E-2</v>
      </c>
      <c r="AA33" s="44"/>
      <c r="AB33" s="1222">
        <v>4</v>
      </c>
      <c r="AC33" s="1219">
        <f t="shared" si="0"/>
        <v>2</v>
      </c>
      <c r="AD33" s="1221">
        <f>Data!I7</f>
        <v>0.99119999999999997</v>
      </c>
      <c r="AE33" s="1221">
        <f>Data!J7</f>
        <v>0.98470000000000002</v>
      </c>
      <c r="AF33" s="1221">
        <f>Data!K7</f>
        <v>0.96479999999999999</v>
      </c>
      <c r="AG33" s="1221">
        <f>Data!L7</f>
        <v>0.92930000000000001</v>
      </c>
      <c r="AH33" s="1221">
        <f>Data!M7</f>
        <v>0.86809999999999998</v>
      </c>
      <c r="AI33" s="1221">
        <f>Data!N7</f>
        <v>0.78139999999999998</v>
      </c>
      <c r="AJ33" s="1221"/>
      <c r="AK33" s="1221"/>
    </row>
    <row r="34" spans="3:42" s="16" customFormat="1" ht="12">
      <c r="C34" s="15"/>
      <c r="E34" s="41"/>
      <c r="U34" s="36"/>
      <c r="W34" s="1200"/>
      <c r="Y34" s="56"/>
      <c r="Z34" s="1055">
        <f>MIN(AM48:AM53)</f>
        <v>1.1493123875884076E-2</v>
      </c>
      <c r="AA34" s="44"/>
      <c r="AB34" s="1222">
        <v>8</v>
      </c>
      <c r="AC34" s="1219">
        <f t="shared" si="0"/>
        <v>2.8284271247461903</v>
      </c>
      <c r="AD34" s="1221">
        <f>Data!I8</f>
        <v>0.99099999999999999</v>
      </c>
      <c r="AE34" s="1221">
        <f>Data!J8</f>
        <v>0.98399999999999999</v>
      </c>
      <c r="AF34" s="1221">
        <f>Data!K8</f>
        <v>0.96330000000000005</v>
      </c>
      <c r="AG34" s="1221">
        <f>Data!L8</f>
        <v>0.92600000000000005</v>
      </c>
      <c r="AH34" s="1221">
        <f>Data!M8</f>
        <v>0.86140000000000005</v>
      </c>
      <c r="AI34" s="1221">
        <f>Data!N8</f>
        <v>0.7732</v>
      </c>
      <c r="AJ34" s="1221"/>
      <c r="AK34" s="1221"/>
    </row>
    <row r="35" spans="3:42" s="16" customFormat="1" ht="12">
      <c r="C35" s="15"/>
      <c r="U35" s="36"/>
      <c r="W35" s="1200"/>
      <c r="Y35" s="56"/>
      <c r="Z35" s="56"/>
      <c r="AA35" s="44"/>
      <c r="AB35" s="1222">
        <v>15</v>
      </c>
      <c r="AC35" s="1219">
        <f t="shared" si="0"/>
        <v>3.872983346207417</v>
      </c>
      <c r="AD35" s="1221">
        <f>Data!I9</f>
        <v>0.9909</v>
      </c>
      <c r="AE35" s="1221">
        <f>Data!J9</f>
        <v>0.98319999999999996</v>
      </c>
      <c r="AF35" s="1221">
        <f>Data!K9</f>
        <v>0.96160000000000001</v>
      </c>
      <c r="AG35" s="1221">
        <f>Data!L9</f>
        <v>0.92200000000000004</v>
      </c>
      <c r="AH35" s="1221">
        <f>Data!M9</f>
        <v>0.85409999999999997</v>
      </c>
      <c r="AI35" s="1221">
        <f>Data!N9</f>
        <v>0.76539999999999997</v>
      </c>
      <c r="AJ35" s="1221"/>
      <c r="AK35" s="1221"/>
    </row>
    <row r="36" spans="3:42" s="16" customFormat="1" ht="12">
      <c r="C36" s="15"/>
      <c r="E36" s="42"/>
      <c r="F36" s="43"/>
      <c r="U36" s="36"/>
      <c r="W36" s="1200"/>
      <c r="Y36" s="56" t="s">
        <v>500</v>
      </c>
      <c r="Z36" s="1223">
        <f>1/AM46</f>
        <v>0.01</v>
      </c>
      <c r="AA36" s="44"/>
      <c r="AB36" s="1222">
        <v>30</v>
      </c>
      <c r="AC36" s="1219">
        <f t="shared" si="0"/>
        <v>5.4772255750516612</v>
      </c>
      <c r="AD36" s="1221">
        <f>Data!I10</f>
        <v>0.9909</v>
      </c>
      <c r="AE36" s="1221">
        <f>Data!J10</f>
        <v>0.98260000000000003</v>
      </c>
      <c r="AF36" s="1221">
        <f>Data!K10</f>
        <v>0.95989999999999998</v>
      </c>
      <c r="AG36" s="1221">
        <f>Data!L10</f>
        <v>0.91700000000000004</v>
      </c>
      <c r="AH36" s="1221">
        <f>Data!M10</f>
        <v>0.84470000000000001</v>
      </c>
      <c r="AI36" s="1221">
        <f>Data!N10</f>
        <v>0.75409999999999999</v>
      </c>
      <c r="AJ36" s="1221"/>
      <c r="AK36" s="1221"/>
      <c r="AL36" s="709"/>
    </row>
    <row r="37" spans="3:42" s="16" customFormat="1" ht="12">
      <c r="C37" s="15"/>
      <c r="E37" s="37"/>
      <c r="F37" s="37"/>
      <c r="U37" s="36"/>
      <c r="W37" s="1200"/>
      <c r="AA37" s="34"/>
      <c r="AB37" s="1222">
        <v>60</v>
      </c>
      <c r="AC37" s="1219">
        <f t="shared" si="0"/>
        <v>7.745966692414834</v>
      </c>
      <c r="AD37" s="1221">
        <f>Data!I11</f>
        <v>0.9909</v>
      </c>
      <c r="AE37" s="1221">
        <f>Data!J11</f>
        <v>0.98199999999999998</v>
      </c>
      <c r="AF37" s="1221">
        <f>Data!K11</f>
        <v>0.95799999999999996</v>
      </c>
      <c r="AG37" s="1221">
        <f>Data!L11</f>
        <v>0.90980000000000005</v>
      </c>
      <c r="AH37" s="1221">
        <f>Data!M11</f>
        <v>0.83550000000000002</v>
      </c>
      <c r="AI37" s="1221">
        <f>Data!N11</f>
        <v>0.74150000000000005</v>
      </c>
      <c r="AJ37" s="1221"/>
      <c r="AK37" s="1221"/>
    </row>
    <row r="38" spans="3:42" s="16" customFormat="1" ht="15.95" customHeight="1">
      <c r="C38" s="15"/>
      <c r="E38" s="37"/>
      <c r="F38" s="37"/>
      <c r="U38" s="36"/>
      <c r="W38" s="1200"/>
      <c r="AA38" s="34"/>
      <c r="AB38" s="1222">
        <v>120</v>
      </c>
      <c r="AC38" s="1219">
        <f t="shared" si="0"/>
        <v>10.954451150103322</v>
      </c>
      <c r="AD38" s="1221">
        <f>Data!I12</f>
        <v>0.9909</v>
      </c>
      <c r="AE38" s="1221">
        <f>Data!J12</f>
        <v>0.98119999999999996</v>
      </c>
      <c r="AF38" s="1221">
        <f>Data!K12</f>
        <v>0.95620000000000005</v>
      </c>
      <c r="AG38" s="1221">
        <f>Data!L12</f>
        <v>0.90410000000000001</v>
      </c>
      <c r="AH38" s="1221">
        <f>Data!M12</f>
        <v>0.82869999999999999</v>
      </c>
      <c r="AI38" s="1221">
        <f>Data!N12</f>
        <v>0.72719999999999996</v>
      </c>
      <c r="AJ38" s="1221"/>
      <c r="AK38" s="1221"/>
    </row>
    <row r="39" spans="3:42" s="16" customFormat="1" ht="12">
      <c r="C39" s="15"/>
      <c r="E39" s="37"/>
      <c r="F39" s="37"/>
      <c r="U39" s="36"/>
      <c r="W39" s="1200"/>
      <c r="AA39" s="34"/>
      <c r="AB39" s="1222">
        <v>256</v>
      </c>
      <c r="AC39" s="1219">
        <f t="shared" si="0"/>
        <v>16</v>
      </c>
      <c r="AD39" s="1221">
        <f>Data!I13</f>
        <v>0.9909</v>
      </c>
      <c r="AE39" s="1221">
        <f>Data!J13</f>
        <v>0.98089999999999999</v>
      </c>
      <c r="AF39" s="1221">
        <f>Data!K13</f>
        <v>0.95479999999999998</v>
      </c>
      <c r="AG39" s="1221">
        <f>Data!L13</f>
        <v>0.9</v>
      </c>
      <c r="AH39" s="1221">
        <f>Data!M13</f>
        <v>0.82220000000000004</v>
      </c>
      <c r="AI39" s="1221">
        <f>Data!N13</f>
        <v>0.71630000000000005</v>
      </c>
      <c r="AJ39" s="1221"/>
      <c r="AK39" s="1221"/>
    </row>
    <row r="40" spans="3:42" s="16" customFormat="1" ht="12">
      <c r="C40" s="15"/>
      <c r="E40" s="37"/>
      <c r="F40" s="37"/>
      <c r="U40" s="36"/>
      <c r="W40" s="1200"/>
      <c r="AA40" s="34"/>
      <c r="AB40" s="1222">
        <v>484</v>
      </c>
      <c r="AC40" s="1219">
        <f t="shared" si="0"/>
        <v>22</v>
      </c>
      <c r="AD40" s="1221">
        <f>Data!I14</f>
        <v>0.9909</v>
      </c>
      <c r="AE40" s="1221">
        <f>Data!J14</f>
        <v>0.98060000000000003</v>
      </c>
      <c r="AF40" s="1221">
        <f>Data!K14</f>
        <v>0.95440000000000003</v>
      </c>
      <c r="AG40" s="1221">
        <f>Data!L14</f>
        <v>0.89700000000000002</v>
      </c>
      <c r="AH40" s="1221">
        <f>Data!M14</f>
        <v>0.81930000000000003</v>
      </c>
      <c r="AI40" s="1221">
        <f>Data!N14</f>
        <v>0.71020000000000005</v>
      </c>
      <c r="AJ40" s="1221"/>
      <c r="AK40" s="1221"/>
    </row>
    <row r="41" spans="3:42" s="16" customFormat="1" ht="12">
      <c r="C41" s="15"/>
      <c r="E41" s="37"/>
      <c r="F41" s="37"/>
      <c r="U41" s="36"/>
      <c r="W41" s="1200"/>
      <c r="AA41" s="34"/>
      <c r="AB41" s="1222">
        <v>1440</v>
      </c>
      <c r="AC41" s="1219">
        <f t="shared" si="0"/>
        <v>37.947331922020552</v>
      </c>
      <c r="AD41" s="1224">
        <f>Data!I15</f>
        <v>0.9909</v>
      </c>
      <c r="AE41" s="1224">
        <f>Data!J15</f>
        <v>0.98</v>
      </c>
      <c r="AF41" s="1224">
        <f>Data!K15</f>
        <v>0.95399999999999996</v>
      </c>
      <c r="AG41" s="1224">
        <f>Data!L15</f>
        <v>0.89600000000000002</v>
      </c>
      <c r="AH41" s="1224">
        <f>Data!M15</f>
        <v>0.81520000000000004</v>
      </c>
      <c r="AI41" s="1224">
        <f>Data!N15</f>
        <v>0.7</v>
      </c>
      <c r="AJ41" s="1224">
        <f>Data!O15</f>
        <v>0.71819999999999995</v>
      </c>
      <c r="AK41" s="1224">
        <f>Data!P15</f>
        <v>0.74360000000000004</v>
      </c>
    </row>
    <row r="42" spans="3:42" s="16" customFormat="1" ht="12">
      <c r="C42" s="15"/>
      <c r="E42" s="37"/>
      <c r="F42" s="37"/>
      <c r="U42" s="36"/>
      <c r="W42" s="1200"/>
      <c r="AA42" s="34"/>
    </row>
    <row r="43" spans="3:42" s="16" customFormat="1" ht="12">
      <c r="C43" s="15"/>
      <c r="E43" s="37"/>
      <c r="F43" s="37"/>
      <c r="U43" s="36"/>
      <c r="W43" s="1200"/>
      <c r="Y43" s="34"/>
    </row>
    <row r="44" spans="3:42" s="16" customFormat="1" ht="12">
      <c r="C44" s="15"/>
      <c r="E44" s="37"/>
      <c r="F44" s="37"/>
      <c r="U44" s="36"/>
      <c r="W44" s="1200"/>
      <c r="Y44" s="34"/>
      <c r="AF44" s="1225" t="s">
        <v>488</v>
      </c>
      <c r="AG44" s="1225"/>
      <c r="AH44" s="1225"/>
      <c r="AI44" s="1225"/>
      <c r="AM44" s="16" t="s">
        <v>507</v>
      </c>
    </row>
    <row r="45" spans="3:42" s="16" customFormat="1" ht="13.5">
      <c r="C45" s="15"/>
      <c r="E45" s="37"/>
      <c r="F45" s="37"/>
      <c r="U45" s="36"/>
      <c r="W45" s="1200"/>
      <c r="Y45" s="34"/>
      <c r="AA45" s="16" t="s">
        <v>489</v>
      </c>
      <c r="AF45" s="1202" t="s">
        <v>490</v>
      </c>
      <c r="AG45" s="1202"/>
      <c r="AH45" s="1226" t="s">
        <v>358</v>
      </c>
      <c r="AI45" s="1227" t="s">
        <v>468</v>
      </c>
    </row>
    <row r="46" spans="3:42" s="16" customFormat="1" ht="13.5">
      <c r="C46" s="15"/>
      <c r="E46" s="37"/>
      <c r="F46" s="37"/>
      <c r="U46" s="36"/>
      <c r="W46" s="1200"/>
      <c r="Y46" s="732" t="s">
        <v>423</v>
      </c>
      <c r="Z46" s="732" t="s">
        <v>424</v>
      </c>
      <c r="AA46" s="732" t="s">
        <v>467</v>
      </c>
      <c r="AB46" s="732" t="s">
        <v>425</v>
      </c>
      <c r="AC46" s="732" t="s">
        <v>358</v>
      </c>
      <c r="AD46" s="732" t="s">
        <v>107</v>
      </c>
      <c r="AE46" s="710" t="s">
        <v>426</v>
      </c>
      <c r="AF46" s="730" t="s">
        <v>427</v>
      </c>
      <c r="AG46" s="732" t="s">
        <v>428</v>
      </c>
      <c r="AH46" s="732"/>
      <c r="AI46" s="1228"/>
      <c r="AJ46" s="711" t="s">
        <v>491</v>
      </c>
      <c r="AK46" s="732" t="s">
        <v>492</v>
      </c>
      <c r="AL46" s="732" t="s">
        <v>429</v>
      </c>
      <c r="AM46" s="784">
        <v>100</v>
      </c>
      <c r="AO46" s="706"/>
      <c r="AP46" s="706"/>
    </row>
    <row r="47" spans="3:42" s="16" customFormat="1" ht="13.5">
      <c r="C47" s="15"/>
      <c r="E47" s="37"/>
      <c r="F47" s="37"/>
      <c r="U47" s="36"/>
      <c r="W47" s="1200"/>
      <c r="Y47" s="44">
        <v>0</v>
      </c>
      <c r="Z47" s="752">
        <f>AD28</f>
        <v>0.99450000000000005</v>
      </c>
      <c r="AA47" s="1229"/>
      <c r="AB47" s="1229"/>
      <c r="AC47" s="1230">
        <f>AG18</f>
        <v>1.2742616566143372</v>
      </c>
      <c r="AD47" s="1231"/>
      <c r="AE47" s="1231"/>
      <c r="AF47" s="1231">
        <v>0</v>
      </c>
      <c r="AG47" s="1231"/>
      <c r="AH47" s="1231"/>
      <c r="AI47" s="1232"/>
      <c r="AJ47" s="1231"/>
      <c r="AK47" s="1231"/>
      <c r="AL47" s="1231"/>
      <c r="AM47" s="1231"/>
      <c r="AN47" s="16" t="str">
        <f>IF(AND(Y47&gt;=0.5,Y47&lt;=2),"Ya","Tidak")</f>
        <v>Tidak</v>
      </c>
    </row>
    <row r="48" spans="3:42" s="16" customFormat="1" ht="13.5">
      <c r="C48" s="15"/>
      <c r="E48" s="37"/>
      <c r="F48" s="37"/>
      <c r="P48" s="1792"/>
      <c r="Q48" s="1792"/>
      <c r="U48" s="36"/>
      <c r="W48" s="1200"/>
      <c r="Y48" s="732">
        <v>0.25</v>
      </c>
      <c r="Z48" s="752">
        <f>AD41</f>
        <v>0.9909</v>
      </c>
      <c r="AA48" s="752">
        <f>$AD$28-Z48</f>
        <v>3.6000000000000476E-3</v>
      </c>
      <c r="AB48" s="752">
        <f t="shared" ref="AB48:AB55" si="1">AA48/$AG$20</f>
        <v>4.0728392610757296E-3</v>
      </c>
      <c r="AC48" s="1233">
        <f>$AC$47-AB48</f>
        <v>1.2701888173532614</v>
      </c>
      <c r="AD48" s="1233">
        <f>$Z$3-AA48</f>
        <v>2.0063999999999997</v>
      </c>
      <c r="AE48" s="1233">
        <f>($Z$3+AD48)/4</f>
        <v>1.0040999999999998</v>
      </c>
      <c r="AF48" s="1233">
        <f t="shared" ref="AF48:AF53" si="2">AC47-AC48</f>
        <v>4.0728392610758224E-3</v>
      </c>
      <c r="AG48" s="1233">
        <f>Y48</f>
        <v>0.25</v>
      </c>
      <c r="AH48" s="1233">
        <f t="shared" ref="AH48:AH53" si="3">1+AC48</f>
        <v>2.2701888173532616</v>
      </c>
      <c r="AI48" s="1234">
        <f t="shared" ref="AI48:AI53" si="4">(AF48/AG48)/AH48</f>
        <v>7.1762123572156637E-3</v>
      </c>
      <c r="AJ48" s="1233">
        <f>AG94</f>
        <v>2.8</v>
      </c>
      <c r="AK48" s="1233">
        <f t="shared" ref="AK48:AK53" si="5">AJ48^2*60</f>
        <v>470.39999999999992</v>
      </c>
      <c r="AL48" s="1235">
        <f t="shared" ref="AL48:AL53" si="6">AE48^2/(AK48*(3.14^2))</f>
        <v>2.1738387444413435E-4</v>
      </c>
      <c r="AM48" s="1236">
        <f t="shared" ref="AM48:AM53" si="7">AL48*$AM$46</f>
        <v>2.1738387444413435E-2</v>
      </c>
      <c r="AN48" s="16" t="str">
        <f t="shared" ref="AN48:AN53" si="8">IF(AND(Y48&gt;=0.5,Y48&lt;=2),"Ya","Tidak")</f>
        <v>Tidak</v>
      </c>
      <c r="AO48" s="706"/>
      <c r="AP48" s="706"/>
    </row>
    <row r="49" spans="3:45" s="16" customFormat="1" ht="15.75" customHeight="1">
      <c r="C49" s="15"/>
      <c r="E49" s="37"/>
      <c r="F49" s="37"/>
      <c r="P49" s="1792"/>
      <c r="Q49" s="1792"/>
      <c r="U49" s="36"/>
      <c r="W49" s="1200"/>
      <c r="Y49" s="732">
        <v>0.5</v>
      </c>
      <c r="Z49" s="752">
        <f>AE41</f>
        <v>0.98</v>
      </c>
      <c r="AA49" s="752">
        <f>Z48-Z49</f>
        <v>1.0900000000000021E-2</v>
      </c>
      <c r="AB49" s="752">
        <f t="shared" si="1"/>
        <v>1.2331652207145818E-2</v>
      </c>
      <c r="AC49" s="1233">
        <f>$AC$47-AB48-AB49</f>
        <v>1.2578571651461157</v>
      </c>
      <c r="AD49" s="1233">
        <f>AD48-AA49</f>
        <v>1.9954999999999998</v>
      </c>
      <c r="AE49" s="1233">
        <f t="shared" ref="AE49:AE55" si="9">(AD48+AD49)/4</f>
        <v>1.0004749999999998</v>
      </c>
      <c r="AF49" s="1233">
        <f t="shared" si="2"/>
        <v>1.2331652207145716E-2</v>
      </c>
      <c r="AG49" s="1233">
        <f>Y49-Y48</f>
        <v>0.25</v>
      </c>
      <c r="AH49" s="1233">
        <f t="shared" si="3"/>
        <v>2.2578571651461159</v>
      </c>
      <c r="AI49" s="1234">
        <f t="shared" si="4"/>
        <v>2.184664716175291E-2</v>
      </c>
      <c r="AJ49" s="1233">
        <f>AG119</f>
        <v>2.8</v>
      </c>
      <c r="AK49" s="1233">
        <f t="shared" si="5"/>
        <v>470.39999999999992</v>
      </c>
      <c r="AL49" s="1235">
        <f t="shared" si="6"/>
        <v>2.1581710998460038E-4</v>
      </c>
      <c r="AM49" s="1236">
        <f t="shared" si="7"/>
        <v>2.1581710998460037E-2</v>
      </c>
      <c r="AN49" s="16" t="str">
        <f t="shared" si="8"/>
        <v>Ya</v>
      </c>
      <c r="AO49" s="706"/>
      <c r="AP49" s="706"/>
    </row>
    <row r="50" spans="3:45" s="16" customFormat="1" ht="13.5" customHeight="1">
      <c r="C50" s="15"/>
      <c r="E50" s="37"/>
      <c r="F50" s="37"/>
      <c r="U50" s="36"/>
      <c r="W50" s="1200"/>
      <c r="Y50" s="732">
        <v>1</v>
      </c>
      <c r="Z50" s="752">
        <f>AF41</f>
        <v>0.95399999999999996</v>
      </c>
      <c r="AA50" s="752">
        <f>Z49-Z50</f>
        <v>2.6000000000000023E-2</v>
      </c>
      <c r="AB50" s="752">
        <f t="shared" si="1"/>
        <v>2.9414950218879906E-2</v>
      </c>
      <c r="AC50" s="1233">
        <f>$AC$47-AB48-AB49-AB50</f>
        <v>1.2284422149272358</v>
      </c>
      <c r="AD50" s="1233">
        <f>AD49-AA50</f>
        <v>1.9694999999999998</v>
      </c>
      <c r="AE50" s="1233">
        <f t="shared" si="9"/>
        <v>0.99124999999999996</v>
      </c>
      <c r="AF50" s="1233">
        <f t="shared" si="2"/>
        <v>2.9414950218879854E-2</v>
      </c>
      <c r="AG50" s="1233">
        <f>Y51-Y50</f>
        <v>1</v>
      </c>
      <c r="AH50" s="1233">
        <f t="shared" si="3"/>
        <v>2.2284422149272358</v>
      </c>
      <c r="AI50" s="1234">
        <f t="shared" si="4"/>
        <v>1.319978145353898E-2</v>
      </c>
      <c r="AJ50" s="1233">
        <f>AG144</f>
        <v>2.8</v>
      </c>
      <c r="AK50" s="1233">
        <f t="shared" si="5"/>
        <v>470.39999999999992</v>
      </c>
      <c r="AL50" s="1235">
        <f t="shared" si="6"/>
        <v>2.1185552351011603E-4</v>
      </c>
      <c r="AM50" s="1236">
        <f t="shared" si="7"/>
        <v>2.1185552351011602E-2</v>
      </c>
      <c r="AN50" s="16" t="str">
        <f t="shared" si="8"/>
        <v>Ya</v>
      </c>
      <c r="AO50" s="706"/>
      <c r="AP50" s="706"/>
    </row>
    <row r="51" spans="3:45" s="16" customFormat="1" ht="13.5" customHeight="1">
      <c r="C51" s="15"/>
      <c r="E51" s="37"/>
      <c r="F51" s="37"/>
      <c r="U51" s="36"/>
      <c r="W51" s="1200"/>
      <c r="Y51" s="732">
        <v>2</v>
      </c>
      <c r="Z51" s="752">
        <f>AG41</f>
        <v>0.89600000000000002</v>
      </c>
      <c r="AA51" s="752">
        <f>Z50-Z51</f>
        <v>5.799999999999994E-2</v>
      </c>
      <c r="AB51" s="752">
        <f t="shared" si="1"/>
        <v>6.561796587288582E-2</v>
      </c>
      <c r="AC51" s="1233">
        <f>$AC$47-AB48-AB49-AB50-AB51</f>
        <v>1.1628242490543501</v>
      </c>
      <c r="AD51" s="1233">
        <f>AD50-AA51</f>
        <v>1.9114999999999998</v>
      </c>
      <c r="AE51" s="1233">
        <f t="shared" si="9"/>
        <v>0.97024999999999983</v>
      </c>
      <c r="AF51" s="1233">
        <f t="shared" si="2"/>
        <v>6.5617965872885708E-2</v>
      </c>
      <c r="AG51" s="1233">
        <f>Y52-Y51</f>
        <v>2</v>
      </c>
      <c r="AH51" s="1233">
        <f t="shared" si="3"/>
        <v>2.1628242490543501</v>
      </c>
      <c r="AI51" s="1234">
        <f t="shared" si="4"/>
        <v>1.5169509473914905E-2</v>
      </c>
      <c r="AJ51" s="1233">
        <f>AG169</f>
        <v>2.9</v>
      </c>
      <c r="AK51" s="1233">
        <f t="shared" si="5"/>
        <v>504.6</v>
      </c>
      <c r="AL51" s="1235">
        <f t="shared" si="6"/>
        <v>1.8921726487767761E-4</v>
      </c>
      <c r="AM51" s="1236">
        <f t="shared" si="7"/>
        <v>1.892172648776776E-2</v>
      </c>
      <c r="AN51" s="16" t="str">
        <f t="shared" si="8"/>
        <v>Ya</v>
      </c>
      <c r="AO51" s="706"/>
      <c r="AP51" s="706"/>
    </row>
    <row r="52" spans="3:45" s="16" customFormat="1" ht="13.5" customHeight="1">
      <c r="C52" s="15"/>
      <c r="E52" s="45"/>
      <c r="F52" s="34"/>
      <c r="G52" s="34"/>
      <c r="I52" s="1793"/>
      <c r="J52" s="59"/>
      <c r="M52" s="1794"/>
      <c r="N52" s="41"/>
      <c r="U52" s="36"/>
      <c r="W52" s="1200"/>
      <c r="Y52" s="732">
        <v>4</v>
      </c>
      <c r="Z52" s="752">
        <f>AH41</f>
        <v>0.81520000000000004</v>
      </c>
      <c r="AA52" s="752">
        <f>Z51-Z52</f>
        <v>8.0799999999999983E-2</v>
      </c>
      <c r="AB52" s="752">
        <f t="shared" si="1"/>
        <v>9.1412614526365149E-2</v>
      </c>
      <c r="AC52" s="1233">
        <f>$AC$47-AB48-AB49-AB50-AB51-AB52</f>
        <v>1.0714116345279849</v>
      </c>
      <c r="AD52" s="1233">
        <f>AD51-AA52</f>
        <v>1.8306999999999998</v>
      </c>
      <c r="AE52" s="1233">
        <f t="shared" si="9"/>
        <v>0.93554999999999988</v>
      </c>
      <c r="AF52" s="1233">
        <f t="shared" si="2"/>
        <v>9.1412614526365177E-2</v>
      </c>
      <c r="AG52" s="1233">
        <f>Y52-Y51</f>
        <v>2</v>
      </c>
      <c r="AH52" s="1233">
        <f t="shared" si="3"/>
        <v>2.0714116345279852</v>
      </c>
      <c r="AI52" s="1234">
        <f t="shared" si="4"/>
        <v>2.2065294266630755E-2</v>
      </c>
      <c r="AJ52" s="1233">
        <f>AG192</f>
        <v>3.2</v>
      </c>
      <c r="AK52" s="1233">
        <f t="shared" si="5"/>
        <v>614.40000000000009</v>
      </c>
      <c r="AL52" s="1235">
        <f t="shared" si="6"/>
        <v>1.444852464440589E-4</v>
      </c>
      <c r="AM52" s="1236">
        <f t="shared" si="7"/>
        <v>1.4448524644405889E-2</v>
      </c>
      <c r="AN52" s="16" t="str">
        <f t="shared" si="8"/>
        <v>Tidak</v>
      </c>
      <c r="AO52" s="706"/>
      <c r="AP52" s="706"/>
    </row>
    <row r="53" spans="3:45" s="16" customFormat="1" ht="12" customHeight="1">
      <c r="C53" s="15"/>
      <c r="E53" s="37"/>
      <c r="F53" s="37"/>
      <c r="U53" s="36"/>
      <c r="W53" s="1200"/>
      <c r="Y53" s="732">
        <v>8</v>
      </c>
      <c r="Z53" s="752">
        <f>AI41</f>
        <v>0.7</v>
      </c>
      <c r="AA53" s="752">
        <f>Z52-Z53</f>
        <v>0.11520000000000008</v>
      </c>
      <c r="AB53" s="752">
        <f t="shared" si="1"/>
        <v>0.13033085635442171</v>
      </c>
      <c r="AC53" s="1233">
        <f>$AC$47-AB48-AB49-AB50-AB51-AB52-AB53</f>
        <v>0.94108077817356328</v>
      </c>
      <c r="AD53" s="1233">
        <f>AD52-AA53</f>
        <v>1.7154999999999996</v>
      </c>
      <c r="AE53" s="1233">
        <f t="shared" si="9"/>
        <v>0.88654999999999984</v>
      </c>
      <c r="AF53" s="1233">
        <f t="shared" si="2"/>
        <v>0.13033085635442165</v>
      </c>
      <c r="AG53" s="1233">
        <f>Y53-Y52</f>
        <v>4</v>
      </c>
      <c r="AH53" s="1233">
        <f t="shared" si="3"/>
        <v>1.9410807781735633</v>
      </c>
      <c r="AI53" s="1234">
        <f t="shared" si="4"/>
        <v>1.6785862007898368E-2</v>
      </c>
      <c r="AJ53" s="1233">
        <f>AG214</f>
        <v>3.4</v>
      </c>
      <c r="AK53" s="1233">
        <f t="shared" si="5"/>
        <v>693.59999999999991</v>
      </c>
      <c r="AL53" s="1235">
        <f t="shared" si="6"/>
        <v>1.1493123875884076E-4</v>
      </c>
      <c r="AM53" s="1236">
        <f t="shared" si="7"/>
        <v>1.1493123875884076E-2</v>
      </c>
      <c r="AN53" s="16" t="str">
        <f t="shared" si="8"/>
        <v>Tidak</v>
      </c>
      <c r="AO53" s="706"/>
      <c r="AP53" s="706"/>
    </row>
    <row r="54" spans="3:45" s="16" customFormat="1" ht="12" customHeight="1">
      <c r="C54" s="15"/>
      <c r="E54" s="37"/>
      <c r="F54" s="37"/>
      <c r="U54" s="36"/>
      <c r="W54" s="1200"/>
      <c r="Y54" s="56">
        <v>2</v>
      </c>
      <c r="Z54" s="1237">
        <f>AJ41</f>
        <v>0.71819999999999995</v>
      </c>
      <c r="AA54" s="752">
        <f>Z54-Z53</f>
        <v>1.8199999999999994E-2</v>
      </c>
      <c r="AB54" s="752">
        <f t="shared" si="1"/>
        <v>2.0590465153215907E-2</v>
      </c>
      <c r="AC54" s="1233">
        <f>$AC$47+AB54-AB53-AB52-AB51-AB50-AB49-AB48</f>
        <v>0.96167124332677911</v>
      </c>
      <c r="AD54" s="1233">
        <f>AD53+AA54</f>
        <v>1.7336999999999996</v>
      </c>
      <c r="AE54" s="1233">
        <f t="shared" si="9"/>
        <v>0.86229999999999984</v>
      </c>
      <c r="AF54" s="1229"/>
      <c r="AG54" s="1229"/>
      <c r="AH54" s="1229"/>
      <c r="AI54" s="1229"/>
      <c r="AJ54" s="1229"/>
      <c r="AK54" s="1229"/>
      <c r="AL54" s="1229"/>
      <c r="AM54" s="1229"/>
    </row>
    <row r="55" spans="3:45" s="16" customFormat="1" ht="12" customHeight="1">
      <c r="C55" s="15"/>
      <c r="E55" s="37"/>
      <c r="F55" s="37"/>
      <c r="U55" s="36"/>
      <c r="W55" s="1200"/>
      <c r="Y55" s="56">
        <v>0.25</v>
      </c>
      <c r="Z55" s="1237">
        <f>AK41</f>
        <v>0.74360000000000004</v>
      </c>
      <c r="AA55" s="752">
        <f>Z55-Z54</f>
        <v>2.5400000000000089E-2</v>
      </c>
      <c r="AB55" s="752">
        <f t="shared" si="1"/>
        <v>2.8736143675367368E-2</v>
      </c>
      <c r="AC55" s="1233">
        <f>$AC$47+AB55+AB54-AB53-AB52-AB51-AB50-AB49-AB48</f>
        <v>0.99040738700214659</v>
      </c>
      <c r="AD55" s="1233">
        <f>AD54+AA55</f>
        <v>1.7590999999999997</v>
      </c>
      <c r="AE55" s="1233">
        <f t="shared" si="9"/>
        <v>0.87319999999999975</v>
      </c>
      <c r="AF55" s="1229"/>
      <c r="AG55" s="1229"/>
      <c r="AH55" s="1238" t="s">
        <v>493</v>
      </c>
      <c r="AI55" s="1239">
        <f ca="1">AVERAGEIF(AN47:AN53,"Ya",AI48:AI53)</f>
        <v>1.6811528398028214E-2</v>
      </c>
      <c r="AJ55" s="1240">
        <f ca="1">AVERAGEIF(AN47:AN53,"Ya",AI48:AI53)</f>
        <v>1.6811528398028214E-2</v>
      </c>
      <c r="AK55" s="1241"/>
      <c r="AN55" s="41"/>
    </row>
    <row r="56" spans="3:45" s="16" customFormat="1" ht="15.75" customHeight="1">
      <c r="C56" s="15"/>
      <c r="E56" s="37"/>
      <c r="F56" s="37"/>
      <c r="U56" s="36"/>
      <c r="W56" s="1200"/>
      <c r="AA56" s="34"/>
      <c r="AH56" s="1238" t="s">
        <v>494</v>
      </c>
      <c r="AI56" s="1239">
        <f ca="1">AVERAGEIF(AN47:AN53,"Ya",AL48:AL53)</f>
        <v>1.818526782772842E-4</v>
      </c>
      <c r="AJ56" s="1240">
        <f ca="1">AVERAGEIF(AN47:AN53,"Ya",AM48:AM53)</f>
        <v>1.8185267827728415E-2</v>
      </c>
    </row>
    <row r="57" spans="3:45" s="16" customFormat="1" ht="13.5">
      <c r="C57" s="15"/>
      <c r="E57" s="37"/>
      <c r="F57" s="37"/>
      <c r="U57" s="36"/>
      <c r="W57" s="1200"/>
      <c r="AA57" s="34"/>
      <c r="AH57" s="1242" t="s">
        <v>4</v>
      </c>
      <c r="AI57" s="1239">
        <f ca="1">AI56 * AI55* 0.001</f>
        <v>3.0572214651160519E-9</v>
      </c>
      <c r="AJ57" s="1240">
        <f ca="1">AJ56 * AJ55* 0.001</f>
        <v>3.0572214651160511E-7</v>
      </c>
      <c r="AK57" s="16" t="s">
        <v>526</v>
      </c>
    </row>
    <row r="58" spans="3:45" s="16" customFormat="1" ht="12">
      <c r="C58" s="15"/>
      <c r="U58" s="36"/>
      <c r="W58" s="1200"/>
    </row>
    <row r="59" spans="3:45" s="16" customFormat="1" ht="12">
      <c r="C59" s="15"/>
      <c r="U59" s="36"/>
      <c r="W59" s="1200"/>
    </row>
    <row r="60" spans="3:45" s="16" customFormat="1" ht="15.95" customHeight="1">
      <c r="C60" s="15"/>
      <c r="U60" s="36"/>
      <c r="W60" s="1200"/>
    </row>
    <row r="61" spans="3:45" s="16" customFormat="1" ht="13.5">
      <c r="C61" s="15"/>
      <c r="E61" s="4123"/>
      <c r="F61" s="4123"/>
      <c r="H61" s="4123"/>
      <c r="I61" s="4123"/>
      <c r="J61" s="4123"/>
      <c r="U61" s="36"/>
      <c r="W61" s="1200"/>
      <c r="AS61" s="706"/>
    </row>
    <row r="62" spans="3:45" s="16" customFormat="1" ht="12">
      <c r="C62" s="15"/>
      <c r="U62" s="36"/>
      <c r="W62" s="1200"/>
    </row>
    <row r="63" spans="3:45" s="16" customFormat="1" ht="13.5">
      <c r="C63" s="15"/>
      <c r="U63" s="36"/>
      <c r="W63" s="1200"/>
      <c r="AS63" s="773"/>
    </row>
    <row r="64" spans="3:45" s="16" customFormat="1" ht="13.5">
      <c r="C64" s="15"/>
      <c r="U64" s="36"/>
      <c r="W64" s="1200"/>
      <c r="AS64" s="773"/>
    </row>
    <row r="65" spans="2:45" s="16" customFormat="1" ht="13.5">
      <c r="C65" s="15"/>
      <c r="U65" s="36"/>
      <c r="W65" s="1200"/>
      <c r="Y65" s="898"/>
      <c r="AS65" s="773"/>
    </row>
    <row r="66" spans="2:45" s="16" customFormat="1" ht="13.5">
      <c r="C66" s="24"/>
      <c r="D66" s="25"/>
      <c r="Q66" s="25"/>
      <c r="R66" s="25"/>
      <c r="S66" s="25"/>
      <c r="T66" s="25"/>
      <c r="U66" s="26"/>
      <c r="W66" s="1200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S66" s="773"/>
    </row>
    <row r="67" spans="2:45" s="16" customFormat="1" ht="13.5">
      <c r="C67" s="24"/>
      <c r="D67" s="25"/>
      <c r="Q67" s="25"/>
      <c r="R67" s="25"/>
      <c r="S67" s="25"/>
      <c r="T67" s="25"/>
      <c r="U67" s="26"/>
      <c r="W67" s="1200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S67" s="773"/>
    </row>
    <row r="68" spans="2:45" s="16" customFormat="1" ht="13.5"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1798" t="s">
        <v>795</v>
      </c>
      <c r="P68" s="25"/>
      <c r="Q68" s="25"/>
      <c r="R68" s="25"/>
      <c r="S68" s="25"/>
      <c r="T68" s="25"/>
      <c r="U68" s="26"/>
      <c r="W68" s="1200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S68" s="773"/>
    </row>
    <row r="69" spans="2:45" s="16" customFormat="1" ht="13.5"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6"/>
      <c r="V69" s="25"/>
      <c r="W69" s="1200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spans="2:45" s="25" customFormat="1" ht="13.5">
      <c r="B70" s="16"/>
      <c r="C70" s="24"/>
      <c r="O70" s="1797"/>
      <c r="P70" s="1797"/>
      <c r="Q70" s="1797"/>
      <c r="R70" s="1797"/>
      <c r="S70" s="1797"/>
      <c r="U70" s="26"/>
      <c r="W70" s="1196"/>
      <c r="AR70" s="16"/>
    </row>
    <row r="71" spans="2:45" s="25" customFormat="1" ht="13.5">
      <c r="C71" s="24"/>
      <c r="U71" s="26"/>
      <c r="W71" s="1196"/>
    </row>
    <row r="72" spans="2:45" s="25" customFormat="1" ht="13.5">
      <c r="C72" s="24"/>
      <c r="O72" s="1797"/>
      <c r="P72" s="1797"/>
      <c r="Q72" s="1797"/>
      <c r="R72" s="1797"/>
      <c r="S72" s="1797"/>
      <c r="U72" s="26"/>
      <c r="W72" s="1196"/>
      <c r="AK72" s="753"/>
      <c r="AO72" s="753"/>
    </row>
    <row r="73" spans="2:45" s="25" customFormat="1" ht="15.75" customHeight="1">
      <c r="C73" s="24"/>
      <c r="U73" s="26"/>
      <c r="W73" s="1196"/>
      <c r="Z73" s="8"/>
      <c r="AK73" s="753"/>
      <c r="AO73" s="753"/>
    </row>
    <row r="74" spans="2:45" s="25" customFormat="1" ht="13.5">
      <c r="C74" s="24"/>
      <c r="O74" s="1797"/>
      <c r="P74" s="1797"/>
      <c r="Q74" s="1797"/>
      <c r="R74" s="1797"/>
      <c r="S74" s="1797"/>
      <c r="U74" s="26"/>
      <c r="W74" s="1196"/>
      <c r="Z74" s="8"/>
    </row>
    <row r="75" spans="2:45" s="25" customFormat="1">
      <c r="C75" s="38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40"/>
      <c r="W75" s="1196"/>
      <c r="Z75" s="8"/>
    </row>
    <row r="76" spans="2:45" s="25" customFormat="1"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44"/>
      <c r="T76" s="12"/>
      <c r="U76" s="12"/>
      <c r="W76" s="1196"/>
      <c r="Z76" s="8"/>
    </row>
    <row r="77" spans="2:45" s="25" customFormat="1" ht="10.5" customHeight="1"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W77" s="1196"/>
      <c r="Z77" s="8"/>
    </row>
    <row r="78" spans="2:45" s="25" customFormat="1"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196"/>
      <c r="Z78" s="8"/>
      <c r="AA78" s="754">
        <v>0.25</v>
      </c>
      <c r="AB78" s="706"/>
      <c r="AC78" s="706"/>
      <c r="AD78" s="706"/>
      <c r="AE78" s="706"/>
      <c r="AG78" s="1243">
        <f>AA78</f>
        <v>0.25</v>
      </c>
      <c r="AH78" s="1243"/>
    </row>
    <row r="79" spans="2:45">
      <c r="B79" s="25"/>
      <c r="AA79" s="714" t="s">
        <v>116</v>
      </c>
      <c r="AB79" s="732" t="s">
        <v>495</v>
      </c>
      <c r="AC79" s="732" t="s">
        <v>2</v>
      </c>
      <c r="AD79" s="732" t="s">
        <v>496</v>
      </c>
      <c r="AE79" s="714" t="s">
        <v>115</v>
      </c>
      <c r="AG79" s="755"/>
      <c r="AH79" s="756"/>
    </row>
    <row r="80" spans="2:45">
      <c r="AA80" s="757">
        <f t="shared" ref="AA80:AB93" si="10">AC28</f>
        <v>0</v>
      </c>
      <c r="AB80" s="752">
        <f t="shared" si="10"/>
        <v>0.99450000000000005</v>
      </c>
      <c r="AC80" s="732">
        <f>AB80*0.1</f>
        <v>9.9450000000000011E-2</v>
      </c>
      <c r="AD80" s="732">
        <f>AB80*1000</f>
        <v>994.5</v>
      </c>
      <c r="AE80" s="732">
        <f>AD80</f>
        <v>994.5</v>
      </c>
      <c r="AG80" s="1244" t="s">
        <v>431</v>
      </c>
      <c r="AH80" s="1245"/>
      <c r="AN80" s="1243" t="str">
        <f>AE26</f>
        <v>0,50 kg/cm2</v>
      </c>
      <c r="AO80" s="1243"/>
    </row>
    <row r="81" spans="3:41">
      <c r="AA81" s="757">
        <f t="shared" si="10"/>
        <v>0.5</v>
      </c>
      <c r="AB81" s="752">
        <f t="shared" si="10"/>
        <v>0.99229999999999996</v>
      </c>
      <c r="AC81" s="732">
        <f t="shared" ref="AC81:AC93" si="11">AB81*0.1</f>
        <v>9.9229999999999999E-2</v>
      </c>
      <c r="AD81" s="732">
        <f t="shared" ref="AD81:AD93" si="12">AB81*1000</f>
        <v>992.3</v>
      </c>
      <c r="AE81" s="732">
        <f>AE80+AD81</f>
        <v>1986.8</v>
      </c>
      <c r="AG81" s="732" t="s">
        <v>116</v>
      </c>
      <c r="AH81" s="718" t="s">
        <v>115</v>
      </c>
      <c r="AN81" s="755"/>
      <c r="AO81" s="755"/>
    </row>
    <row r="82" spans="3:41">
      <c r="AA82" s="757">
        <f t="shared" si="10"/>
        <v>0.70710678118654757</v>
      </c>
      <c r="AB82" s="752">
        <f t="shared" si="10"/>
        <v>0.99199999999999999</v>
      </c>
      <c r="AC82" s="732">
        <f t="shared" si="11"/>
        <v>9.920000000000001E-2</v>
      </c>
      <c r="AD82" s="732">
        <f t="shared" si="12"/>
        <v>992</v>
      </c>
      <c r="AE82" s="732">
        <f t="shared" ref="AE82:AE93" si="13">AE81+AD82</f>
        <v>2978.8</v>
      </c>
      <c r="AG82" s="732">
        <v>0</v>
      </c>
      <c r="AH82" s="758">
        <v>2000</v>
      </c>
      <c r="AN82" s="759" t="s">
        <v>431</v>
      </c>
      <c r="AO82" s="732"/>
    </row>
    <row r="83" spans="3:41">
      <c r="AA83" s="757">
        <f t="shared" si="10"/>
        <v>1</v>
      </c>
      <c r="AB83" s="752">
        <f t="shared" si="10"/>
        <v>0.99170000000000003</v>
      </c>
      <c r="AC83" s="732">
        <f t="shared" si="11"/>
        <v>9.9170000000000008E-2</v>
      </c>
      <c r="AD83" s="732">
        <f t="shared" si="12"/>
        <v>991.7</v>
      </c>
      <c r="AE83" s="732">
        <f t="shared" si="13"/>
        <v>3970.5</v>
      </c>
      <c r="AG83" s="760">
        <v>6.1</v>
      </c>
      <c r="AH83" s="761">
        <v>14000</v>
      </c>
      <c r="AN83" s="732" t="s">
        <v>116</v>
      </c>
      <c r="AO83" s="732" t="s">
        <v>115</v>
      </c>
    </row>
    <row r="84" spans="3:41">
      <c r="AA84" s="757">
        <f t="shared" si="10"/>
        <v>1.4142135623730951</v>
      </c>
      <c r="AB84" s="752">
        <f t="shared" si="10"/>
        <v>0.99139999999999995</v>
      </c>
      <c r="AC84" s="732">
        <f t="shared" si="11"/>
        <v>9.9140000000000006E-2</v>
      </c>
      <c r="AD84" s="732">
        <f t="shared" si="12"/>
        <v>991.4</v>
      </c>
      <c r="AE84" s="732">
        <f t="shared" si="13"/>
        <v>4961.8999999999996</v>
      </c>
      <c r="AG84" s="706"/>
      <c r="AH84" s="8"/>
      <c r="AN84" s="732">
        <v>0</v>
      </c>
      <c r="AO84" s="762">
        <v>0.96450000000000002</v>
      </c>
    </row>
    <row r="85" spans="3:41" ht="21" customHeight="1">
      <c r="AA85" s="757">
        <f t="shared" si="10"/>
        <v>2</v>
      </c>
      <c r="AB85" s="752">
        <f t="shared" si="10"/>
        <v>0.99119999999999997</v>
      </c>
      <c r="AC85" s="732">
        <f t="shared" si="11"/>
        <v>9.912E-2</v>
      </c>
      <c r="AD85" s="732">
        <f t="shared" si="12"/>
        <v>991.19999999999993</v>
      </c>
      <c r="AE85" s="732">
        <f t="shared" si="13"/>
        <v>5953.0999999999995</v>
      </c>
      <c r="AG85" s="706"/>
      <c r="AH85" s="8"/>
      <c r="AN85" s="760">
        <v>16.3</v>
      </c>
      <c r="AO85" s="752">
        <v>0.94499999999999995</v>
      </c>
    </row>
    <row r="86" spans="3:41">
      <c r="AA86" s="757">
        <f t="shared" si="10"/>
        <v>2.8284271247461903</v>
      </c>
      <c r="AB86" s="752">
        <f t="shared" si="10"/>
        <v>0.99099999999999999</v>
      </c>
      <c r="AC86" s="732">
        <f t="shared" si="11"/>
        <v>9.9100000000000008E-2</v>
      </c>
      <c r="AD86" s="732">
        <f t="shared" si="12"/>
        <v>991</v>
      </c>
      <c r="AE86" s="732">
        <f t="shared" si="13"/>
        <v>6944.0999999999995</v>
      </c>
      <c r="AG86" s="1246" t="s">
        <v>432</v>
      </c>
      <c r="AH86" s="1247"/>
      <c r="AN86" s="706"/>
      <c r="AO86" s="706"/>
    </row>
    <row r="87" spans="3:41">
      <c r="AA87" s="757">
        <f t="shared" si="10"/>
        <v>3.872983346207417</v>
      </c>
      <c r="AB87" s="752">
        <f t="shared" si="10"/>
        <v>0.9909</v>
      </c>
      <c r="AC87" s="732">
        <f t="shared" si="11"/>
        <v>9.9090000000000011E-2</v>
      </c>
      <c r="AD87" s="732">
        <f t="shared" si="12"/>
        <v>990.9</v>
      </c>
      <c r="AE87" s="732">
        <f t="shared" si="13"/>
        <v>7934.9999999999991</v>
      </c>
      <c r="AG87" s="732" t="s">
        <v>116</v>
      </c>
      <c r="AH87" s="718" t="s">
        <v>115</v>
      </c>
      <c r="AN87" s="706"/>
      <c r="AO87" s="706"/>
    </row>
    <row r="88" spans="3:41">
      <c r="AA88" s="757">
        <f t="shared" si="10"/>
        <v>5.4772255750516612</v>
      </c>
      <c r="AB88" s="752">
        <f t="shared" si="10"/>
        <v>0.9909</v>
      </c>
      <c r="AC88" s="732">
        <f t="shared" si="11"/>
        <v>9.9090000000000011E-2</v>
      </c>
      <c r="AD88" s="732">
        <f t="shared" si="12"/>
        <v>990.9</v>
      </c>
      <c r="AE88" s="732">
        <f t="shared" si="13"/>
        <v>8925.9</v>
      </c>
      <c r="AG88" s="732">
        <f>AG82</f>
        <v>0</v>
      </c>
      <c r="AH88" s="718">
        <f>AH82</f>
        <v>2000</v>
      </c>
      <c r="AN88" s="763" t="s">
        <v>432</v>
      </c>
      <c r="AO88" s="732"/>
    </row>
    <row r="89" spans="3:41">
      <c r="AA89" s="757">
        <f t="shared" si="10"/>
        <v>7.745966692414834</v>
      </c>
      <c r="AB89" s="752">
        <f t="shared" si="10"/>
        <v>0.9909</v>
      </c>
      <c r="AC89" s="732">
        <f t="shared" si="11"/>
        <v>9.9090000000000011E-2</v>
      </c>
      <c r="AD89" s="732">
        <f t="shared" si="12"/>
        <v>990.9</v>
      </c>
      <c r="AE89" s="732">
        <f>AE88+AD89</f>
        <v>9916.7999999999993</v>
      </c>
      <c r="AG89" s="732">
        <f>AG83*1.15</f>
        <v>7.0149999999999988</v>
      </c>
      <c r="AH89" s="718">
        <f>AH83</f>
        <v>14000</v>
      </c>
      <c r="AN89" s="732" t="s">
        <v>116</v>
      </c>
      <c r="AO89" s="732" t="s">
        <v>115</v>
      </c>
    </row>
    <row r="90" spans="3:41">
      <c r="AA90" s="757">
        <f t="shared" si="10"/>
        <v>10.954451150103322</v>
      </c>
      <c r="AB90" s="752">
        <f t="shared" si="10"/>
        <v>0.9909</v>
      </c>
      <c r="AC90" s="732">
        <f t="shared" si="11"/>
        <v>9.9090000000000011E-2</v>
      </c>
      <c r="AD90" s="732">
        <f t="shared" si="12"/>
        <v>990.9</v>
      </c>
      <c r="AE90" s="732">
        <f t="shared" si="13"/>
        <v>10907.699999999999</v>
      </c>
      <c r="AG90" s="706"/>
      <c r="AH90" s="8"/>
      <c r="AN90" s="732">
        <f>AN84</f>
        <v>0</v>
      </c>
      <c r="AO90" s="732">
        <f>AO84</f>
        <v>0.96450000000000002</v>
      </c>
    </row>
    <row r="91" spans="3:41">
      <c r="AA91" s="757">
        <f t="shared" si="10"/>
        <v>16</v>
      </c>
      <c r="AB91" s="752">
        <f t="shared" si="10"/>
        <v>0.9909</v>
      </c>
      <c r="AC91" s="732">
        <f t="shared" si="11"/>
        <v>9.9090000000000011E-2</v>
      </c>
      <c r="AD91" s="732">
        <f t="shared" si="12"/>
        <v>990.9</v>
      </c>
      <c r="AE91" s="732">
        <f t="shared" si="13"/>
        <v>11898.599999999999</v>
      </c>
      <c r="AG91" s="1248" t="s">
        <v>433</v>
      </c>
      <c r="AH91" s="1249"/>
      <c r="AN91" s="732">
        <f>AN85*1.15</f>
        <v>18.745000000000001</v>
      </c>
      <c r="AO91" s="752">
        <f>AO85</f>
        <v>0.94499999999999995</v>
      </c>
    </row>
    <row r="92" spans="3:41">
      <c r="AA92" s="757">
        <f t="shared" si="10"/>
        <v>22</v>
      </c>
      <c r="AB92" s="752">
        <f t="shared" si="10"/>
        <v>0.9909</v>
      </c>
      <c r="AC92" s="732">
        <f t="shared" si="11"/>
        <v>9.9090000000000011E-2</v>
      </c>
      <c r="AD92" s="732">
        <f t="shared" si="12"/>
        <v>990.9</v>
      </c>
      <c r="AE92" s="732">
        <f t="shared" si="13"/>
        <v>12889.499999999998</v>
      </c>
      <c r="AG92" s="732" t="s">
        <v>116</v>
      </c>
      <c r="AH92" s="718" t="s">
        <v>115</v>
      </c>
      <c r="AN92" s="706"/>
      <c r="AO92" s="706"/>
    </row>
    <row r="93" spans="3:41">
      <c r="AA93" s="757">
        <f t="shared" si="10"/>
        <v>37.947331922020552</v>
      </c>
      <c r="AB93" s="752">
        <f t="shared" si="10"/>
        <v>0.9909</v>
      </c>
      <c r="AC93" s="732">
        <f t="shared" si="11"/>
        <v>9.9090000000000011E-2</v>
      </c>
      <c r="AD93" s="732">
        <f t="shared" si="12"/>
        <v>990.9</v>
      </c>
      <c r="AE93" s="732">
        <f t="shared" si="13"/>
        <v>13880.399999999998</v>
      </c>
      <c r="AG93" s="732">
        <v>0</v>
      </c>
      <c r="AH93" s="718">
        <f>AH94</f>
        <v>6900</v>
      </c>
      <c r="AN93" s="764" t="s">
        <v>433</v>
      </c>
      <c r="AO93" s="732"/>
    </row>
    <row r="94" spans="3:41">
      <c r="AA94" s="707"/>
      <c r="AB94" s="706"/>
      <c r="AC94" s="706"/>
      <c r="AD94" s="706"/>
      <c r="AE94" s="706"/>
      <c r="AG94" s="730">
        <v>2.8</v>
      </c>
      <c r="AH94" s="758">
        <v>6900</v>
      </c>
      <c r="AN94" s="732" t="s">
        <v>116</v>
      </c>
      <c r="AO94" s="732" t="s">
        <v>115</v>
      </c>
    </row>
    <row r="95" spans="3:41">
      <c r="AA95" s="707"/>
      <c r="AB95" s="706"/>
      <c r="AC95" s="706"/>
      <c r="AD95" s="706"/>
      <c r="AE95" s="706"/>
      <c r="AG95" s="732">
        <f>AG94</f>
        <v>2.8</v>
      </c>
      <c r="AH95" s="718">
        <f>AH89</f>
        <v>14000</v>
      </c>
      <c r="AN95" s="732">
        <v>0</v>
      </c>
      <c r="AO95" s="732">
        <f>AO96</f>
        <v>0.95369999999999999</v>
      </c>
    </row>
    <row r="96" spans="3:41" ht="6.75" customHeight="1">
      <c r="C96" s="9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1"/>
      <c r="AA96" s="707"/>
      <c r="AB96" s="706"/>
      <c r="AC96" s="706"/>
      <c r="AD96" s="706"/>
      <c r="AE96" s="706"/>
      <c r="AN96" s="730">
        <v>11</v>
      </c>
      <c r="AO96" s="765">
        <v>0.95369999999999999</v>
      </c>
    </row>
    <row r="97" spans="3:41" ht="15.75" customHeight="1">
      <c r="C97" s="13"/>
      <c r="D97" s="9"/>
      <c r="E97" s="10"/>
      <c r="F97" s="1" t="s">
        <v>821</v>
      </c>
      <c r="G97" s="4107"/>
      <c r="H97" s="4107"/>
      <c r="I97" s="4107"/>
      <c r="J97" s="4107"/>
      <c r="K97" s="4107"/>
      <c r="L97" s="4107"/>
      <c r="M97" s="4107"/>
      <c r="N97" s="4107"/>
      <c r="O97" s="4107"/>
      <c r="P97" s="4107"/>
      <c r="Q97" s="4107"/>
      <c r="R97" s="4107"/>
      <c r="S97" s="4107"/>
      <c r="T97" s="4108"/>
      <c r="U97" s="14"/>
      <c r="AA97" s="706"/>
      <c r="AD97" s="706"/>
      <c r="AN97" s="732">
        <f>AN96</f>
        <v>11</v>
      </c>
      <c r="AO97" s="752">
        <f>AO91</f>
        <v>0.94499999999999995</v>
      </c>
    </row>
    <row r="98" spans="3:41">
      <c r="C98" s="13"/>
      <c r="D98" s="13"/>
      <c r="F98" s="4109" t="s">
        <v>819</v>
      </c>
      <c r="G98" s="4110"/>
      <c r="H98" s="4110"/>
      <c r="I98" s="4110"/>
      <c r="J98" s="4110"/>
      <c r="K98" s="4110"/>
      <c r="L98" s="4110"/>
      <c r="M98" s="4110"/>
      <c r="N98" s="4110"/>
      <c r="O98" s="4110"/>
      <c r="P98" s="4110"/>
      <c r="Q98" s="4110"/>
      <c r="R98" s="4110"/>
      <c r="S98" s="4110"/>
      <c r="T98" s="4111"/>
      <c r="U98" s="14"/>
      <c r="AA98" s="706"/>
      <c r="AD98" s="706"/>
    </row>
    <row r="99" spans="3:41" ht="15.75" customHeight="1">
      <c r="C99" s="13"/>
      <c r="D99" s="13"/>
      <c r="F99" s="4109" t="s">
        <v>820</v>
      </c>
      <c r="G99" s="4110"/>
      <c r="H99" s="4110"/>
      <c r="I99" s="4110"/>
      <c r="J99" s="4110"/>
      <c r="K99" s="4110"/>
      <c r="L99" s="4110"/>
      <c r="M99" s="4110"/>
      <c r="N99" s="4110"/>
      <c r="O99" s="4110"/>
      <c r="P99" s="4110"/>
      <c r="Q99" s="4110"/>
      <c r="R99" s="4110"/>
      <c r="S99" s="4110"/>
      <c r="T99" s="4111"/>
      <c r="U99" s="14"/>
    </row>
    <row r="100" spans="3:41" ht="15.75" customHeight="1">
      <c r="C100" s="17"/>
      <c r="D100" s="13"/>
      <c r="F100" s="4109" t="s">
        <v>830</v>
      </c>
      <c r="G100" s="4110"/>
      <c r="H100" s="4110"/>
      <c r="I100" s="4110"/>
      <c r="J100" s="4110"/>
      <c r="K100" s="4110"/>
      <c r="L100" s="4110"/>
      <c r="M100" s="4110"/>
      <c r="N100" s="4110"/>
      <c r="O100" s="4110"/>
      <c r="P100" s="4110"/>
      <c r="Q100" s="4110"/>
      <c r="R100" s="4110"/>
      <c r="S100" s="4110"/>
      <c r="T100" s="4111"/>
      <c r="U100" s="18"/>
      <c r="Y100" s="766"/>
      <c r="Z100" s="8"/>
      <c r="AA100" s="25"/>
      <c r="AB100" s="766"/>
    </row>
    <row r="101" spans="3:41">
      <c r="C101" s="17"/>
      <c r="D101" s="38"/>
      <c r="E101" s="39"/>
      <c r="F101" s="4112" t="s">
        <v>827</v>
      </c>
      <c r="G101" s="4113"/>
      <c r="H101" s="4113"/>
      <c r="I101" s="4113"/>
      <c r="J101" s="4113"/>
      <c r="K101" s="4113"/>
      <c r="L101" s="4113"/>
      <c r="M101" s="4113"/>
      <c r="N101" s="4113"/>
      <c r="O101" s="4113"/>
      <c r="P101" s="4113"/>
      <c r="Q101" s="4113"/>
      <c r="R101" s="4113"/>
      <c r="S101" s="4113"/>
      <c r="T101" s="4114"/>
      <c r="U101" s="18"/>
      <c r="Y101" s="766"/>
      <c r="Z101" s="8"/>
      <c r="AA101" s="25"/>
      <c r="AB101" s="766"/>
    </row>
    <row r="102" spans="3:41" ht="6.75" customHeight="1">
      <c r="C102" s="17"/>
      <c r="D102" s="19"/>
      <c r="E102" s="20"/>
      <c r="F102" s="20"/>
      <c r="G102" s="20"/>
      <c r="H102" s="20"/>
      <c r="I102" s="20"/>
      <c r="J102" s="21"/>
      <c r="K102" s="21"/>
      <c r="L102" s="21"/>
      <c r="M102" s="21"/>
      <c r="N102" s="21"/>
      <c r="O102" s="22"/>
      <c r="P102" s="23"/>
      <c r="Q102" s="23"/>
      <c r="R102" s="23"/>
      <c r="S102" s="23"/>
      <c r="T102" s="23"/>
      <c r="U102" s="18"/>
      <c r="Y102" s="766"/>
      <c r="Z102" s="8"/>
      <c r="AA102" s="676"/>
      <c r="AB102" s="766"/>
      <c r="AC102" s="767"/>
      <c r="AD102" s="767"/>
    </row>
    <row r="103" spans="3:41">
      <c r="C103" s="13"/>
      <c r="D103" s="4116" t="s">
        <v>612</v>
      </c>
      <c r="E103" s="4117"/>
      <c r="F103" s="4117"/>
      <c r="G103" s="4117"/>
      <c r="H103" s="4117"/>
      <c r="I103" s="4117"/>
      <c r="J103" s="4117"/>
      <c r="K103" s="4117"/>
      <c r="L103" s="4117"/>
      <c r="M103" s="4117"/>
      <c r="N103" s="4117"/>
      <c r="O103" s="4117"/>
      <c r="P103" s="4117"/>
      <c r="Q103" s="4117"/>
      <c r="R103" s="4117"/>
      <c r="S103" s="4117"/>
      <c r="T103" s="4118"/>
      <c r="U103" s="14"/>
      <c r="V103" s="19"/>
      <c r="Y103" s="4115"/>
      <c r="Z103" s="4115"/>
      <c r="AA103" s="754">
        <v>0.5</v>
      </c>
      <c r="AB103" s="706"/>
      <c r="AC103" s="706"/>
      <c r="AD103" s="706"/>
      <c r="AE103" s="706"/>
      <c r="AG103" s="1243">
        <f>AA103</f>
        <v>0.5</v>
      </c>
      <c r="AH103" s="1243"/>
    </row>
    <row r="104" spans="3:41">
      <c r="C104" s="13"/>
      <c r="D104" s="4119" t="s">
        <v>799</v>
      </c>
      <c r="E104" s="4120"/>
      <c r="F104" s="4120"/>
      <c r="G104" s="4120"/>
      <c r="H104" s="4120"/>
      <c r="I104" s="4120"/>
      <c r="J104" s="4120"/>
      <c r="K104" s="4120"/>
      <c r="L104" s="4120"/>
      <c r="M104" s="4120"/>
      <c r="N104" s="4120"/>
      <c r="O104" s="4120"/>
      <c r="P104" s="4120"/>
      <c r="Q104" s="4120"/>
      <c r="R104" s="4120"/>
      <c r="S104" s="4120"/>
      <c r="T104" s="4121"/>
      <c r="U104" s="14"/>
      <c r="V104" s="19"/>
      <c r="AA104" s="714" t="s">
        <v>116</v>
      </c>
      <c r="AB104" s="732" t="s">
        <v>495</v>
      </c>
      <c r="AC104" s="732" t="s">
        <v>2</v>
      </c>
      <c r="AD104" s="732" t="s">
        <v>496</v>
      </c>
      <c r="AE104" s="714" t="s">
        <v>115</v>
      </c>
      <c r="AG104" s="1250"/>
      <c r="AH104" s="1251"/>
    </row>
    <row r="105" spans="3:41" ht="6.75" customHeight="1">
      <c r="C105" s="13"/>
      <c r="U105" s="14"/>
      <c r="V105" s="19"/>
      <c r="Y105" s="768"/>
      <c r="Z105" s="8"/>
      <c r="AA105" s="757">
        <v>0</v>
      </c>
      <c r="AB105" s="752">
        <f t="shared" ref="AB105:AB118" si="14">AE28</f>
        <v>0.9909</v>
      </c>
      <c r="AC105" s="732">
        <f>AB105*0.1</f>
        <v>9.9090000000000011E-2</v>
      </c>
      <c r="AD105" s="732">
        <f>AB105*1000</f>
        <v>990.9</v>
      </c>
      <c r="AE105" s="732">
        <f>AD105</f>
        <v>990.9</v>
      </c>
      <c r="AG105" s="1244" t="s">
        <v>431</v>
      </c>
      <c r="AH105" s="1245"/>
    </row>
    <row r="106" spans="3:41">
      <c r="C106" s="13"/>
      <c r="E106" s="675" t="s">
        <v>95</v>
      </c>
      <c r="F106" s="675"/>
      <c r="G106" s="675"/>
      <c r="H106" s="675"/>
      <c r="I106" s="675"/>
      <c r="J106" s="675"/>
      <c r="K106" s="28"/>
      <c r="L106" s="490"/>
      <c r="M106" s="675" t="s">
        <v>394</v>
      </c>
      <c r="N106" s="675"/>
      <c r="O106" s="675"/>
      <c r="P106" s="675" t="s">
        <v>27</v>
      </c>
      <c r="Q106" s="675" t="str">
        <f>Q12</f>
        <v>PT. MGS</v>
      </c>
      <c r="R106" s="675"/>
      <c r="S106" s="675"/>
      <c r="T106" s="28"/>
      <c r="U106" s="14"/>
      <c r="Y106" s="706"/>
      <c r="Z106" s="8"/>
      <c r="AA106" s="757">
        <v>0.5</v>
      </c>
      <c r="AB106" s="752">
        <f t="shared" si="14"/>
        <v>0.98729999999999996</v>
      </c>
      <c r="AC106" s="732">
        <f t="shared" ref="AC106:AC118" si="15">AB106*0.1</f>
        <v>9.8729999999999998E-2</v>
      </c>
      <c r="AD106" s="732">
        <f t="shared" ref="AD106:AD118" si="16">AB106*1000</f>
        <v>987.3</v>
      </c>
      <c r="AE106" s="732">
        <f t="shared" ref="AE106:AE118" si="17">AE105+AD106</f>
        <v>1978.1999999999998</v>
      </c>
      <c r="AG106" s="732" t="s">
        <v>116</v>
      </c>
      <c r="AH106" s="718" t="s">
        <v>115</v>
      </c>
    </row>
    <row r="107" spans="3:41">
      <c r="C107" s="13"/>
      <c r="E107" s="673" t="s">
        <v>398</v>
      </c>
      <c r="F107" s="673"/>
      <c r="G107" s="33" t="s">
        <v>27</v>
      </c>
      <c r="H107" s="34" t="str">
        <f>H13</f>
        <v xml:space="preserve">PT Itamatra Nusantara </v>
      </c>
      <c r="I107" s="33"/>
      <c r="J107" s="33"/>
      <c r="K107" s="23"/>
      <c r="L107" s="1176"/>
      <c r="M107" s="34" t="s">
        <v>822</v>
      </c>
      <c r="N107" s="34"/>
      <c r="O107" s="34"/>
      <c r="P107" s="34" t="s">
        <v>27</v>
      </c>
      <c r="Q107" s="34" t="str">
        <f>Q13</f>
        <v>001/PKS GQT-MGS/VIII/2025</v>
      </c>
      <c r="R107" s="34"/>
      <c r="S107" s="34"/>
      <c r="T107" s="23"/>
      <c r="U107" s="14"/>
      <c r="Y107" s="706"/>
      <c r="Z107" s="8"/>
      <c r="AA107" s="757">
        <v>0.70710678118654757</v>
      </c>
      <c r="AB107" s="752">
        <f t="shared" si="14"/>
        <v>0.98680000000000001</v>
      </c>
      <c r="AC107" s="732">
        <f t="shared" si="15"/>
        <v>9.8680000000000004E-2</v>
      </c>
      <c r="AD107" s="732">
        <f t="shared" si="16"/>
        <v>986.8</v>
      </c>
      <c r="AE107" s="732">
        <f t="shared" si="17"/>
        <v>2965</v>
      </c>
      <c r="AG107" s="732">
        <v>0</v>
      </c>
      <c r="AH107" s="718">
        <f>AH82</f>
        <v>2000</v>
      </c>
    </row>
    <row r="108" spans="3:41">
      <c r="C108" s="13"/>
      <c r="E108" s="673" t="s">
        <v>856</v>
      </c>
      <c r="F108" s="673"/>
      <c r="G108" s="33" t="s">
        <v>27</v>
      </c>
      <c r="H108" s="6" t="str">
        <f>H16</f>
        <v>BH-05_UDS-01</v>
      </c>
      <c r="I108" s="33"/>
      <c r="J108" s="33"/>
      <c r="K108" s="33"/>
      <c r="L108" s="1177"/>
      <c r="M108" s="34" t="s">
        <v>395</v>
      </c>
      <c r="N108" s="34"/>
      <c r="O108" s="34"/>
      <c r="P108" s="34" t="s">
        <v>27</v>
      </c>
      <c r="Q108" s="4122">
        <f>Q14</f>
        <v>46219</v>
      </c>
      <c r="R108" s="4122"/>
      <c r="S108" s="4122"/>
      <c r="T108" s="16"/>
      <c r="U108" s="14"/>
      <c r="Y108" s="707"/>
      <c r="Z108" s="8"/>
      <c r="AA108" s="757">
        <v>1</v>
      </c>
      <c r="AB108" s="752">
        <f t="shared" si="14"/>
        <v>0.98599999999999999</v>
      </c>
      <c r="AC108" s="732">
        <f t="shared" si="15"/>
        <v>9.8600000000000007E-2</v>
      </c>
      <c r="AD108" s="732">
        <f t="shared" si="16"/>
        <v>986</v>
      </c>
      <c r="AE108" s="732">
        <f t="shared" si="17"/>
        <v>3951</v>
      </c>
      <c r="AG108" s="760">
        <v>6.2</v>
      </c>
      <c r="AH108" s="718">
        <v>14000</v>
      </c>
    </row>
    <row r="109" spans="3:41">
      <c r="C109" s="13"/>
      <c r="E109" s="673" t="s">
        <v>400</v>
      </c>
      <c r="F109" s="673"/>
      <c r="G109" s="33" t="s">
        <v>27</v>
      </c>
      <c r="H109" s="34" t="str">
        <f>H17</f>
        <v>0,00-0,50 m</v>
      </c>
      <c r="I109" s="33"/>
      <c r="J109" s="33"/>
      <c r="K109" s="16"/>
      <c r="L109" s="1176"/>
      <c r="M109" s="34" t="s">
        <v>396</v>
      </c>
      <c r="N109" s="34"/>
      <c r="O109" s="34"/>
      <c r="P109" s="34" t="s">
        <v>27</v>
      </c>
      <c r="Q109" s="34" t="str">
        <f>Q15</f>
        <v>AS Sumartadji</v>
      </c>
      <c r="R109" s="34"/>
      <c r="S109" s="34"/>
      <c r="T109" s="16"/>
      <c r="U109" s="14"/>
      <c r="Y109" s="706"/>
      <c r="Z109" s="8"/>
      <c r="AA109" s="757">
        <v>1.4142135623730951</v>
      </c>
      <c r="AB109" s="752">
        <f t="shared" si="14"/>
        <v>0.98529999999999995</v>
      </c>
      <c r="AC109" s="732">
        <f t="shared" si="15"/>
        <v>9.8530000000000006E-2</v>
      </c>
      <c r="AD109" s="732">
        <f t="shared" si="16"/>
        <v>985.3</v>
      </c>
      <c r="AE109" s="732">
        <f t="shared" si="17"/>
        <v>4936.3</v>
      </c>
      <c r="AG109" s="706"/>
      <c r="AH109" s="8"/>
    </row>
    <row r="110" spans="3:41">
      <c r="C110" s="13"/>
      <c r="E110" s="673" t="s">
        <v>857</v>
      </c>
      <c r="F110" s="673"/>
      <c r="G110" s="33" t="s">
        <v>27</v>
      </c>
      <c r="H110" s="34" t="str">
        <f>H18</f>
        <v>silty CLAY with sand</v>
      </c>
      <c r="I110" s="16"/>
      <c r="J110" s="33"/>
      <c r="K110" s="16"/>
      <c r="L110" s="1177"/>
      <c r="M110" s="34" t="s">
        <v>186</v>
      </c>
      <c r="N110" s="34"/>
      <c r="O110" s="34"/>
      <c r="P110" s="34" t="s">
        <v>27</v>
      </c>
      <c r="Q110" s="6" t="str">
        <f>Q16</f>
        <v>MGS/02/VI/2026</v>
      </c>
      <c r="R110" s="34"/>
      <c r="S110" s="34"/>
      <c r="T110" s="16"/>
      <c r="U110" s="14"/>
      <c r="Y110" s="706"/>
      <c r="Z110" s="8"/>
      <c r="AA110" s="757">
        <v>2</v>
      </c>
      <c r="AB110" s="752">
        <f t="shared" si="14"/>
        <v>0.98470000000000002</v>
      </c>
      <c r="AC110" s="732">
        <f t="shared" si="15"/>
        <v>9.8470000000000002E-2</v>
      </c>
      <c r="AD110" s="732">
        <f t="shared" si="16"/>
        <v>984.7</v>
      </c>
      <c r="AE110" s="732">
        <f t="shared" si="17"/>
        <v>5921</v>
      </c>
      <c r="AG110" s="706"/>
      <c r="AH110" s="8"/>
    </row>
    <row r="111" spans="3:41">
      <c r="C111" s="13"/>
      <c r="E111" s="673" t="s">
        <v>798</v>
      </c>
      <c r="F111" s="673"/>
      <c r="G111" s="33" t="s">
        <v>27</v>
      </c>
      <c r="H111" s="34" t="str">
        <f>H19</f>
        <v>Abu-abu / Gray</v>
      </c>
      <c r="I111" s="33"/>
      <c r="J111" s="33"/>
      <c r="K111" s="16"/>
      <c r="L111" s="1177"/>
      <c r="M111" s="1179"/>
      <c r="N111" s="1179"/>
      <c r="O111" s="1179"/>
      <c r="P111" s="34"/>
      <c r="Q111" s="45"/>
      <c r="R111" s="34"/>
      <c r="S111" s="33"/>
      <c r="U111" s="14"/>
      <c r="Y111" s="769"/>
      <c r="Z111" s="8"/>
      <c r="AA111" s="757">
        <v>2.8284271247461903</v>
      </c>
      <c r="AB111" s="752">
        <f t="shared" si="14"/>
        <v>0.98399999999999999</v>
      </c>
      <c r="AC111" s="732">
        <f t="shared" si="15"/>
        <v>9.8400000000000001E-2</v>
      </c>
      <c r="AD111" s="732">
        <f t="shared" si="16"/>
        <v>984</v>
      </c>
      <c r="AE111" s="732">
        <f t="shared" si="17"/>
        <v>6905</v>
      </c>
      <c r="AG111" s="1246" t="s">
        <v>432</v>
      </c>
      <c r="AH111" s="1247"/>
    </row>
    <row r="112" spans="3:41">
      <c r="C112" s="13"/>
      <c r="E112" s="673" t="s">
        <v>858</v>
      </c>
      <c r="F112" s="673"/>
      <c r="G112" s="33" t="s">
        <v>27</v>
      </c>
      <c r="H112" s="34" t="str">
        <f>H20</f>
        <v>Undisturbed Sample / UDS</v>
      </c>
      <c r="I112" s="33"/>
      <c r="J112" s="33"/>
      <c r="K112" s="33"/>
      <c r="L112" s="16"/>
      <c r="M112" s="16"/>
      <c r="N112" s="16"/>
      <c r="O112" s="16"/>
      <c r="P112" s="16"/>
      <c r="Q112" s="16"/>
      <c r="R112" s="16"/>
      <c r="S112" s="16"/>
      <c r="U112" s="14"/>
      <c r="Y112" s="706"/>
      <c r="Z112" s="8"/>
      <c r="AA112" s="757">
        <v>3.872983346207417</v>
      </c>
      <c r="AB112" s="752">
        <f t="shared" si="14"/>
        <v>0.98319999999999996</v>
      </c>
      <c r="AC112" s="732">
        <f t="shared" si="15"/>
        <v>9.8320000000000005E-2</v>
      </c>
      <c r="AD112" s="732">
        <f t="shared" si="16"/>
        <v>983.19999999999993</v>
      </c>
      <c r="AE112" s="732">
        <f t="shared" si="17"/>
        <v>7888.2</v>
      </c>
      <c r="AG112" s="732" t="s">
        <v>116</v>
      </c>
      <c r="AH112" s="718" t="s">
        <v>115</v>
      </c>
    </row>
    <row r="113" spans="3:34">
      <c r="C113" s="13"/>
      <c r="E113" s="1205" t="s">
        <v>847</v>
      </c>
      <c r="F113" s="1206" t="str">
        <f>"The samples were received as "&amp;H112&amp;" and the validity of the sampling process was not verified by the laboratory."</f>
        <v>The samples were received as Undisturbed Sample / UDS and the validity of the sampling process was not verified by the laboratory.</v>
      </c>
      <c r="G113" s="33"/>
      <c r="H113" s="33"/>
      <c r="I113" s="33"/>
      <c r="J113" s="33"/>
      <c r="K113" s="16"/>
      <c r="L113" s="16"/>
      <c r="M113" s="16"/>
      <c r="N113" s="16"/>
      <c r="O113" s="16"/>
      <c r="P113" s="16"/>
      <c r="Q113" s="16"/>
      <c r="R113" s="16"/>
      <c r="S113" s="16"/>
      <c r="U113" s="14"/>
      <c r="Y113" s="706"/>
      <c r="Z113" s="8"/>
      <c r="AA113" s="757">
        <v>5.4772255750516612</v>
      </c>
      <c r="AB113" s="752">
        <f t="shared" si="14"/>
        <v>0.98260000000000003</v>
      </c>
      <c r="AC113" s="732">
        <f t="shared" si="15"/>
        <v>9.8260000000000014E-2</v>
      </c>
      <c r="AD113" s="732">
        <f t="shared" si="16"/>
        <v>982.6</v>
      </c>
      <c r="AE113" s="732">
        <f t="shared" si="17"/>
        <v>8870.7999999999993</v>
      </c>
      <c r="AG113" s="732">
        <f>AG107</f>
        <v>0</v>
      </c>
      <c r="AH113" s="718">
        <f>AH107</f>
        <v>2000</v>
      </c>
    </row>
    <row r="114" spans="3:34">
      <c r="C114" s="13"/>
      <c r="U114" s="14"/>
      <c r="Y114" s="706"/>
      <c r="Z114" s="8"/>
      <c r="AA114" s="757">
        <v>7.745966692414834</v>
      </c>
      <c r="AB114" s="752">
        <f t="shared" si="14"/>
        <v>0.98199999999999998</v>
      </c>
      <c r="AC114" s="732">
        <f t="shared" si="15"/>
        <v>9.820000000000001E-2</v>
      </c>
      <c r="AD114" s="732">
        <f t="shared" si="16"/>
        <v>982</v>
      </c>
      <c r="AE114" s="732">
        <f t="shared" si="17"/>
        <v>9852.7999999999993</v>
      </c>
      <c r="AG114" s="732">
        <f>AG108*1.15</f>
        <v>7.13</v>
      </c>
      <c r="AH114" s="718">
        <f>AH108</f>
        <v>14000</v>
      </c>
    </row>
    <row r="115" spans="3:34">
      <c r="C115" s="13"/>
      <c r="U115" s="14"/>
      <c r="Y115" s="706"/>
      <c r="Z115" s="8"/>
      <c r="AA115" s="757">
        <v>10.954451150103322</v>
      </c>
      <c r="AB115" s="752">
        <f t="shared" si="14"/>
        <v>0.98119999999999996</v>
      </c>
      <c r="AC115" s="732">
        <f t="shared" si="15"/>
        <v>9.8119999999999999E-2</v>
      </c>
      <c r="AD115" s="732">
        <f t="shared" si="16"/>
        <v>981.19999999999993</v>
      </c>
      <c r="AE115" s="732">
        <f t="shared" si="17"/>
        <v>10834</v>
      </c>
      <c r="AG115" s="706"/>
      <c r="AH115" s="8"/>
    </row>
    <row r="116" spans="3:34">
      <c r="C116" s="13"/>
      <c r="U116" s="14"/>
      <c r="Y116" s="770"/>
      <c r="Z116" s="8"/>
      <c r="AA116" s="757">
        <v>16</v>
      </c>
      <c r="AB116" s="752">
        <f t="shared" si="14"/>
        <v>0.98089999999999999</v>
      </c>
      <c r="AC116" s="732">
        <f t="shared" si="15"/>
        <v>9.8090000000000011E-2</v>
      </c>
      <c r="AD116" s="732">
        <f t="shared" si="16"/>
        <v>980.9</v>
      </c>
      <c r="AE116" s="732">
        <f t="shared" si="17"/>
        <v>11814.9</v>
      </c>
      <c r="AG116" s="764" t="s">
        <v>433</v>
      </c>
      <c r="AH116" s="718"/>
    </row>
    <row r="117" spans="3:34">
      <c r="C117" s="13"/>
      <c r="U117" s="14"/>
      <c r="Y117" s="706"/>
      <c r="Z117" s="8"/>
      <c r="AA117" s="757">
        <v>22</v>
      </c>
      <c r="AB117" s="752">
        <f t="shared" si="14"/>
        <v>0.98060000000000003</v>
      </c>
      <c r="AC117" s="732">
        <f t="shared" si="15"/>
        <v>9.8060000000000008E-2</v>
      </c>
      <c r="AD117" s="732">
        <f t="shared" si="16"/>
        <v>980.6</v>
      </c>
      <c r="AE117" s="732">
        <f t="shared" si="17"/>
        <v>12795.5</v>
      </c>
      <c r="AG117" s="732" t="s">
        <v>116</v>
      </c>
      <c r="AH117" s="718" t="s">
        <v>115</v>
      </c>
    </row>
    <row r="118" spans="3:34">
      <c r="C118" s="13"/>
      <c r="U118" s="14"/>
      <c r="Y118" s="706"/>
      <c r="Z118" s="8"/>
      <c r="AA118" s="757">
        <v>37.947331922020552</v>
      </c>
      <c r="AB118" s="752">
        <f t="shared" si="14"/>
        <v>0.98</v>
      </c>
      <c r="AC118" s="732">
        <f t="shared" si="15"/>
        <v>9.8000000000000004E-2</v>
      </c>
      <c r="AD118" s="732">
        <f t="shared" si="16"/>
        <v>980</v>
      </c>
      <c r="AE118" s="732">
        <f t="shared" si="17"/>
        <v>13775.5</v>
      </c>
      <c r="AG118" s="732">
        <v>0</v>
      </c>
      <c r="AH118" s="718">
        <f>AH119</f>
        <v>6500</v>
      </c>
    </row>
    <row r="119" spans="3:34">
      <c r="C119" s="13"/>
      <c r="U119" s="14"/>
      <c r="Y119" s="706"/>
      <c r="Z119" s="8"/>
      <c r="AA119" s="771"/>
      <c r="AB119" s="706"/>
      <c r="AC119" s="706"/>
      <c r="AD119" s="771"/>
      <c r="AG119" s="730">
        <v>2.8</v>
      </c>
      <c r="AH119" s="758">
        <v>6500</v>
      </c>
    </row>
    <row r="120" spans="3:34">
      <c r="C120" s="13"/>
      <c r="U120" s="14"/>
      <c r="Y120" s="706"/>
      <c r="Z120" s="8"/>
      <c r="AB120" s="706"/>
      <c r="AC120" s="771"/>
      <c r="AG120" s="732">
        <f>AG119</f>
        <v>2.8</v>
      </c>
      <c r="AH120" s="718">
        <f>AH114</f>
        <v>14000</v>
      </c>
    </row>
    <row r="121" spans="3:34">
      <c r="C121" s="13"/>
      <c r="U121" s="14"/>
    </row>
    <row r="122" spans="3:34">
      <c r="C122" s="13"/>
      <c r="U122" s="14"/>
      <c r="Y122" s="766"/>
      <c r="Z122" s="8"/>
      <c r="AA122" s="25"/>
      <c r="AB122" s="766"/>
    </row>
    <row r="123" spans="3:34">
      <c r="C123" s="13"/>
      <c r="U123" s="14"/>
      <c r="Y123" s="766"/>
      <c r="Z123" s="8"/>
      <c r="AA123" s="676"/>
      <c r="AB123" s="766"/>
      <c r="AC123" s="767"/>
      <c r="AD123" s="767"/>
    </row>
    <row r="124" spans="3:34">
      <c r="C124" s="13"/>
      <c r="U124" s="14"/>
      <c r="Y124" s="4115"/>
      <c r="Z124" s="4115"/>
      <c r="AA124" s="772"/>
      <c r="AB124" s="772"/>
      <c r="AC124" s="772"/>
    </row>
    <row r="125" spans="3:34">
      <c r="C125" s="13"/>
      <c r="U125" s="14"/>
      <c r="AA125" s="706"/>
      <c r="AD125" s="706"/>
    </row>
    <row r="126" spans="3:34">
      <c r="C126" s="13"/>
      <c r="U126" s="14"/>
      <c r="Y126" s="768"/>
      <c r="Z126" s="8"/>
      <c r="AA126" s="706"/>
      <c r="AB126" s="768"/>
      <c r="AC126" s="706"/>
      <c r="AD126" s="706"/>
    </row>
    <row r="127" spans="3:34">
      <c r="C127" s="13"/>
      <c r="U127" s="14"/>
      <c r="Y127" s="706"/>
      <c r="Z127" s="8"/>
      <c r="AA127" s="754">
        <v>1</v>
      </c>
      <c r="AB127" s="706"/>
      <c r="AC127" s="706"/>
      <c r="AD127" s="706"/>
      <c r="AE127" s="706"/>
    </row>
    <row r="128" spans="3:34">
      <c r="C128" s="13"/>
      <c r="U128" s="14"/>
      <c r="Y128" s="706"/>
      <c r="Z128" s="8"/>
      <c r="AA128" s="714" t="s">
        <v>116</v>
      </c>
      <c r="AB128" s="732" t="s">
        <v>495</v>
      </c>
      <c r="AC128" s="732" t="s">
        <v>2</v>
      </c>
      <c r="AD128" s="732" t="s">
        <v>496</v>
      </c>
      <c r="AE128" s="714" t="s">
        <v>115</v>
      </c>
      <c r="AG128" s="1243">
        <f>AA127</f>
        <v>1</v>
      </c>
      <c r="AH128" s="1243"/>
    </row>
    <row r="129" spans="3:34">
      <c r="C129" s="13"/>
      <c r="U129" s="14"/>
      <c r="Y129" s="707"/>
      <c r="Z129" s="8"/>
      <c r="AA129" s="757">
        <v>0</v>
      </c>
      <c r="AB129" s="752">
        <f t="shared" ref="AB129:AB142" si="18">AF28</f>
        <v>0.98</v>
      </c>
      <c r="AC129" s="732">
        <f>AB129*0.1</f>
        <v>9.8000000000000004E-2</v>
      </c>
      <c r="AD129" s="732">
        <f>AB129*1000</f>
        <v>980</v>
      </c>
      <c r="AE129" s="732">
        <f>AD129</f>
        <v>980</v>
      </c>
      <c r="AG129" s="755"/>
      <c r="AH129" s="756"/>
    </row>
    <row r="130" spans="3:34">
      <c r="C130" s="13"/>
      <c r="U130" s="14"/>
      <c r="Y130" s="706"/>
      <c r="Z130" s="8"/>
      <c r="AA130" s="757">
        <v>0.5</v>
      </c>
      <c r="AB130" s="752">
        <f t="shared" si="18"/>
        <v>0.97160000000000002</v>
      </c>
      <c r="AC130" s="732">
        <f t="shared" ref="AC130:AC142" si="19">AB130*0.1</f>
        <v>9.716000000000001E-2</v>
      </c>
      <c r="AD130" s="732">
        <f t="shared" ref="AD130:AD142" si="20">AB130*1000</f>
        <v>971.6</v>
      </c>
      <c r="AE130" s="732">
        <f t="shared" ref="AE130:AE142" si="21">AE129+AD130</f>
        <v>1951.6</v>
      </c>
      <c r="AG130" s="1244" t="s">
        <v>431</v>
      </c>
      <c r="AH130" s="1245"/>
    </row>
    <row r="131" spans="3:34">
      <c r="C131" s="13"/>
      <c r="U131" s="14"/>
      <c r="Y131" s="706"/>
      <c r="Z131" s="8"/>
      <c r="AA131" s="757">
        <v>0.70710678118654757</v>
      </c>
      <c r="AB131" s="752">
        <f t="shared" si="18"/>
        <v>0.97019999999999995</v>
      </c>
      <c r="AC131" s="732">
        <f t="shared" si="19"/>
        <v>9.7019999999999995E-2</v>
      </c>
      <c r="AD131" s="732">
        <f t="shared" si="20"/>
        <v>970.19999999999993</v>
      </c>
      <c r="AE131" s="732">
        <f t="shared" si="21"/>
        <v>2921.7999999999997</v>
      </c>
      <c r="AG131" s="732" t="s">
        <v>116</v>
      </c>
      <c r="AH131" s="718" t="s">
        <v>115</v>
      </c>
    </row>
    <row r="132" spans="3:34">
      <c r="C132" s="13"/>
      <c r="U132" s="14"/>
      <c r="Y132" s="769"/>
      <c r="Z132" s="8"/>
      <c r="AA132" s="757">
        <v>1</v>
      </c>
      <c r="AB132" s="752">
        <f t="shared" si="18"/>
        <v>0.96799999999999997</v>
      </c>
      <c r="AC132" s="732">
        <f t="shared" si="19"/>
        <v>9.6799999999999997E-2</v>
      </c>
      <c r="AD132" s="732">
        <f t="shared" si="20"/>
        <v>968</v>
      </c>
      <c r="AE132" s="732">
        <f t="shared" si="21"/>
        <v>3889.7999999999997</v>
      </c>
      <c r="AG132" s="732">
        <v>0</v>
      </c>
      <c r="AH132" s="718">
        <f>AH82</f>
        <v>2000</v>
      </c>
    </row>
    <row r="133" spans="3:34">
      <c r="C133" s="13"/>
      <c r="U133" s="14"/>
      <c r="Y133" s="706"/>
      <c r="Z133" s="8"/>
      <c r="AA133" s="757">
        <v>1.4142135623730951</v>
      </c>
      <c r="AB133" s="752">
        <f t="shared" si="18"/>
        <v>0.96640000000000004</v>
      </c>
      <c r="AC133" s="732">
        <f t="shared" si="19"/>
        <v>9.6640000000000004E-2</v>
      </c>
      <c r="AD133" s="732">
        <f t="shared" si="20"/>
        <v>966.40000000000009</v>
      </c>
      <c r="AE133" s="732">
        <f t="shared" si="21"/>
        <v>4856.2</v>
      </c>
      <c r="AG133" s="760">
        <v>6.8</v>
      </c>
      <c r="AH133" s="718">
        <v>14000</v>
      </c>
    </row>
    <row r="134" spans="3:34">
      <c r="C134" s="13"/>
      <c r="U134" s="14"/>
      <c r="Y134" s="706"/>
      <c r="Z134" s="8"/>
      <c r="AA134" s="757">
        <v>2</v>
      </c>
      <c r="AB134" s="752">
        <f t="shared" si="18"/>
        <v>0.96479999999999999</v>
      </c>
      <c r="AC134" s="732">
        <f t="shared" si="19"/>
        <v>9.648000000000001E-2</v>
      </c>
      <c r="AD134" s="732">
        <f t="shared" si="20"/>
        <v>964.8</v>
      </c>
      <c r="AE134" s="732">
        <f t="shared" si="21"/>
        <v>5821</v>
      </c>
      <c r="AG134" s="706"/>
      <c r="AH134" s="8"/>
    </row>
    <row r="135" spans="3:34">
      <c r="C135" s="13"/>
      <c r="U135" s="14"/>
      <c r="Y135" s="706"/>
      <c r="Z135" s="8"/>
      <c r="AA135" s="757">
        <v>2.8284271247461903</v>
      </c>
      <c r="AB135" s="752">
        <f t="shared" si="18"/>
        <v>0.96330000000000005</v>
      </c>
      <c r="AC135" s="732">
        <f t="shared" si="19"/>
        <v>9.6330000000000013E-2</v>
      </c>
      <c r="AD135" s="732">
        <f t="shared" si="20"/>
        <v>963.30000000000007</v>
      </c>
      <c r="AE135" s="732">
        <f t="shared" si="21"/>
        <v>6784.3</v>
      </c>
      <c r="AG135" s="706"/>
      <c r="AH135" s="8"/>
    </row>
    <row r="136" spans="3:34">
      <c r="C136" s="13"/>
      <c r="U136" s="14"/>
      <c r="Y136" s="706"/>
      <c r="Z136" s="8"/>
      <c r="AA136" s="757">
        <v>3.872983346207417</v>
      </c>
      <c r="AB136" s="752">
        <f t="shared" si="18"/>
        <v>0.96160000000000001</v>
      </c>
      <c r="AC136" s="732">
        <f t="shared" si="19"/>
        <v>9.6160000000000009E-2</v>
      </c>
      <c r="AD136" s="732">
        <f t="shared" si="20"/>
        <v>961.6</v>
      </c>
      <c r="AE136" s="732">
        <f t="shared" si="21"/>
        <v>7745.9000000000005</v>
      </c>
      <c r="AG136" s="1246" t="s">
        <v>432</v>
      </c>
      <c r="AH136" s="1247"/>
    </row>
    <row r="137" spans="3:34">
      <c r="C137" s="13"/>
      <c r="U137" s="14"/>
      <c r="Y137" s="770"/>
      <c r="Z137" s="8"/>
      <c r="AA137" s="757">
        <v>5.4772255750516612</v>
      </c>
      <c r="AB137" s="752">
        <f t="shared" si="18"/>
        <v>0.95989999999999998</v>
      </c>
      <c r="AC137" s="732">
        <f t="shared" si="19"/>
        <v>9.5990000000000006E-2</v>
      </c>
      <c r="AD137" s="732">
        <f t="shared" si="20"/>
        <v>959.9</v>
      </c>
      <c r="AE137" s="732">
        <f t="shared" si="21"/>
        <v>8705.8000000000011</v>
      </c>
      <c r="AG137" s="732" t="s">
        <v>116</v>
      </c>
      <c r="AH137" s="718" t="s">
        <v>115</v>
      </c>
    </row>
    <row r="138" spans="3:34">
      <c r="C138" s="13"/>
      <c r="U138" s="14"/>
      <c r="Y138" s="706"/>
      <c r="Z138" s="8"/>
      <c r="AA138" s="757">
        <v>7.745966692414834</v>
      </c>
      <c r="AB138" s="752">
        <f t="shared" si="18"/>
        <v>0.95799999999999996</v>
      </c>
      <c r="AC138" s="732">
        <f t="shared" si="19"/>
        <v>9.5799999999999996E-2</v>
      </c>
      <c r="AD138" s="732">
        <f t="shared" si="20"/>
        <v>958</v>
      </c>
      <c r="AE138" s="732">
        <f t="shared" si="21"/>
        <v>9663.8000000000011</v>
      </c>
      <c r="AG138" s="732">
        <f>AG132</f>
        <v>0</v>
      </c>
      <c r="AH138" s="718">
        <f>AH132</f>
        <v>2000</v>
      </c>
    </row>
    <row r="139" spans="3:34">
      <c r="C139" s="13"/>
      <c r="U139" s="14"/>
      <c r="Y139" s="706"/>
      <c r="Z139" s="8"/>
      <c r="AA139" s="757">
        <v>10.954451150103322</v>
      </c>
      <c r="AB139" s="752">
        <f t="shared" si="18"/>
        <v>0.95620000000000005</v>
      </c>
      <c r="AC139" s="732">
        <f t="shared" si="19"/>
        <v>9.5620000000000011E-2</v>
      </c>
      <c r="AD139" s="732">
        <f t="shared" si="20"/>
        <v>956.2</v>
      </c>
      <c r="AE139" s="732">
        <f t="shared" si="21"/>
        <v>10620.000000000002</v>
      </c>
      <c r="AG139" s="732">
        <f>AG133*1.15</f>
        <v>7.8199999999999994</v>
      </c>
      <c r="AH139" s="718">
        <f>AH133</f>
        <v>14000</v>
      </c>
    </row>
    <row r="140" spans="3:34">
      <c r="C140" s="13"/>
      <c r="U140" s="14"/>
      <c r="Y140" s="706"/>
      <c r="Z140" s="8"/>
      <c r="AA140" s="757">
        <v>16</v>
      </c>
      <c r="AB140" s="752">
        <f t="shared" si="18"/>
        <v>0.95479999999999998</v>
      </c>
      <c r="AC140" s="732">
        <f t="shared" si="19"/>
        <v>9.5480000000000009E-2</v>
      </c>
      <c r="AD140" s="732">
        <f t="shared" si="20"/>
        <v>954.8</v>
      </c>
      <c r="AE140" s="732">
        <f t="shared" si="21"/>
        <v>11574.800000000001</v>
      </c>
      <c r="AG140" s="706"/>
      <c r="AH140" s="8"/>
    </row>
    <row r="141" spans="3:34">
      <c r="C141" s="13"/>
      <c r="U141" s="14"/>
      <c r="Y141" s="706"/>
      <c r="Z141" s="8"/>
      <c r="AA141" s="757">
        <v>22</v>
      </c>
      <c r="AB141" s="752">
        <f t="shared" si="18"/>
        <v>0.95440000000000003</v>
      </c>
      <c r="AC141" s="732">
        <f t="shared" si="19"/>
        <v>9.5440000000000011E-2</v>
      </c>
      <c r="AD141" s="732">
        <f t="shared" si="20"/>
        <v>954.4</v>
      </c>
      <c r="AE141" s="732">
        <f t="shared" si="21"/>
        <v>12529.2</v>
      </c>
      <c r="AG141" s="764" t="s">
        <v>433</v>
      </c>
      <c r="AH141" s="718"/>
    </row>
    <row r="142" spans="3:34">
      <c r="C142" s="13"/>
      <c r="U142" s="14"/>
      <c r="AA142" s="757">
        <v>37.947331922020552</v>
      </c>
      <c r="AB142" s="752">
        <f t="shared" si="18"/>
        <v>0.95399999999999996</v>
      </c>
      <c r="AC142" s="732">
        <f t="shared" si="19"/>
        <v>9.5399999999999999E-2</v>
      </c>
      <c r="AD142" s="732">
        <f t="shared" si="20"/>
        <v>954</v>
      </c>
      <c r="AE142" s="732">
        <f t="shared" si="21"/>
        <v>13483.2</v>
      </c>
      <c r="AG142" s="732" t="s">
        <v>116</v>
      </c>
      <c r="AH142" s="718" t="s">
        <v>115</v>
      </c>
    </row>
    <row r="143" spans="3:34">
      <c r="C143" s="13"/>
      <c r="U143" s="14"/>
      <c r="Y143" s="766"/>
      <c r="Z143" s="8"/>
      <c r="AA143" s="25"/>
      <c r="AB143" s="766"/>
      <c r="AG143" s="732">
        <v>0</v>
      </c>
      <c r="AH143" s="718">
        <f>AH144</f>
        <v>6560</v>
      </c>
    </row>
    <row r="144" spans="3:34">
      <c r="C144" s="13"/>
      <c r="U144" s="14"/>
      <c r="Y144" s="766"/>
      <c r="Z144" s="8"/>
      <c r="AA144" s="676"/>
      <c r="AB144" s="766"/>
      <c r="AC144" s="767"/>
      <c r="AG144" s="730">
        <v>2.8</v>
      </c>
      <c r="AH144" s="758">
        <v>6560</v>
      </c>
    </row>
    <row r="145" spans="3:34">
      <c r="C145" s="13"/>
      <c r="U145" s="14"/>
      <c r="AG145" s="732">
        <f>AG144</f>
        <v>2.8</v>
      </c>
      <c r="AH145" s="718">
        <f>AH139</f>
        <v>14000</v>
      </c>
    </row>
    <row r="146" spans="3:34">
      <c r="C146" s="13"/>
      <c r="U146" s="14"/>
    </row>
    <row r="147" spans="3:34">
      <c r="C147" s="13"/>
      <c r="U147" s="14"/>
    </row>
    <row r="148" spans="3:34">
      <c r="C148" s="13"/>
      <c r="U148" s="14"/>
    </row>
    <row r="149" spans="3:34">
      <c r="C149" s="13"/>
      <c r="U149" s="14"/>
    </row>
    <row r="150" spans="3:34">
      <c r="C150" s="13"/>
      <c r="U150" s="14"/>
    </row>
    <row r="151" spans="3:34">
      <c r="C151" s="13"/>
      <c r="U151" s="14"/>
    </row>
    <row r="152" spans="3:34">
      <c r="C152" s="13"/>
      <c r="U152" s="14"/>
      <c r="AA152" s="754">
        <v>2</v>
      </c>
      <c r="AB152" s="706"/>
      <c r="AC152" s="706"/>
      <c r="AD152" s="706"/>
      <c r="AE152" s="706"/>
    </row>
    <row r="153" spans="3:34">
      <c r="C153" s="13"/>
      <c r="U153" s="14"/>
      <c r="AA153" s="714" t="s">
        <v>116</v>
      </c>
      <c r="AB153" s="732" t="s">
        <v>495</v>
      </c>
      <c r="AC153" s="732" t="s">
        <v>2</v>
      </c>
      <c r="AD153" s="732" t="s">
        <v>496</v>
      </c>
      <c r="AE153" s="714" t="s">
        <v>115</v>
      </c>
      <c r="AG153" s="1243">
        <f>AA152</f>
        <v>2</v>
      </c>
      <c r="AH153" s="1243"/>
    </row>
    <row r="154" spans="3:34">
      <c r="C154" s="13"/>
      <c r="U154" s="14"/>
      <c r="AA154" s="757">
        <v>0</v>
      </c>
      <c r="AB154" s="752">
        <f t="shared" ref="AB154:AB167" si="22">AG28</f>
        <v>0.95399999999999996</v>
      </c>
      <c r="AC154" s="732">
        <f>AB154*0.1</f>
        <v>9.5399999999999999E-2</v>
      </c>
      <c r="AD154" s="732">
        <f>AB154*1000</f>
        <v>954</v>
      </c>
      <c r="AE154" s="732">
        <f>AD154</f>
        <v>954</v>
      </c>
      <c r="AG154" s="755"/>
      <c r="AH154" s="756"/>
    </row>
    <row r="155" spans="3:34">
      <c r="C155" s="13"/>
      <c r="U155" s="14"/>
      <c r="AA155" s="757">
        <v>0.5</v>
      </c>
      <c r="AB155" s="752">
        <f t="shared" si="22"/>
        <v>0.94</v>
      </c>
      <c r="AC155" s="732">
        <f t="shared" ref="AC155:AC167" si="23">AB155*0.1</f>
        <v>9.4E-2</v>
      </c>
      <c r="AD155" s="732">
        <f t="shared" ref="AD155:AD167" si="24">AB155*1000</f>
        <v>940</v>
      </c>
      <c r="AE155" s="732">
        <f t="shared" ref="AE155:AE167" si="25">AE154+AD155</f>
        <v>1894</v>
      </c>
      <c r="AG155" s="1244" t="s">
        <v>431</v>
      </c>
      <c r="AH155" s="1245"/>
    </row>
    <row r="156" spans="3:34">
      <c r="C156" s="13"/>
      <c r="U156" s="14"/>
      <c r="AA156" s="757">
        <v>0.70710678118654757</v>
      </c>
      <c r="AB156" s="752">
        <f t="shared" si="22"/>
        <v>0.93779999999999997</v>
      </c>
      <c r="AC156" s="732">
        <f t="shared" si="23"/>
        <v>9.3780000000000002E-2</v>
      </c>
      <c r="AD156" s="732">
        <f t="shared" si="24"/>
        <v>937.8</v>
      </c>
      <c r="AE156" s="732">
        <f t="shared" si="25"/>
        <v>2831.8</v>
      </c>
      <c r="AG156" s="732" t="s">
        <v>116</v>
      </c>
      <c r="AH156" s="718" t="s">
        <v>115</v>
      </c>
    </row>
    <row r="157" spans="3:34">
      <c r="C157" s="13"/>
      <c r="D157" s="39"/>
      <c r="U157" s="14"/>
      <c r="AA157" s="757">
        <v>1</v>
      </c>
      <c r="AB157" s="752">
        <f t="shared" si="22"/>
        <v>0.93559999999999999</v>
      </c>
      <c r="AC157" s="732">
        <f t="shared" si="23"/>
        <v>9.3560000000000004E-2</v>
      </c>
      <c r="AD157" s="732">
        <f t="shared" si="24"/>
        <v>935.6</v>
      </c>
      <c r="AE157" s="732">
        <f t="shared" si="25"/>
        <v>3767.4</v>
      </c>
      <c r="AG157" s="732">
        <v>0</v>
      </c>
      <c r="AH157" s="758">
        <v>2000</v>
      </c>
    </row>
    <row r="158" spans="3:34">
      <c r="C158" s="13"/>
      <c r="U158" s="14"/>
      <c r="AA158" s="757">
        <v>1.4142135623730951</v>
      </c>
      <c r="AB158" s="752">
        <f t="shared" si="22"/>
        <v>0.93300000000000005</v>
      </c>
      <c r="AC158" s="732">
        <f t="shared" si="23"/>
        <v>9.3300000000000008E-2</v>
      </c>
      <c r="AD158" s="732">
        <f t="shared" si="24"/>
        <v>933</v>
      </c>
      <c r="AE158" s="732">
        <f t="shared" si="25"/>
        <v>4700.3999999999996</v>
      </c>
      <c r="AG158" s="760">
        <v>7.5</v>
      </c>
      <c r="AH158" s="718">
        <v>14000</v>
      </c>
    </row>
    <row r="159" spans="3:34">
      <c r="C159" s="13"/>
      <c r="U159" s="14"/>
      <c r="AA159" s="757">
        <v>2</v>
      </c>
      <c r="AB159" s="752">
        <f t="shared" si="22"/>
        <v>0.92930000000000001</v>
      </c>
      <c r="AC159" s="732">
        <f t="shared" si="23"/>
        <v>9.2930000000000013E-2</v>
      </c>
      <c r="AD159" s="732">
        <f t="shared" si="24"/>
        <v>929.30000000000007</v>
      </c>
      <c r="AE159" s="732">
        <f t="shared" si="25"/>
        <v>5629.7</v>
      </c>
      <c r="AG159" s="706"/>
      <c r="AH159" s="8"/>
    </row>
    <row r="160" spans="3:34">
      <c r="C160" s="13"/>
      <c r="U160" s="14"/>
      <c r="AA160" s="757">
        <v>2.8284271247461903</v>
      </c>
      <c r="AB160" s="752">
        <f t="shared" si="22"/>
        <v>0.92600000000000005</v>
      </c>
      <c r="AC160" s="732">
        <f t="shared" si="23"/>
        <v>9.2600000000000016E-2</v>
      </c>
      <c r="AD160" s="732">
        <f t="shared" si="24"/>
        <v>926</v>
      </c>
      <c r="AE160" s="732">
        <f t="shared" si="25"/>
        <v>6555.7</v>
      </c>
      <c r="AG160" s="706"/>
      <c r="AH160" s="8"/>
    </row>
    <row r="161" spans="3:34">
      <c r="C161" s="13"/>
      <c r="U161" s="14"/>
      <c r="AA161" s="757">
        <v>3.872983346207417</v>
      </c>
      <c r="AB161" s="752">
        <f t="shared" si="22"/>
        <v>0.92200000000000004</v>
      </c>
      <c r="AC161" s="732">
        <f t="shared" si="23"/>
        <v>9.2200000000000004E-2</v>
      </c>
      <c r="AD161" s="732">
        <f t="shared" si="24"/>
        <v>922</v>
      </c>
      <c r="AE161" s="732">
        <f t="shared" si="25"/>
        <v>7477.7</v>
      </c>
      <c r="AG161" s="1246" t="s">
        <v>432</v>
      </c>
      <c r="AH161" s="1247"/>
    </row>
    <row r="162" spans="3:34">
      <c r="C162" s="13"/>
      <c r="U162" s="14"/>
      <c r="AA162" s="757">
        <v>5.4772255750516612</v>
      </c>
      <c r="AB162" s="752">
        <f t="shared" si="22"/>
        <v>0.91700000000000004</v>
      </c>
      <c r="AC162" s="732">
        <f t="shared" si="23"/>
        <v>9.1700000000000004E-2</v>
      </c>
      <c r="AD162" s="732">
        <f t="shared" si="24"/>
        <v>917</v>
      </c>
      <c r="AE162" s="732">
        <f t="shared" si="25"/>
        <v>8394.7000000000007</v>
      </c>
      <c r="AG162" s="732" t="s">
        <v>116</v>
      </c>
      <c r="AH162" s="718" t="s">
        <v>115</v>
      </c>
    </row>
    <row r="163" spans="3:34">
      <c r="C163" s="13"/>
      <c r="U163" s="14"/>
      <c r="AA163" s="757">
        <v>7.745966692414834</v>
      </c>
      <c r="AB163" s="752">
        <f t="shared" si="22"/>
        <v>0.90980000000000005</v>
      </c>
      <c r="AC163" s="732">
        <f t="shared" si="23"/>
        <v>9.0980000000000005E-2</v>
      </c>
      <c r="AD163" s="732">
        <f t="shared" si="24"/>
        <v>909.80000000000007</v>
      </c>
      <c r="AE163" s="732">
        <f t="shared" si="25"/>
        <v>9304.5</v>
      </c>
      <c r="AG163" s="732">
        <f>AG157</f>
        <v>0</v>
      </c>
      <c r="AH163" s="718">
        <f>AH157</f>
        <v>2000</v>
      </c>
    </row>
    <row r="164" spans="3:34">
      <c r="C164" s="13"/>
      <c r="U164" s="14"/>
      <c r="AA164" s="757">
        <v>10.954451150103322</v>
      </c>
      <c r="AB164" s="752">
        <f t="shared" si="22"/>
        <v>0.90410000000000001</v>
      </c>
      <c r="AC164" s="732">
        <f t="shared" si="23"/>
        <v>9.0410000000000004E-2</v>
      </c>
      <c r="AD164" s="732">
        <f t="shared" si="24"/>
        <v>904.1</v>
      </c>
      <c r="AE164" s="732">
        <f t="shared" si="25"/>
        <v>10208.6</v>
      </c>
      <c r="AG164" s="732">
        <f>AG158*1.15</f>
        <v>8.625</v>
      </c>
      <c r="AH164" s="718">
        <f>AH158</f>
        <v>14000</v>
      </c>
    </row>
    <row r="165" spans="3:34" ht="9.75" customHeight="1">
      <c r="C165" s="38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40"/>
      <c r="AA165" s="757">
        <v>16</v>
      </c>
      <c r="AB165" s="752">
        <f t="shared" si="22"/>
        <v>0.9</v>
      </c>
      <c r="AC165" s="732">
        <f t="shared" si="23"/>
        <v>9.0000000000000011E-2</v>
      </c>
      <c r="AD165" s="732">
        <f t="shared" si="24"/>
        <v>900</v>
      </c>
      <c r="AE165" s="732">
        <f t="shared" si="25"/>
        <v>11108.6</v>
      </c>
      <c r="AG165" s="706"/>
      <c r="AH165" s="8"/>
    </row>
    <row r="166" spans="3:34">
      <c r="S166" s="44"/>
      <c r="AA166" s="757">
        <v>22</v>
      </c>
      <c r="AB166" s="752">
        <f t="shared" si="22"/>
        <v>0.89700000000000002</v>
      </c>
      <c r="AC166" s="732">
        <f t="shared" si="23"/>
        <v>8.9700000000000002E-2</v>
      </c>
      <c r="AD166" s="732">
        <f t="shared" si="24"/>
        <v>897</v>
      </c>
      <c r="AE166" s="732">
        <f t="shared" si="25"/>
        <v>12005.6</v>
      </c>
      <c r="AG166" s="1248" t="s">
        <v>433</v>
      </c>
      <c r="AH166" s="1249"/>
    </row>
    <row r="167" spans="3:34">
      <c r="AA167" s="757">
        <v>37.947331922020552</v>
      </c>
      <c r="AB167" s="752">
        <f t="shared" si="22"/>
        <v>0.89600000000000002</v>
      </c>
      <c r="AC167" s="732">
        <f t="shared" si="23"/>
        <v>8.9600000000000013E-2</v>
      </c>
      <c r="AD167" s="732">
        <f t="shared" si="24"/>
        <v>896</v>
      </c>
      <c r="AE167" s="732">
        <f t="shared" si="25"/>
        <v>12901.6</v>
      </c>
      <c r="AG167" s="732" t="s">
        <v>116</v>
      </c>
      <c r="AH167" s="718" t="s">
        <v>115</v>
      </c>
    </row>
    <row r="168" spans="3:34">
      <c r="AA168" s="25"/>
      <c r="AB168" s="766"/>
      <c r="AG168" s="732">
        <v>0</v>
      </c>
      <c r="AH168" s="718">
        <f>AH169</f>
        <v>6350</v>
      </c>
    </row>
    <row r="169" spans="3:34">
      <c r="AA169" s="676"/>
      <c r="AB169" s="766"/>
      <c r="AC169" s="767"/>
      <c r="AG169" s="730">
        <v>2.9</v>
      </c>
      <c r="AH169" s="758">
        <v>6350</v>
      </c>
    </row>
    <row r="170" spans="3:34">
      <c r="AG170" s="732">
        <f>AG169</f>
        <v>2.9</v>
      </c>
      <c r="AH170" s="718">
        <f>AH164</f>
        <v>14000</v>
      </c>
    </row>
    <row r="175" spans="3:34">
      <c r="AA175" s="754">
        <v>4</v>
      </c>
      <c r="AB175" s="706"/>
      <c r="AC175" s="706"/>
      <c r="AD175" s="706"/>
      <c r="AE175" s="706"/>
    </row>
    <row r="176" spans="3:34">
      <c r="AA176" s="714" t="s">
        <v>116</v>
      </c>
      <c r="AB176" s="732" t="s">
        <v>495</v>
      </c>
      <c r="AC176" s="732" t="s">
        <v>2</v>
      </c>
      <c r="AD176" s="732" t="s">
        <v>496</v>
      </c>
      <c r="AE176" s="714" t="s">
        <v>115</v>
      </c>
      <c r="AG176" s="1243">
        <f>AA175</f>
        <v>4</v>
      </c>
      <c r="AH176" s="1243"/>
    </row>
    <row r="177" spans="27:34">
      <c r="AA177" s="757">
        <v>0</v>
      </c>
      <c r="AB177" s="752">
        <f t="shared" ref="AB177:AB190" si="26">AH28</f>
        <v>0.89600000000000002</v>
      </c>
      <c r="AC177" s="732">
        <f>AB177*0.1</f>
        <v>8.9600000000000013E-2</v>
      </c>
      <c r="AD177" s="732">
        <f>AB177*1000</f>
        <v>896</v>
      </c>
      <c r="AE177" s="732">
        <f>AD177</f>
        <v>896</v>
      </c>
      <c r="AG177" s="755"/>
      <c r="AH177" s="756"/>
    </row>
    <row r="178" spans="27:34">
      <c r="AA178" s="757">
        <v>0.5</v>
      </c>
      <c r="AB178" s="752">
        <f t="shared" si="26"/>
        <v>0.88139999999999996</v>
      </c>
      <c r="AC178" s="732">
        <f t="shared" ref="AC178:AC190" si="27">AB178*0.1</f>
        <v>8.8139999999999996E-2</v>
      </c>
      <c r="AD178" s="732">
        <f t="shared" ref="AD178:AD190" si="28">AB178*1000</f>
        <v>881.4</v>
      </c>
      <c r="AE178" s="732">
        <f t="shared" ref="AE178:AE190" si="29">AE177+AD178</f>
        <v>1777.4</v>
      </c>
      <c r="AG178" s="1244" t="s">
        <v>431</v>
      </c>
      <c r="AH178" s="1245"/>
    </row>
    <row r="179" spans="27:34">
      <c r="AA179" s="757">
        <v>0.70710678118654757</v>
      </c>
      <c r="AB179" s="752">
        <f t="shared" si="26"/>
        <v>0.87919999999999998</v>
      </c>
      <c r="AC179" s="732">
        <f t="shared" si="27"/>
        <v>8.7919999999999998E-2</v>
      </c>
      <c r="AD179" s="732">
        <f t="shared" si="28"/>
        <v>879.19999999999993</v>
      </c>
      <c r="AE179" s="732">
        <f t="shared" si="29"/>
        <v>2656.6</v>
      </c>
      <c r="AG179" s="732" t="s">
        <v>116</v>
      </c>
      <c r="AH179" s="718" t="s">
        <v>115</v>
      </c>
    </row>
    <row r="180" spans="27:34">
      <c r="AA180" s="757">
        <v>1</v>
      </c>
      <c r="AB180" s="752">
        <f t="shared" si="26"/>
        <v>0.87609999999999999</v>
      </c>
      <c r="AC180" s="732">
        <f t="shared" si="27"/>
        <v>8.7610000000000007E-2</v>
      </c>
      <c r="AD180" s="732">
        <f t="shared" si="28"/>
        <v>876.1</v>
      </c>
      <c r="AE180" s="732">
        <f t="shared" si="29"/>
        <v>3532.7</v>
      </c>
      <c r="AG180" s="732">
        <v>0</v>
      </c>
      <c r="AH180" s="718">
        <f>AH157</f>
        <v>2000</v>
      </c>
    </row>
    <row r="181" spans="27:34">
      <c r="AA181" s="757">
        <v>1.4142135623730951</v>
      </c>
      <c r="AB181" s="752">
        <f t="shared" si="26"/>
        <v>0.87209999999999999</v>
      </c>
      <c r="AC181" s="732">
        <f t="shared" si="27"/>
        <v>8.721000000000001E-2</v>
      </c>
      <c r="AD181" s="732">
        <f t="shared" si="28"/>
        <v>872.1</v>
      </c>
      <c r="AE181" s="732">
        <f t="shared" si="29"/>
        <v>4404.8</v>
      </c>
      <c r="AG181" s="760">
        <v>8</v>
      </c>
      <c r="AH181" s="718">
        <f>AH158</f>
        <v>14000</v>
      </c>
    </row>
    <row r="182" spans="27:34">
      <c r="AA182" s="757">
        <v>2</v>
      </c>
      <c r="AB182" s="752">
        <f t="shared" si="26"/>
        <v>0.86809999999999998</v>
      </c>
      <c r="AC182" s="732">
        <f t="shared" si="27"/>
        <v>8.6809999999999998E-2</v>
      </c>
      <c r="AD182" s="732">
        <f t="shared" si="28"/>
        <v>868.1</v>
      </c>
      <c r="AE182" s="732">
        <f t="shared" si="29"/>
        <v>5272.9000000000005</v>
      </c>
      <c r="AG182" s="706"/>
      <c r="AH182" s="8"/>
    </row>
    <row r="183" spans="27:34">
      <c r="AA183" s="757">
        <v>2.8284271247461903</v>
      </c>
      <c r="AB183" s="752">
        <f t="shared" si="26"/>
        <v>0.86140000000000005</v>
      </c>
      <c r="AC183" s="732">
        <f t="shared" si="27"/>
        <v>8.6140000000000008E-2</v>
      </c>
      <c r="AD183" s="732">
        <f t="shared" si="28"/>
        <v>861.40000000000009</v>
      </c>
      <c r="AE183" s="732">
        <f t="shared" si="29"/>
        <v>6134.3000000000011</v>
      </c>
      <c r="AG183" s="706"/>
      <c r="AH183" s="8"/>
    </row>
    <row r="184" spans="27:34">
      <c r="AA184" s="757">
        <v>3.872983346207417</v>
      </c>
      <c r="AB184" s="752">
        <f t="shared" si="26"/>
        <v>0.85409999999999997</v>
      </c>
      <c r="AC184" s="732">
        <f t="shared" si="27"/>
        <v>8.541E-2</v>
      </c>
      <c r="AD184" s="732">
        <f t="shared" si="28"/>
        <v>854.1</v>
      </c>
      <c r="AE184" s="732">
        <f t="shared" si="29"/>
        <v>6988.4000000000015</v>
      </c>
      <c r="AG184" s="1246" t="s">
        <v>432</v>
      </c>
      <c r="AH184" s="1247"/>
    </row>
    <row r="185" spans="27:34">
      <c r="AA185" s="757">
        <v>5.4772255750516612</v>
      </c>
      <c r="AB185" s="752">
        <f t="shared" si="26"/>
        <v>0.84470000000000001</v>
      </c>
      <c r="AC185" s="732">
        <f t="shared" si="27"/>
        <v>8.4470000000000003E-2</v>
      </c>
      <c r="AD185" s="732">
        <f t="shared" si="28"/>
        <v>844.7</v>
      </c>
      <c r="AE185" s="732">
        <f t="shared" si="29"/>
        <v>7833.1000000000013</v>
      </c>
      <c r="AG185" s="732" t="s">
        <v>116</v>
      </c>
      <c r="AH185" s="718" t="s">
        <v>115</v>
      </c>
    </row>
    <row r="186" spans="27:34">
      <c r="AA186" s="757">
        <v>7.745966692414834</v>
      </c>
      <c r="AB186" s="752">
        <f t="shared" si="26"/>
        <v>0.83550000000000002</v>
      </c>
      <c r="AC186" s="732">
        <f t="shared" si="27"/>
        <v>8.3550000000000013E-2</v>
      </c>
      <c r="AD186" s="732">
        <f t="shared" si="28"/>
        <v>835.5</v>
      </c>
      <c r="AE186" s="732">
        <f t="shared" si="29"/>
        <v>8668.6000000000022</v>
      </c>
      <c r="AG186" s="732">
        <f>AG180</f>
        <v>0</v>
      </c>
      <c r="AH186" s="718">
        <f>AH180</f>
        <v>2000</v>
      </c>
    </row>
    <row r="187" spans="27:34">
      <c r="AA187" s="757">
        <v>10.954451150103322</v>
      </c>
      <c r="AB187" s="752">
        <f t="shared" si="26"/>
        <v>0.82869999999999999</v>
      </c>
      <c r="AC187" s="732">
        <f t="shared" si="27"/>
        <v>8.2869999999999999E-2</v>
      </c>
      <c r="AD187" s="732">
        <f t="shared" si="28"/>
        <v>828.7</v>
      </c>
      <c r="AE187" s="732">
        <f t="shared" si="29"/>
        <v>9497.3000000000029</v>
      </c>
      <c r="AG187" s="732">
        <f>AG181*1.15</f>
        <v>9.1999999999999993</v>
      </c>
      <c r="AH187" s="718">
        <f>AH181</f>
        <v>14000</v>
      </c>
    </row>
    <row r="188" spans="27:34">
      <c r="AA188" s="757">
        <v>16</v>
      </c>
      <c r="AB188" s="752">
        <f t="shared" si="26"/>
        <v>0.82220000000000004</v>
      </c>
      <c r="AC188" s="732">
        <f t="shared" si="27"/>
        <v>8.2220000000000015E-2</v>
      </c>
      <c r="AD188" s="732">
        <f t="shared" si="28"/>
        <v>822.2</v>
      </c>
      <c r="AE188" s="732">
        <f t="shared" si="29"/>
        <v>10319.500000000004</v>
      </c>
      <c r="AG188" s="706"/>
      <c r="AH188" s="8"/>
    </row>
    <row r="189" spans="27:34">
      <c r="AA189" s="757">
        <v>22</v>
      </c>
      <c r="AB189" s="752">
        <f t="shared" si="26"/>
        <v>0.81930000000000003</v>
      </c>
      <c r="AC189" s="732">
        <f t="shared" si="27"/>
        <v>8.1930000000000003E-2</v>
      </c>
      <c r="AD189" s="732">
        <f t="shared" si="28"/>
        <v>819.30000000000007</v>
      </c>
      <c r="AE189" s="732">
        <f t="shared" si="29"/>
        <v>11138.800000000003</v>
      </c>
      <c r="AG189" s="1248" t="s">
        <v>433</v>
      </c>
      <c r="AH189" s="1249"/>
    </row>
    <row r="190" spans="27:34">
      <c r="AA190" s="757">
        <v>37.947331922020552</v>
      </c>
      <c r="AB190" s="752">
        <f t="shared" si="26"/>
        <v>0.81520000000000004</v>
      </c>
      <c r="AC190" s="732">
        <f t="shared" si="27"/>
        <v>8.1520000000000009E-2</v>
      </c>
      <c r="AD190" s="732">
        <f t="shared" si="28"/>
        <v>815.2</v>
      </c>
      <c r="AE190" s="732">
        <f t="shared" si="29"/>
        <v>11954.000000000004</v>
      </c>
      <c r="AG190" s="732" t="s">
        <v>116</v>
      </c>
      <c r="AH190" s="718" t="s">
        <v>115</v>
      </c>
    </row>
    <row r="191" spans="27:34">
      <c r="AA191" s="25"/>
      <c r="AB191" s="766"/>
      <c r="AG191" s="732">
        <v>0</v>
      </c>
      <c r="AH191" s="718">
        <f>AH192</f>
        <v>5600</v>
      </c>
    </row>
    <row r="192" spans="27:34">
      <c r="AA192" s="676"/>
      <c r="AB192" s="766"/>
      <c r="AC192" s="767"/>
      <c r="AG192" s="730">
        <v>3.2</v>
      </c>
      <c r="AH192" s="758">
        <v>5600</v>
      </c>
    </row>
    <row r="193" spans="27:34">
      <c r="AG193" s="732">
        <f>AG192</f>
        <v>3.2</v>
      </c>
      <c r="AH193" s="718">
        <f>AH187</f>
        <v>14000</v>
      </c>
    </row>
    <row r="197" spans="27:34">
      <c r="AA197" s="754">
        <v>8</v>
      </c>
      <c r="AB197" s="706"/>
      <c r="AC197" s="706"/>
      <c r="AD197" s="706"/>
      <c r="AE197" s="706"/>
    </row>
    <row r="198" spans="27:34">
      <c r="AA198" s="714" t="s">
        <v>116</v>
      </c>
      <c r="AB198" s="732" t="s">
        <v>495</v>
      </c>
      <c r="AC198" s="732" t="s">
        <v>2</v>
      </c>
      <c r="AD198" s="732" t="s">
        <v>496</v>
      </c>
      <c r="AE198" s="714" t="s">
        <v>115</v>
      </c>
      <c r="AG198" s="1243">
        <f>AA197</f>
        <v>8</v>
      </c>
      <c r="AH198" s="1243"/>
    </row>
    <row r="199" spans="27:34">
      <c r="AA199" s="757">
        <v>0</v>
      </c>
      <c r="AB199" s="752">
        <f t="shared" ref="AB199:AB212" si="30">AI28</f>
        <v>0.81520000000000004</v>
      </c>
      <c r="AC199" s="732">
        <f>AB199*0.1</f>
        <v>8.1520000000000009E-2</v>
      </c>
      <c r="AD199" s="732">
        <f>AB199*1000</f>
        <v>815.2</v>
      </c>
      <c r="AE199" s="732">
        <f>AD199</f>
        <v>815.2</v>
      </c>
      <c r="AG199" s="755"/>
      <c r="AH199" s="756"/>
    </row>
    <row r="200" spans="27:34">
      <c r="AA200" s="757">
        <v>0.5</v>
      </c>
      <c r="AB200" s="752">
        <f t="shared" si="30"/>
        <v>0.80120000000000002</v>
      </c>
      <c r="AC200" s="732">
        <f t="shared" ref="AC200:AC212" si="31">AB200*0.1</f>
        <v>8.0120000000000011E-2</v>
      </c>
      <c r="AD200" s="732">
        <f t="shared" ref="AD200:AD212" si="32">AB200*1000</f>
        <v>801.2</v>
      </c>
      <c r="AE200" s="732">
        <f t="shared" ref="AE200:AE212" si="33">AE199+AD200</f>
        <v>1616.4</v>
      </c>
      <c r="AG200" s="1244" t="s">
        <v>431</v>
      </c>
      <c r="AH200" s="1245"/>
    </row>
    <row r="201" spans="27:34">
      <c r="AA201" s="757">
        <v>0.70710678118654757</v>
      </c>
      <c r="AB201" s="752">
        <f t="shared" si="30"/>
        <v>0.79669999999999996</v>
      </c>
      <c r="AC201" s="732">
        <f t="shared" si="31"/>
        <v>7.9670000000000005E-2</v>
      </c>
      <c r="AD201" s="732">
        <f t="shared" si="32"/>
        <v>796.69999999999993</v>
      </c>
      <c r="AE201" s="732">
        <f t="shared" si="33"/>
        <v>2413.1</v>
      </c>
      <c r="AG201" s="732" t="s">
        <v>116</v>
      </c>
      <c r="AH201" s="718" t="s">
        <v>115</v>
      </c>
    </row>
    <row r="202" spans="27:34">
      <c r="AA202" s="757">
        <v>1</v>
      </c>
      <c r="AB202" s="752">
        <f t="shared" si="30"/>
        <v>0.79279999999999995</v>
      </c>
      <c r="AC202" s="732">
        <f t="shared" si="31"/>
        <v>7.9280000000000003E-2</v>
      </c>
      <c r="AD202" s="732">
        <f t="shared" si="32"/>
        <v>792.8</v>
      </c>
      <c r="AE202" s="732">
        <f t="shared" si="33"/>
        <v>3205.8999999999996</v>
      </c>
      <c r="AG202" s="732">
        <v>0</v>
      </c>
      <c r="AH202" s="718">
        <f>AH180</f>
        <v>2000</v>
      </c>
    </row>
    <row r="203" spans="27:34">
      <c r="AA203" s="757">
        <v>1.4142135623730951</v>
      </c>
      <c r="AB203" s="752">
        <f t="shared" si="30"/>
        <v>0.78859999999999997</v>
      </c>
      <c r="AC203" s="732">
        <f t="shared" si="31"/>
        <v>7.886E-2</v>
      </c>
      <c r="AD203" s="732">
        <f t="shared" si="32"/>
        <v>788.6</v>
      </c>
      <c r="AE203" s="732">
        <f t="shared" si="33"/>
        <v>3994.4999999999995</v>
      </c>
      <c r="AG203" s="760">
        <v>10.199999999999999</v>
      </c>
      <c r="AH203" s="718">
        <f>AH133</f>
        <v>14000</v>
      </c>
    </row>
    <row r="204" spans="27:34">
      <c r="AA204" s="757">
        <v>2</v>
      </c>
      <c r="AB204" s="752">
        <f t="shared" si="30"/>
        <v>0.78139999999999998</v>
      </c>
      <c r="AC204" s="732">
        <f t="shared" si="31"/>
        <v>7.8140000000000001E-2</v>
      </c>
      <c r="AD204" s="732">
        <f t="shared" si="32"/>
        <v>781.4</v>
      </c>
      <c r="AE204" s="732">
        <f t="shared" si="33"/>
        <v>4775.8999999999996</v>
      </c>
      <c r="AG204" s="706"/>
      <c r="AH204" s="8"/>
    </row>
    <row r="205" spans="27:34">
      <c r="AA205" s="757">
        <v>2.8284271247461903</v>
      </c>
      <c r="AB205" s="752">
        <f t="shared" si="30"/>
        <v>0.7732</v>
      </c>
      <c r="AC205" s="732">
        <f t="shared" si="31"/>
        <v>7.732E-2</v>
      </c>
      <c r="AD205" s="732">
        <f t="shared" si="32"/>
        <v>773.2</v>
      </c>
      <c r="AE205" s="732">
        <f t="shared" si="33"/>
        <v>5549.0999999999995</v>
      </c>
      <c r="AG205" s="706"/>
      <c r="AH205" s="8"/>
    </row>
    <row r="206" spans="27:34">
      <c r="AA206" s="757">
        <v>3.872983346207417</v>
      </c>
      <c r="AB206" s="752">
        <f t="shared" si="30"/>
        <v>0.76539999999999997</v>
      </c>
      <c r="AC206" s="732">
        <f t="shared" si="31"/>
        <v>7.6539999999999997E-2</v>
      </c>
      <c r="AD206" s="732">
        <f t="shared" si="32"/>
        <v>765.4</v>
      </c>
      <c r="AE206" s="732">
        <f t="shared" si="33"/>
        <v>6314.4999999999991</v>
      </c>
      <c r="AG206" s="1246" t="s">
        <v>432</v>
      </c>
      <c r="AH206" s="1247"/>
    </row>
    <row r="207" spans="27:34">
      <c r="AA207" s="757">
        <v>5.4772255750516612</v>
      </c>
      <c r="AB207" s="752">
        <f t="shared" si="30"/>
        <v>0.75409999999999999</v>
      </c>
      <c r="AC207" s="732">
        <f t="shared" si="31"/>
        <v>7.5410000000000005E-2</v>
      </c>
      <c r="AD207" s="732">
        <f t="shared" si="32"/>
        <v>754.1</v>
      </c>
      <c r="AE207" s="732">
        <f t="shared" si="33"/>
        <v>7068.5999999999995</v>
      </c>
      <c r="AG207" s="732" t="s">
        <v>116</v>
      </c>
      <c r="AH207" s="718" t="s">
        <v>115</v>
      </c>
    </row>
    <row r="208" spans="27:34">
      <c r="AA208" s="757">
        <v>7.745966692414834</v>
      </c>
      <c r="AB208" s="752">
        <f t="shared" si="30"/>
        <v>0.74150000000000005</v>
      </c>
      <c r="AC208" s="732">
        <f t="shared" si="31"/>
        <v>7.4150000000000008E-2</v>
      </c>
      <c r="AD208" s="732">
        <f t="shared" si="32"/>
        <v>741.5</v>
      </c>
      <c r="AE208" s="732">
        <f t="shared" si="33"/>
        <v>7810.0999999999995</v>
      </c>
      <c r="AG208" s="732">
        <f>AG202</f>
        <v>0</v>
      </c>
      <c r="AH208" s="718">
        <f>AH202</f>
        <v>2000</v>
      </c>
    </row>
    <row r="209" spans="27:34">
      <c r="AA209" s="757">
        <v>10.954451150103322</v>
      </c>
      <c r="AB209" s="752">
        <f t="shared" si="30"/>
        <v>0.72719999999999996</v>
      </c>
      <c r="AC209" s="732">
        <f t="shared" si="31"/>
        <v>7.2719999999999993E-2</v>
      </c>
      <c r="AD209" s="732">
        <f t="shared" si="32"/>
        <v>727.19999999999993</v>
      </c>
      <c r="AE209" s="732">
        <f t="shared" si="33"/>
        <v>8537.2999999999993</v>
      </c>
      <c r="AG209" s="732">
        <f>AG203*1.15</f>
        <v>11.729999999999999</v>
      </c>
      <c r="AH209" s="718">
        <f>AH203</f>
        <v>14000</v>
      </c>
    </row>
    <row r="210" spans="27:34">
      <c r="AA210" s="757">
        <v>16</v>
      </c>
      <c r="AB210" s="752">
        <f t="shared" si="30"/>
        <v>0.71630000000000005</v>
      </c>
      <c r="AC210" s="732">
        <f t="shared" si="31"/>
        <v>7.1630000000000013E-2</v>
      </c>
      <c r="AD210" s="732">
        <f t="shared" si="32"/>
        <v>716.30000000000007</v>
      </c>
      <c r="AE210" s="732">
        <f t="shared" si="33"/>
        <v>9253.5999999999985</v>
      </c>
      <c r="AG210" s="706"/>
      <c r="AH210" s="8"/>
    </row>
    <row r="211" spans="27:34">
      <c r="AA211" s="757">
        <v>22</v>
      </c>
      <c r="AB211" s="752">
        <f t="shared" si="30"/>
        <v>0.71020000000000005</v>
      </c>
      <c r="AC211" s="732">
        <f t="shared" si="31"/>
        <v>7.1020000000000014E-2</v>
      </c>
      <c r="AD211" s="732">
        <f t="shared" si="32"/>
        <v>710.2</v>
      </c>
      <c r="AE211" s="732">
        <f t="shared" si="33"/>
        <v>9963.7999999999993</v>
      </c>
      <c r="AG211" s="764" t="s">
        <v>433</v>
      </c>
      <c r="AH211" s="718"/>
    </row>
    <row r="212" spans="27:34">
      <c r="AA212" s="757">
        <v>37.947331922020552</v>
      </c>
      <c r="AB212" s="752">
        <f t="shared" si="30"/>
        <v>0.7</v>
      </c>
      <c r="AC212" s="732">
        <f t="shared" si="31"/>
        <v>6.9999999999999993E-2</v>
      </c>
      <c r="AD212" s="732">
        <f t="shared" si="32"/>
        <v>700</v>
      </c>
      <c r="AE212" s="732">
        <f t="shared" si="33"/>
        <v>10663.8</v>
      </c>
      <c r="AG212" s="732" t="s">
        <v>116</v>
      </c>
      <c r="AH212" s="718" t="s">
        <v>115</v>
      </c>
    </row>
    <row r="213" spans="27:34">
      <c r="AA213" s="25"/>
      <c r="AB213" s="766"/>
      <c r="AG213" s="732">
        <v>0</v>
      </c>
      <c r="AH213" s="718">
        <f>AH214</f>
        <v>5650</v>
      </c>
    </row>
    <row r="214" spans="27:34">
      <c r="AA214" s="676"/>
      <c r="AB214" s="766"/>
      <c r="AC214" s="767"/>
      <c r="AG214" s="730">
        <v>3.4</v>
      </c>
      <c r="AH214" s="758">
        <v>5650</v>
      </c>
    </row>
    <row r="215" spans="27:34">
      <c r="AG215" s="732">
        <f>AG214</f>
        <v>3.4</v>
      </c>
      <c r="AH215" s="718">
        <f>AH209</f>
        <v>14000</v>
      </c>
    </row>
  </sheetData>
  <mergeCells count="32">
    <mergeCell ref="D9:T9"/>
    <mergeCell ref="D10:T10"/>
    <mergeCell ref="F97:T97"/>
    <mergeCell ref="H13:L13"/>
    <mergeCell ref="H14:L14"/>
    <mergeCell ref="H15:L15"/>
    <mergeCell ref="H16:L16"/>
    <mergeCell ref="H17:L17"/>
    <mergeCell ref="H18:L18"/>
    <mergeCell ref="H19:L19"/>
    <mergeCell ref="H20:L20"/>
    <mergeCell ref="Q12:T12"/>
    <mergeCell ref="Q13:T13"/>
    <mergeCell ref="Q14:T14"/>
    <mergeCell ref="Q15:T15"/>
    <mergeCell ref="Q16:T16"/>
    <mergeCell ref="F98:T98"/>
    <mergeCell ref="F99:T99"/>
    <mergeCell ref="F100:T100"/>
    <mergeCell ref="E61:F61"/>
    <mergeCell ref="H61:J61"/>
    <mergeCell ref="Y124:Z124"/>
    <mergeCell ref="D103:T103"/>
    <mergeCell ref="Y103:Z103"/>
    <mergeCell ref="D104:T104"/>
    <mergeCell ref="F101:T101"/>
    <mergeCell ref="Q108:S108"/>
    <mergeCell ref="F3:T3"/>
    <mergeCell ref="F4:T4"/>
    <mergeCell ref="F5:T5"/>
    <mergeCell ref="F6:T6"/>
    <mergeCell ref="F7:T7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76" orientation="portrait" r:id="rId1"/>
  <headerFooter>
    <oddFooter>&amp;R&amp;"Aptos,Regular"&amp;10Page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42708C-9F85-4619-8011-D81D0A5BAB0D}">
          <x14:formula1>
            <xm:f>Details!$D$2:$D$7</xm:f>
          </x14:formula1>
          <xm:sqref>Q12 Q106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395E-BF01-4248-B2DC-C217F26694CD}">
  <sheetPr>
    <tabColor theme="6" tint="-0.499984740745262"/>
  </sheetPr>
  <dimension ref="B2:AF364"/>
  <sheetViews>
    <sheetView showGridLines="0" tabSelected="1" topLeftCell="A19" zoomScale="115" zoomScaleNormal="115" workbookViewId="0">
      <selection activeCell="U38" sqref="U38"/>
    </sheetView>
  </sheetViews>
  <sheetFormatPr defaultColWidth="9.125" defaultRowHeight="12"/>
  <cols>
    <col min="1" max="1" width="1.5" style="61" customWidth="1"/>
    <col min="2" max="6" width="6.125" style="61" customWidth="1"/>
    <col min="7" max="7" width="1.625" style="61" customWidth="1"/>
    <col min="8" max="8" width="5.625" style="61" customWidth="1"/>
    <col min="9" max="11" width="6.875" style="61" customWidth="1"/>
    <col min="12" max="12" width="7.375" style="61" customWidth="1"/>
    <col min="13" max="13" width="1.625" style="61" customWidth="1"/>
    <col min="14" max="18" width="6" style="61" customWidth="1"/>
    <col min="19" max="19" width="1.625" style="61" customWidth="1"/>
    <col min="20" max="22" width="4.875" style="61" customWidth="1"/>
    <col min="23" max="23" width="2.375" style="61" customWidth="1"/>
    <col min="24" max="24" width="4.875" style="61" bestFit="1" customWidth="1"/>
    <col min="25" max="25" width="5.625" style="61" bestFit="1" customWidth="1"/>
    <col min="26" max="26" width="4.75" style="61" bestFit="1" customWidth="1"/>
    <col min="27" max="27" width="5.625" style="61" bestFit="1" customWidth="1"/>
    <col min="28" max="28" width="4.75" style="61" bestFit="1" customWidth="1"/>
    <col min="29" max="29" width="5.625" style="61" bestFit="1" customWidth="1"/>
    <col min="30" max="30" width="4.75" style="61" bestFit="1" customWidth="1"/>
    <col min="31" max="16384" width="9.125" style="61"/>
  </cols>
  <sheetData>
    <row r="2" spans="2:26" ht="18.75">
      <c r="B2" s="162" t="s">
        <v>180</v>
      </c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</row>
    <row r="3" spans="2:26" ht="13.5" customHeight="1">
      <c r="B3" s="164"/>
      <c r="C3" s="165"/>
      <c r="D3" s="165"/>
      <c r="E3" s="165"/>
      <c r="F3" s="165"/>
      <c r="G3" s="165"/>
      <c r="H3" s="165"/>
      <c r="I3" s="165"/>
      <c r="J3" s="166"/>
      <c r="K3" s="4386" t="s">
        <v>179</v>
      </c>
      <c r="L3" s="4386"/>
      <c r="M3" s="4386"/>
      <c r="N3" s="4386"/>
      <c r="O3" s="4386"/>
      <c r="P3" s="4386"/>
      <c r="Q3" s="4386"/>
      <c r="R3" s="4387"/>
    </row>
    <row r="4" spans="2:26" ht="12" customHeight="1">
      <c r="B4" s="167"/>
      <c r="J4" s="168"/>
      <c r="K4" s="4388"/>
      <c r="L4" s="4388"/>
      <c r="M4" s="4388"/>
      <c r="N4" s="4388"/>
      <c r="O4" s="4388"/>
      <c r="P4" s="4388"/>
      <c r="Q4" s="4388"/>
      <c r="R4" s="4389"/>
    </row>
    <row r="5" spans="2:26" ht="12" customHeight="1">
      <c r="B5" s="167"/>
      <c r="J5" s="169"/>
      <c r="K5" s="170"/>
      <c r="L5" s="4390" t="s">
        <v>339</v>
      </c>
      <c r="M5" s="4390"/>
      <c r="N5" s="4390"/>
      <c r="O5" s="4390"/>
      <c r="P5" s="4390"/>
      <c r="Q5" s="4390"/>
      <c r="R5" s="169"/>
    </row>
    <row r="6" spans="2:26">
      <c r="B6" s="167"/>
      <c r="J6" s="172"/>
      <c r="R6" s="172"/>
    </row>
    <row r="7" spans="2:26" ht="3" customHeight="1">
      <c r="B7" s="167"/>
      <c r="J7" s="173"/>
      <c r="R7" s="172"/>
    </row>
    <row r="8" spans="2:26" s="177" customFormat="1" ht="15.75">
      <c r="B8" s="174" t="str">
        <f>IF(B92="","",B92)</f>
        <v>Investigasi Geoteknik Area Pit dan Disposal Rajawali PT. Triaryani Batch 2</v>
      </c>
      <c r="C8" s="175"/>
      <c r="D8" s="175"/>
      <c r="E8" s="175"/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6"/>
    </row>
    <row r="9" spans="2:26" ht="3" customHeight="1">
      <c r="B9" s="167"/>
      <c r="R9" s="172"/>
    </row>
    <row r="10" spans="2:26" ht="15">
      <c r="B10" s="164" t="str">
        <f>B94</f>
        <v xml:space="preserve"> L O C A T I O N</v>
      </c>
      <c r="C10" s="165"/>
      <c r="D10" s="178"/>
      <c r="E10" s="165" t="str">
        <f>IF(E94="","",E94)</f>
        <v>Morowali Utara</v>
      </c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79"/>
      <c r="Q10" s="179"/>
      <c r="R10" s="180"/>
      <c r="U10" s="1252"/>
      <c r="V10" s="1253"/>
      <c r="W10" s="1254"/>
      <c r="X10" s="1254"/>
      <c r="Y10" s="1254"/>
      <c r="Z10" s="1254"/>
    </row>
    <row r="11" spans="2:26" ht="15">
      <c r="B11" s="164" t="str">
        <f>B95</f>
        <v xml:space="preserve"> BORE HOLE No</v>
      </c>
      <c r="C11" s="165"/>
      <c r="D11" s="178"/>
      <c r="E11" s="1038" t="str">
        <f>IF(E95="","",E95)</f>
        <v>BH-05_UDS-01</v>
      </c>
      <c r="F11" s="165"/>
      <c r="G11" s="165"/>
      <c r="H11" s="165"/>
      <c r="I11" s="165"/>
      <c r="J11" s="164" t="str">
        <f>J95</f>
        <v xml:space="preserve"> DATE OF TEST</v>
      </c>
      <c r="K11" s="165"/>
      <c r="L11" s="165"/>
      <c r="M11" s="178"/>
      <c r="N11" s="4391" t="str">
        <f>IF(N95="","",N95)</f>
        <v/>
      </c>
      <c r="O11" s="4392"/>
      <c r="P11" s="4392"/>
      <c r="Q11" s="165"/>
      <c r="R11" s="178"/>
      <c r="U11" s="8" t="s">
        <v>401</v>
      </c>
      <c r="V11" s="1253"/>
      <c r="W11" s="1253" t="s">
        <v>855</v>
      </c>
      <c r="X11" s="1253"/>
      <c r="Y11" s="1253"/>
      <c r="Z11" s="1253"/>
    </row>
    <row r="12" spans="2:26" ht="15">
      <c r="B12" s="181" t="str">
        <f>B96</f>
        <v xml:space="preserve"> SAMPLE No</v>
      </c>
      <c r="C12" s="182"/>
      <c r="D12" s="183"/>
      <c r="E12" s="1039" t="str">
        <f>IF(E96="","",E96)</f>
        <v>BH-05_UDS-01</v>
      </c>
      <c r="F12" s="182"/>
      <c r="G12" s="182"/>
      <c r="H12" s="182"/>
      <c r="I12" s="182"/>
      <c r="J12" s="181" t="str">
        <f>J96</f>
        <v xml:space="preserve"> TESTED BY</v>
      </c>
      <c r="K12" s="182"/>
      <c r="L12" s="182"/>
      <c r="M12" s="183"/>
      <c r="N12" s="1039">
        <f>IF(N96="","",N96)</f>
        <v>0</v>
      </c>
      <c r="O12" s="1041"/>
      <c r="P12" s="1041"/>
      <c r="Q12" s="182"/>
      <c r="R12" s="183"/>
      <c r="U12" s="8" t="s">
        <v>402</v>
      </c>
      <c r="V12" s="1253"/>
      <c r="W12" s="1253" t="s">
        <v>838</v>
      </c>
      <c r="X12" s="1253"/>
      <c r="Y12" s="1253"/>
      <c r="Z12" s="1253"/>
    </row>
    <row r="13" spans="2:26">
      <c r="B13" s="186" t="str">
        <f>B97</f>
        <v xml:space="preserve"> SAMPLE DEPTH</v>
      </c>
      <c r="C13" s="187"/>
      <c r="D13" s="188"/>
      <c r="E13" s="1040" t="str">
        <f>IF(E97="","",E97)</f>
        <v>0,00-0,50</v>
      </c>
      <c r="F13" s="187"/>
      <c r="G13" s="187"/>
      <c r="H13" s="187" t="s">
        <v>68</v>
      </c>
      <c r="I13" s="187"/>
      <c r="J13" s="189" t="str">
        <f>J97</f>
        <v xml:space="preserve"> CHECKED BY</v>
      </c>
      <c r="K13" s="187"/>
      <c r="L13" s="187"/>
      <c r="M13" s="188"/>
      <c r="N13" s="189" t="str">
        <f>IF(N97="","",N97)</f>
        <v>AS Sumartadji</v>
      </c>
      <c r="O13" s="187"/>
      <c r="P13" s="187"/>
      <c r="Q13" s="187"/>
      <c r="R13" s="188"/>
    </row>
    <row r="14" spans="2:26" ht="3" customHeight="1">
      <c r="B14" s="167"/>
      <c r="R14" s="172"/>
    </row>
    <row r="15" spans="2:26" s="193" customFormat="1" ht="13.5">
      <c r="B15" s="190" t="s">
        <v>149</v>
      </c>
      <c r="C15" s="191"/>
      <c r="D15" s="191"/>
      <c r="E15" s="191"/>
      <c r="F15" s="191"/>
      <c r="G15" s="191"/>
      <c r="H15" s="191"/>
      <c r="I15" s="191"/>
      <c r="J15" s="191"/>
      <c r="K15" s="192"/>
      <c r="L15" s="4393"/>
      <c r="M15" s="4394"/>
      <c r="N15" s="4394"/>
      <c r="O15" s="4394"/>
      <c r="P15" s="4394"/>
      <c r="Q15" s="4394"/>
      <c r="R15" s="4395"/>
    </row>
    <row r="16" spans="2:26" s="199" customFormat="1" ht="11.25">
      <c r="B16" s="194" t="s">
        <v>148</v>
      </c>
      <c r="C16" s="195"/>
      <c r="D16" s="195"/>
      <c r="E16" s="195"/>
      <c r="F16" s="195"/>
      <c r="G16" s="195"/>
      <c r="H16" s="195"/>
      <c r="I16" s="196">
        <v>1</v>
      </c>
      <c r="J16" s="197">
        <v>2</v>
      </c>
      <c r="K16" s="198">
        <v>3</v>
      </c>
      <c r="L16" s="4396"/>
      <c r="M16" s="4397"/>
      <c r="N16" s="4397"/>
      <c r="O16" s="4397"/>
      <c r="P16" s="4397"/>
      <c r="Q16" s="4397"/>
      <c r="R16" s="4398"/>
    </row>
    <row r="17" spans="2:22" s="199" customFormat="1" ht="3" customHeight="1">
      <c r="B17" s="200"/>
      <c r="I17" s="171"/>
      <c r="J17" s="171"/>
      <c r="K17" s="171"/>
      <c r="L17" s="171"/>
      <c r="O17" s="201"/>
      <c r="R17" s="202"/>
    </row>
    <row r="18" spans="2:22" s="210" customFormat="1" ht="9">
      <c r="B18" s="203" t="s">
        <v>147</v>
      </c>
      <c r="C18" s="204"/>
      <c r="D18" s="204"/>
      <c r="E18" s="204"/>
      <c r="F18" s="204"/>
      <c r="G18" s="205" t="s">
        <v>2</v>
      </c>
      <c r="H18" s="206"/>
      <c r="I18" s="207">
        <f>I102</f>
        <v>3.8</v>
      </c>
      <c r="J18" s="208">
        <f>K102</f>
        <v>3.8</v>
      </c>
      <c r="K18" s="209">
        <f>N102</f>
        <v>3.8</v>
      </c>
      <c r="L18" s="4393" t="s">
        <v>108</v>
      </c>
      <c r="M18" s="4394"/>
      <c r="N18" s="4394"/>
      <c r="O18" s="4394"/>
      <c r="P18" s="4394"/>
      <c r="Q18" s="4394"/>
      <c r="R18" s="4395"/>
    </row>
    <row r="19" spans="2:22" s="210" customFormat="1" ht="9">
      <c r="B19" s="211" t="s">
        <v>146</v>
      </c>
      <c r="C19" s="212"/>
      <c r="D19" s="212"/>
      <c r="E19" s="212"/>
      <c r="F19" s="212"/>
      <c r="G19" s="213" t="s">
        <v>2</v>
      </c>
      <c r="H19" s="214"/>
      <c r="I19" s="215">
        <f>I103</f>
        <v>7.6</v>
      </c>
      <c r="J19" s="216">
        <f>K103</f>
        <v>7.6</v>
      </c>
      <c r="K19" s="217">
        <f>N103</f>
        <v>7.6</v>
      </c>
      <c r="L19" s="4396"/>
      <c r="M19" s="4397"/>
      <c r="N19" s="4397"/>
      <c r="O19" s="4397"/>
      <c r="P19" s="4397"/>
      <c r="Q19" s="4397"/>
      <c r="R19" s="4398"/>
    </row>
    <row r="20" spans="2:22" s="210" customFormat="1">
      <c r="B20" s="218" t="s">
        <v>145</v>
      </c>
      <c r="C20" s="219"/>
      <c r="D20" s="219"/>
      <c r="E20" s="219"/>
      <c r="F20" s="219"/>
      <c r="G20" s="220" t="s">
        <v>214</v>
      </c>
      <c r="H20" s="221"/>
      <c r="I20" s="222">
        <f>I104</f>
        <v>11.341149479459153</v>
      </c>
      <c r="J20" s="223">
        <f>K104</f>
        <v>11.341149479459153</v>
      </c>
      <c r="K20" s="224">
        <f>N104</f>
        <v>11.341149479459153</v>
      </c>
      <c r="L20" s="225"/>
      <c r="M20" s="226" t="s">
        <v>178</v>
      </c>
      <c r="N20" s="227" t="s">
        <v>176</v>
      </c>
      <c r="O20" s="228">
        <f>O159</f>
        <v>10.991402387102896</v>
      </c>
      <c r="P20" s="229" t="s">
        <v>159</v>
      </c>
      <c r="Q20" s="230"/>
      <c r="R20" s="231"/>
    </row>
    <row r="21" spans="2:22" s="199" customFormat="1" ht="3" customHeight="1">
      <c r="B21" s="200"/>
      <c r="G21" s="232"/>
      <c r="H21" s="233"/>
      <c r="I21" s="234"/>
      <c r="J21" s="234"/>
      <c r="K21" s="234"/>
      <c r="L21" s="235"/>
      <c r="N21" s="235"/>
      <c r="O21" s="236"/>
      <c r="P21" s="237"/>
      <c r="Q21" s="238"/>
      <c r="R21" s="239"/>
    </row>
    <row r="22" spans="2:22" s="210" customFormat="1" ht="9.75" customHeight="1">
      <c r="B22" s="203" t="s">
        <v>144</v>
      </c>
      <c r="C22" s="204"/>
      <c r="D22" s="204"/>
      <c r="E22" s="204"/>
      <c r="F22" s="204"/>
      <c r="G22" s="205" t="s">
        <v>143</v>
      </c>
      <c r="H22" s="206"/>
      <c r="I22" s="240">
        <f>I106</f>
        <v>2E-3</v>
      </c>
      <c r="J22" s="241">
        <f>K106</f>
        <v>2E-3</v>
      </c>
      <c r="K22" s="242">
        <f>N106</f>
        <v>2E-3</v>
      </c>
      <c r="L22" s="243"/>
      <c r="M22" s="244"/>
      <c r="N22" s="244"/>
      <c r="O22" s="244"/>
      <c r="P22" s="244"/>
      <c r="Q22" s="244"/>
      <c r="R22" s="245"/>
    </row>
    <row r="23" spans="2:22" s="210" customFormat="1" ht="9.75" customHeight="1">
      <c r="B23" s="211" t="s">
        <v>142</v>
      </c>
      <c r="C23" s="212"/>
      <c r="D23" s="212"/>
      <c r="E23" s="212"/>
      <c r="F23" s="212"/>
      <c r="G23" s="213" t="s">
        <v>141</v>
      </c>
      <c r="H23" s="214"/>
      <c r="I23" s="246">
        <f>I107</f>
        <v>0.14000000000000001</v>
      </c>
      <c r="J23" s="247">
        <f>K107</f>
        <v>0.14000000000000001</v>
      </c>
      <c r="K23" s="248">
        <f>N107</f>
        <v>0.14000000000000001</v>
      </c>
      <c r="L23" s="4384" t="s">
        <v>177</v>
      </c>
      <c r="M23" s="4384"/>
      <c r="N23" s="4384"/>
      <c r="O23" s="4384"/>
      <c r="P23" s="4384"/>
      <c r="Q23" s="4384"/>
      <c r="R23" s="4385"/>
    </row>
    <row r="24" spans="2:22" s="210" customFormat="1" ht="9.75" customHeight="1">
      <c r="B24" s="218" t="s">
        <v>140</v>
      </c>
      <c r="C24" s="219"/>
      <c r="D24" s="219"/>
      <c r="E24" s="219"/>
      <c r="F24" s="219"/>
      <c r="G24" s="220" t="s">
        <v>105</v>
      </c>
      <c r="H24" s="221"/>
      <c r="I24" s="222">
        <f>I108</f>
        <v>0.12064</v>
      </c>
      <c r="J24" s="223">
        <f>K108</f>
        <v>0.12064</v>
      </c>
      <c r="K24" s="224">
        <f>N108</f>
        <v>0.12064</v>
      </c>
      <c r="L24" s="4384"/>
      <c r="M24" s="4384"/>
      <c r="N24" s="4384"/>
      <c r="O24" s="4384"/>
      <c r="P24" s="4384"/>
      <c r="Q24" s="4384"/>
      <c r="R24" s="4385"/>
    </row>
    <row r="25" spans="2:22" s="199" customFormat="1" ht="3" customHeight="1">
      <c r="B25" s="200"/>
      <c r="G25" s="232"/>
      <c r="H25" s="233"/>
      <c r="I25" s="234"/>
      <c r="J25" s="234"/>
      <c r="K25" s="234"/>
      <c r="L25" s="4384"/>
      <c r="M25" s="4384"/>
      <c r="N25" s="4384"/>
      <c r="O25" s="4384"/>
      <c r="P25" s="4384"/>
      <c r="Q25" s="4384"/>
      <c r="R25" s="4385"/>
    </row>
    <row r="26" spans="2:22" s="210" customFormat="1" ht="9" customHeight="1">
      <c r="B26" s="203" t="s">
        <v>127</v>
      </c>
      <c r="C26" s="204"/>
      <c r="D26" s="204"/>
      <c r="E26" s="204"/>
      <c r="F26" s="204"/>
      <c r="G26" s="205" t="s">
        <v>215</v>
      </c>
      <c r="H26" s="206"/>
      <c r="I26" s="240">
        <f>I110</f>
        <v>0.5</v>
      </c>
      <c r="J26" s="241">
        <f>K110</f>
        <v>1</v>
      </c>
      <c r="K26" s="242">
        <f>N110</f>
        <v>2</v>
      </c>
    </row>
    <row r="27" spans="2:22" s="210" customFormat="1" ht="15">
      <c r="B27" s="211" t="s">
        <v>139</v>
      </c>
      <c r="C27" s="212"/>
      <c r="D27" s="212"/>
      <c r="E27" s="212"/>
      <c r="F27" s="212"/>
      <c r="G27" s="213" t="s">
        <v>215</v>
      </c>
      <c r="H27" s="214"/>
      <c r="I27" s="246">
        <f>I111</f>
        <v>0.55823796538375547</v>
      </c>
      <c r="J27" s="247">
        <f>K111</f>
        <v>0.74797504939594561</v>
      </c>
      <c r="K27" s="248">
        <f>N111</f>
        <v>1.2174749568985204</v>
      </c>
      <c r="L27" s="225"/>
      <c r="M27" s="226" t="s">
        <v>163</v>
      </c>
      <c r="N27" s="227" t="s">
        <v>176</v>
      </c>
      <c r="O27" s="228">
        <f>N156</f>
        <v>0.13122991413231042</v>
      </c>
      <c r="P27" s="238" t="s">
        <v>216</v>
      </c>
      <c r="R27" s="239"/>
      <c r="V27" s="249">
        <f>O27*101.971</f>
        <v>13.381645573985827</v>
      </c>
    </row>
    <row r="28" spans="2:22" s="210" customFormat="1" ht="11.25">
      <c r="B28" s="218" t="s">
        <v>138</v>
      </c>
      <c r="C28" s="219"/>
      <c r="D28" s="219"/>
      <c r="E28" s="219"/>
      <c r="F28" s="219"/>
      <c r="G28" s="220" t="s">
        <v>215</v>
      </c>
      <c r="H28" s="221"/>
      <c r="I28" s="222">
        <f>I27+I26</f>
        <v>1.0582379653837555</v>
      </c>
      <c r="J28" s="223">
        <f>J27+J26</f>
        <v>1.7479750493959456</v>
      </c>
      <c r="K28" s="224">
        <f>K27+K26</f>
        <v>3.2174749568985206</v>
      </c>
      <c r="L28" s="225"/>
      <c r="M28" s="250"/>
      <c r="N28" s="227"/>
      <c r="O28" s="251"/>
      <c r="P28" s="252"/>
      <c r="Q28" s="238"/>
      <c r="R28" s="239"/>
    </row>
    <row r="29" spans="2:22" s="199" customFormat="1" ht="3" customHeight="1">
      <c r="B29" s="200"/>
      <c r="R29" s="202"/>
    </row>
    <row r="30" spans="2:22">
      <c r="B30" s="253" t="s">
        <v>136</v>
      </c>
      <c r="C30" s="254"/>
      <c r="D30" s="254"/>
      <c r="E30" s="254"/>
      <c r="F30" s="255"/>
      <c r="H30" s="253" t="s">
        <v>135</v>
      </c>
      <c r="I30" s="254"/>
      <c r="J30" s="254"/>
      <c r="K30" s="254"/>
      <c r="L30" s="255"/>
      <c r="N30" s="253" t="s">
        <v>134</v>
      </c>
      <c r="O30" s="254"/>
      <c r="P30" s="254"/>
      <c r="Q30" s="254"/>
      <c r="R30" s="255"/>
    </row>
    <row r="31" spans="2:22" s="259" customFormat="1" ht="9">
      <c r="B31" s="256" t="s">
        <v>175</v>
      </c>
      <c r="C31" s="257" t="s">
        <v>174</v>
      </c>
      <c r="D31" s="257" t="s">
        <v>173</v>
      </c>
      <c r="E31" s="257" t="s">
        <v>172</v>
      </c>
      <c r="F31" s="258" t="s">
        <v>171</v>
      </c>
      <c r="H31" s="256" t="s">
        <v>175</v>
      </c>
      <c r="I31" s="257" t="s">
        <v>174</v>
      </c>
      <c r="J31" s="257" t="s">
        <v>173</v>
      </c>
      <c r="K31" s="257" t="s">
        <v>172</v>
      </c>
      <c r="L31" s="258" t="s">
        <v>171</v>
      </c>
      <c r="N31" s="256" t="s">
        <v>175</v>
      </c>
      <c r="O31" s="257" t="s">
        <v>174</v>
      </c>
      <c r="P31" s="257" t="s">
        <v>173</v>
      </c>
      <c r="Q31" s="257" t="s">
        <v>172</v>
      </c>
      <c r="R31" s="258" t="s">
        <v>171</v>
      </c>
    </row>
    <row r="32" spans="2:22" s="259" customFormat="1" ht="9">
      <c r="B32" s="260" t="s">
        <v>170</v>
      </c>
      <c r="C32" s="261" t="s">
        <v>169</v>
      </c>
      <c r="D32" s="261" t="s">
        <v>168</v>
      </c>
      <c r="E32" s="261" t="s">
        <v>167</v>
      </c>
      <c r="F32" s="262" t="s">
        <v>166</v>
      </c>
      <c r="H32" s="260" t="s">
        <v>170</v>
      </c>
      <c r="I32" s="261" t="s">
        <v>169</v>
      </c>
      <c r="J32" s="261" t="s">
        <v>168</v>
      </c>
      <c r="K32" s="261" t="s">
        <v>167</v>
      </c>
      <c r="L32" s="262" t="s">
        <v>166</v>
      </c>
      <c r="N32" s="260" t="s">
        <v>170</v>
      </c>
      <c r="O32" s="261" t="s">
        <v>169</v>
      </c>
      <c r="P32" s="261" t="s">
        <v>168</v>
      </c>
      <c r="Q32" s="261" t="s">
        <v>167</v>
      </c>
      <c r="R32" s="262" t="s">
        <v>166</v>
      </c>
    </row>
    <row r="33" spans="2:19" s="259" customFormat="1" ht="9">
      <c r="B33" s="263" t="s">
        <v>165</v>
      </c>
      <c r="C33" s="264" t="s">
        <v>6</v>
      </c>
      <c r="D33" s="264" t="s">
        <v>164</v>
      </c>
      <c r="E33" s="264" t="s">
        <v>217</v>
      </c>
      <c r="F33" s="265" t="s">
        <v>218</v>
      </c>
      <c r="H33" s="263" t="s">
        <v>165</v>
      </c>
      <c r="I33" s="264" t="s">
        <v>6</v>
      </c>
      <c r="J33" s="264" t="s">
        <v>164</v>
      </c>
      <c r="K33" s="264" t="s">
        <v>217</v>
      </c>
      <c r="L33" s="265" t="s">
        <v>218</v>
      </c>
      <c r="N33" s="263" t="s">
        <v>165</v>
      </c>
      <c r="O33" s="264" t="s">
        <v>6</v>
      </c>
      <c r="P33" s="264" t="s">
        <v>164</v>
      </c>
      <c r="Q33" s="264" t="s">
        <v>217</v>
      </c>
      <c r="R33" s="265" t="s">
        <v>218</v>
      </c>
    </row>
    <row r="34" spans="2:19" s="267" customFormat="1" ht="3" customHeight="1">
      <c r="B34" s="266"/>
      <c r="R34" s="268"/>
    </row>
    <row r="35" spans="2:19" s="171" customFormat="1" ht="11.25">
      <c r="B35" s="196" t="s">
        <v>124</v>
      </c>
      <c r="C35" s="269" t="s">
        <v>123</v>
      </c>
      <c r="D35" s="269" t="s">
        <v>163</v>
      </c>
      <c r="E35" s="269" t="s">
        <v>5</v>
      </c>
      <c r="F35" s="270" t="s">
        <v>162</v>
      </c>
      <c r="H35" s="271" t="s">
        <v>122</v>
      </c>
      <c r="I35" s="272" t="s">
        <v>107</v>
      </c>
      <c r="J35" s="272" t="s">
        <v>161</v>
      </c>
      <c r="K35" s="272" t="s">
        <v>160</v>
      </c>
      <c r="L35" s="273" t="s">
        <v>4</v>
      </c>
      <c r="N35" s="271" t="s">
        <v>121</v>
      </c>
      <c r="O35" s="272" t="s">
        <v>120</v>
      </c>
      <c r="P35" s="272" t="s">
        <v>159</v>
      </c>
      <c r="Q35" s="272" t="s">
        <v>158</v>
      </c>
      <c r="R35" s="273" t="s">
        <v>157</v>
      </c>
    </row>
    <row r="36" spans="2:19" s="210" customFormat="1" ht="11.25">
      <c r="B36" s="1255">
        <v>0</v>
      </c>
      <c r="C36" s="1256">
        <f>C120</f>
        <v>0</v>
      </c>
      <c r="D36" s="1257">
        <f>((B36*I22)/I19)*100</f>
        <v>0</v>
      </c>
      <c r="E36" s="1257">
        <f>I20/((100-D36)/100)</f>
        <v>11.341149479459153</v>
      </c>
      <c r="F36" s="474">
        <f>(C36*$I$24)/E36</f>
        <v>0</v>
      </c>
      <c r="G36" s="232"/>
      <c r="H36" s="1255">
        <v>0</v>
      </c>
      <c r="I36" s="1256">
        <f>F120</f>
        <v>0</v>
      </c>
      <c r="J36" s="1257">
        <f>((H36*J22)/J19)*100</f>
        <v>0</v>
      </c>
      <c r="K36" s="1257">
        <f>J20/((100-J36)/100)</f>
        <v>11.341149479459153</v>
      </c>
      <c r="L36" s="474">
        <f>(I36*J24)/K36</f>
        <v>0</v>
      </c>
      <c r="M36" s="199"/>
      <c r="N36" s="1255">
        <v>0</v>
      </c>
      <c r="O36" s="1256">
        <f>J120</f>
        <v>0</v>
      </c>
      <c r="P36" s="1257">
        <f>((N36*K22)/K19)*100</f>
        <v>0</v>
      </c>
      <c r="Q36" s="1257">
        <f>K20/((100-P36)/100)</f>
        <v>11.341149479459153</v>
      </c>
      <c r="R36" s="474">
        <f>(O36*K24)/Q36</f>
        <v>0</v>
      </c>
      <c r="S36" s="274"/>
    </row>
    <row r="37" spans="2:19" s="210" customFormat="1" ht="11.25">
      <c r="B37" s="1258">
        <f t="shared" ref="B37:B69" si="0">IF(C121=0,"",B36+20)</f>
        <v>20</v>
      </c>
      <c r="C37" s="1259">
        <f t="shared" ref="C37:C69" si="1">IF(C121="","",C121)</f>
        <v>6</v>
      </c>
      <c r="D37" s="1260">
        <f t="shared" ref="D37:D69" si="2">IF(B37="","",((B37*$I$22)/$I$19)*100)</f>
        <v>0.52631578947368429</v>
      </c>
      <c r="E37" s="1260">
        <f t="shared" ref="E37:E69" si="3">IF(D37="","",($I$20/((100-D37)/100)))</f>
        <v>11.401155561361053</v>
      </c>
      <c r="F37" s="1261">
        <f>IF(E37="","",(C37*$I$24)/E37)</f>
        <v>6.3488301348428325E-2</v>
      </c>
      <c r="G37" s="232"/>
      <c r="H37" s="1258">
        <f t="shared" ref="H37:H69" si="4">IF(F121=0,"",H36+20)</f>
        <v>20</v>
      </c>
      <c r="I37" s="1259">
        <f t="shared" ref="I37:I69" si="5">IF(F121="","",F121)</f>
        <v>15</v>
      </c>
      <c r="J37" s="1260">
        <f t="shared" ref="J37:J69" si="6">IF(H37="","",((H37*$J$22)/$J$19)*100)</f>
        <v>0.52631578947368429</v>
      </c>
      <c r="K37" s="1260">
        <f t="shared" ref="K37:K69" si="7">IF(J37="","",$J$20/((100-J37)/100))</f>
        <v>11.401155561361053</v>
      </c>
      <c r="L37" s="1261">
        <f t="shared" ref="L37:L69" si="8">IF(K37="","",(I37*$J$24)/K37)</f>
        <v>0.15872075337107081</v>
      </c>
      <c r="M37" s="199"/>
      <c r="N37" s="1258">
        <f t="shared" ref="N37:N69" si="9">IF(J121=0,"",N36+20)</f>
        <v>20</v>
      </c>
      <c r="O37" s="1259">
        <f t="shared" ref="O37:O69" si="10">IF(J121="","",J121)</f>
        <v>33</v>
      </c>
      <c r="P37" s="1260">
        <f t="shared" ref="P37:P69" si="11">IF(N37="","",((N37*$K$22)/$K$19)*100)</f>
        <v>0.52631578947368429</v>
      </c>
      <c r="Q37" s="1260">
        <f t="shared" ref="Q37:Q69" si="12">IF(P37="","",$K$20/((100-P37)/100))</f>
        <v>11.401155561361053</v>
      </c>
      <c r="R37" s="1261">
        <f t="shared" ref="R37:R69" si="13">IF(Q37="","",(O37*$J$24)/Q37)</f>
        <v>0.34918565741635577</v>
      </c>
      <c r="S37" s="274"/>
    </row>
    <row r="38" spans="2:19" s="210" customFormat="1" ht="11.25">
      <c r="B38" s="1258">
        <f t="shared" si="0"/>
        <v>40</v>
      </c>
      <c r="C38" s="1259">
        <f t="shared" si="1"/>
        <v>11</v>
      </c>
      <c r="D38" s="1260">
        <f t="shared" si="2"/>
        <v>1.0526315789473686</v>
      </c>
      <c r="E38" s="1260">
        <f t="shared" si="3"/>
        <v>11.461800005836379</v>
      </c>
      <c r="F38" s="1261">
        <f t="shared" ref="F37:F69" si="14">IF(E38="","",(C38*$I$24)/E38)</f>
        <v>0.11577937141847422</v>
      </c>
      <c r="G38" s="232"/>
      <c r="H38" s="1258">
        <f t="shared" si="4"/>
        <v>40</v>
      </c>
      <c r="I38" s="1259">
        <f t="shared" si="5"/>
        <v>25</v>
      </c>
      <c r="J38" s="1260">
        <f t="shared" si="6"/>
        <v>1.0526315789473686</v>
      </c>
      <c r="K38" s="1260">
        <f t="shared" si="7"/>
        <v>11.461800005836379</v>
      </c>
      <c r="L38" s="1261">
        <f t="shared" si="8"/>
        <v>0.26313493504198687</v>
      </c>
      <c r="M38" s="199"/>
      <c r="N38" s="1258">
        <f t="shared" si="9"/>
        <v>40</v>
      </c>
      <c r="O38" s="1259">
        <f t="shared" si="10"/>
        <v>45</v>
      </c>
      <c r="P38" s="1260">
        <f t="shared" si="11"/>
        <v>1.0526315789473686</v>
      </c>
      <c r="Q38" s="1260">
        <f t="shared" si="12"/>
        <v>11.461800005836379</v>
      </c>
      <c r="R38" s="1261">
        <f t="shared" si="13"/>
        <v>0.47364288307557634</v>
      </c>
      <c r="S38" s="274"/>
    </row>
    <row r="39" spans="2:19" s="210" customFormat="1" ht="11.25">
      <c r="B39" s="1258">
        <f t="shared" si="0"/>
        <v>60</v>
      </c>
      <c r="C39" s="1259">
        <f t="shared" si="1"/>
        <v>16</v>
      </c>
      <c r="D39" s="1260">
        <f t="shared" si="2"/>
        <v>1.5789473684210527</v>
      </c>
      <c r="E39" s="1260">
        <f t="shared" si="3"/>
        <v>11.523093053995931</v>
      </c>
      <c r="F39" s="1261">
        <f t="shared" si="14"/>
        <v>0.167510579924601</v>
      </c>
      <c r="G39" s="232"/>
      <c r="H39" s="1258">
        <f t="shared" si="4"/>
        <v>60</v>
      </c>
      <c r="I39" s="1259">
        <f t="shared" si="5"/>
        <v>33</v>
      </c>
      <c r="J39" s="1260">
        <f t="shared" si="6"/>
        <v>1.5789473684210527</v>
      </c>
      <c r="K39" s="1260">
        <f t="shared" si="7"/>
        <v>11.523093053995931</v>
      </c>
      <c r="L39" s="1261">
        <f t="shared" si="8"/>
        <v>0.34549057109448955</v>
      </c>
      <c r="M39" s="199"/>
      <c r="N39" s="1258">
        <f t="shared" si="9"/>
        <v>60</v>
      </c>
      <c r="O39" s="1259">
        <f t="shared" si="10"/>
        <v>55</v>
      </c>
      <c r="P39" s="1260">
        <f t="shared" si="11"/>
        <v>1.5789473684210527</v>
      </c>
      <c r="Q39" s="1260">
        <f t="shared" si="12"/>
        <v>11.523093053995931</v>
      </c>
      <c r="R39" s="1261">
        <f t="shared" si="13"/>
        <v>0.57581761849081592</v>
      </c>
      <c r="S39" s="274"/>
    </row>
    <row r="40" spans="2:19" s="210" customFormat="1" ht="11.25">
      <c r="B40" s="1258">
        <f t="shared" si="0"/>
        <v>80</v>
      </c>
      <c r="C40" s="1259">
        <f t="shared" si="1"/>
        <v>21</v>
      </c>
      <c r="D40" s="1260">
        <f t="shared" si="2"/>
        <v>2.1052631578947372</v>
      </c>
      <c r="E40" s="1260">
        <f t="shared" si="3"/>
        <v>11.585045167189458</v>
      </c>
      <c r="F40" s="1261">
        <f t="shared" si="14"/>
        <v>0.21868192686680865</v>
      </c>
      <c r="G40" s="232"/>
      <c r="H40" s="1258">
        <f t="shared" si="4"/>
        <v>80</v>
      </c>
      <c r="I40" s="1259">
        <f t="shared" si="5"/>
        <v>38</v>
      </c>
      <c r="J40" s="1260">
        <f t="shared" si="6"/>
        <v>2.1052631578947372</v>
      </c>
      <c r="K40" s="1260">
        <f t="shared" si="7"/>
        <v>11.585045167189458</v>
      </c>
      <c r="L40" s="1261">
        <f t="shared" si="8"/>
        <v>0.39571015337803467</v>
      </c>
      <c r="M40" s="199"/>
      <c r="N40" s="1258">
        <f t="shared" si="9"/>
        <v>80</v>
      </c>
      <c r="O40" s="1259">
        <f t="shared" si="10"/>
        <v>63</v>
      </c>
      <c r="P40" s="1260">
        <f t="shared" si="11"/>
        <v>2.1052631578947372</v>
      </c>
      <c r="Q40" s="1260">
        <f t="shared" si="12"/>
        <v>11.585045167189458</v>
      </c>
      <c r="R40" s="1261">
        <f t="shared" si="13"/>
        <v>0.65604578060042595</v>
      </c>
      <c r="S40" s="274"/>
    </row>
    <row r="41" spans="2:19" s="210" customFormat="1" ht="11.25">
      <c r="B41" s="1258">
        <f t="shared" si="0"/>
        <v>100</v>
      </c>
      <c r="C41" s="1259">
        <f t="shared" si="1"/>
        <v>25</v>
      </c>
      <c r="D41" s="1260">
        <f t="shared" si="2"/>
        <v>2.6315789473684212</v>
      </c>
      <c r="E41" s="1260">
        <f t="shared" si="3"/>
        <v>11.647667032958051</v>
      </c>
      <c r="F41" s="1261">
        <f t="shared" si="14"/>
        <v>0.25893597331259344</v>
      </c>
      <c r="G41" s="232"/>
      <c r="H41" s="1258">
        <f t="shared" si="4"/>
        <v>100</v>
      </c>
      <c r="I41" s="1259">
        <f t="shared" si="5"/>
        <v>43</v>
      </c>
      <c r="J41" s="1260">
        <f t="shared" si="6"/>
        <v>2.6315789473684212</v>
      </c>
      <c r="K41" s="1260">
        <f t="shared" si="7"/>
        <v>11.647667032958051</v>
      </c>
      <c r="L41" s="1261">
        <f t="shared" si="8"/>
        <v>0.44536987409766071</v>
      </c>
      <c r="M41" s="199"/>
      <c r="N41" s="1258">
        <f t="shared" si="9"/>
        <v>100</v>
      </c>
      <c r="O41" s="1259">
        <f t="shared" si="10"/>
        <v>69</v>
      </c>
      <c r="P41" s="1260">
        <f t="shared" si="11"/>
        <v>2.6315789473684212</v>
      </c>
      <c r="Q41" s="1260">
        <f t="shared" si="12"/>
        <v>11.647667032958051</v>
      </c>
      <c r="R41" s="1261">
        <f t="shared" si="13"/>
        <v>0.71466328634275778</v>
      </c>
      <c r="S41" s="274"/>
    </row>
    <row r="42" spans="2:19" s="210" customFormat="1" ht="11.25">
      <c r="B42" s="1258">
        <f t="shared" si="0"/>
        <v>120</v>
      </c>
      <c r="C42" s="1259">
        <f t="shared" si="1"/>
        <v>29</v>
      </c>
      <c r="D42" s="1260">
        <f t="shared" si="2"/>
        <v>3.1578947368421053</v>
      </c>
      <c r="E42" s="1260">
        <f t="shared" si="3"/>
        <v>11.710969571180648</v>
      </c>
      <c r="F42" s="1261">
        <f t="shared" si="14"/>
        <v>0.29874213050724291</v>
      </c>
      <c r="G42" s="232"/>
      <c r="H42" s="1258">
        <f t="shared" si="4"/>
        <v>120</v>
      </c>
      <c r="I42" s="1259">
        <f t="shared" si="5"/>
        <v>47</v>
      </c>
      <c r="J42" s="1260">
        <f t="shared" si="6"/>
        <v>3.1578947368421053</v>
      </c>
      <c r="K42" s="1260">
        <f t="shared" si="7"/>
        <v>11.710969571180648</v>
      </c>
      <c r="L42" s="1261">
        <f t="shared" si="8"/>
        <v>0.48416828047725574</v>
      </c>
      <c r="M42" s="199"/>
      <c r="N42" s="1258">
        <f t="shared" si="9"/>
        <v>120</v>
      </c>
      <c r="O42" s="1259">
        <f t="shared" si="10"/>
        <v>75</v>
      </c>
      <c r="P42" s="1260">
        <f t="shared" si="11"/>
        <v>3.1578947368421053</v>
      </c>
      <c r="Q42" s="1260">
        <f t="shared" si="12"/>
        <v>11.710969571180648</v>
      </c>
      <c r="R42" s="1261">
        <f t="shared" si="13"/>
        <v>0.77260895820838693</v>
      </c>
      <c r="S42" s="274"/>
    </row>
    <row r="43" spans="2:19" s="210" customFormat="1" ht="11.25">
      <c r="B43" s="1258">
        <f t="shared" si="0"/>
        <v>140</v>
      </c>
      <c r="C43" s="1259">
        <f t="shared" si="1"/>
        <v>31</v>
      </c>
      <c r="D43" s="1260">
        <f t="shared" si="2"/>
        <v>3.6842105263157898</v>
      </c>
      <c r="E43" s="1260">
        <f t="shared" si="3"/>
        <v>11.774963940422072</v>
      </c>
      <c r="F43" s="1261">
        <f t="shared" si="14"/>
        <v>0.31760946521131733</v>
      </c>
      <c r="G43" s="232"/>
      <c r="H43" s="1258">
        <f t="shared" si="4"/>
        <v>140</v>
      </c>
      <c r="I43" s="1259">
        <f t="shared" si="5"/>
        <v>51</v>
      </c>
      <c r="J43" s="1260">
        <f t="shared" si="6"/>
        <v>3.6842105263157898</v>
      </c>
      <c r="K43" s="1260">
        <f t="shared" si="7"/>
        <v>11.774963940422072</v>
      </c>
      <c r="L43" s="1261">
        <f t="shared" si="8"/>
        <v>0.52251879760571562</v>
      </c>
      <c r="M43" s="199"/>
      <c r="N43" s="1258">
        <f t="shared" si="9"/>
        <v>140</v>
      </c>
      <c r="O43" s="1259">
        <f t="shared" si="10"/>
        <v>80</v>
      </c>
      <c r="P43" s="1260">
        <f t="shared" si="11"/>
        <v>3.6842105263157898</v>
      </c>
      <c r="Q43" s="1260">
        <f t="shared" si="12"/>
        <v>11.774963940422072</v>
      </c>
      <c r="R43" s="1261">
        <f t="shared" si="13"/>
        <v>0.81963732957759305</v>
      </c>
      <c r="S43" s="274"/>
    </row>
    <row r="44" spans="2:19" s="210" customFormat="1" ht="11.25">
      <c r="B44" s="1258">
        <f t="shared" si="0"/>
        <v>160</v>
      </c>
      <c r="C44" s="1259">
        <f t="shared" si="1"/>
        <v>35</v>
      </c>
      <c r="D44" s="1260">
        <f t="shared" si="2"/>
        <v>4.2105263157894743</v>
      </c>
      <c r="E44" s="1260">
        <f t="shared" si="3"/>
        <v>11.839661544490324</v>
      </c>
      <c r="F44" s="1261">
        <f t="shared" si="14"/>
        <v>0.35663181621648005</v>
      </c>
      <c r="G44" s="232"/>
      <c r="H44" s="1258">
        <f t="shared" si="4"/>
        <v>160</v>
      </c>
      <c r="I44" s="1259">
        <f t="shared" si="5"/>
        <v>54</v>
      </c>
      <c r="J44" s="1260">
        <f t="shared" si="6"/>
        <v>4.2105263157894743</v>
      </c>
      <c r="K44" s="1260">
        <f t="shared" si="7"/>
        <v>11.839661544490324</v>
      </c>
      <c r="L44" s="1261">
        <f t="shared" si="8"/>
        <v>0.55023194501971207</v>
      </c>
      <c r="M44" s="199"/>
      <c r="N44" s="1258">
        <f t="shared" si="9"/>
        <v>160</v>
      </c>
      <c r="O44" s="1259">
        <f t="shared" si="10"/>
        <v>85</v>
      </c>
      <c r="P44" s="1260">
        <f t="shared" si="11"/>
        <v>4.2105263157894743</v>
      </c>
      <c r="Q44" s="1260">
        <f t="shared" si="12"/>
        <v>11.839661544490324</v>
      </c>
      <c r="R44" s="1261">
        <f t="shared" si="13"/>
        <v>0.86610583938288022</v>
      </c>
      <c r="S44" s="274"/>
    </row>
    <row r="45" spans="2:19" s="210" customFormat="1" ht="11.25">
      <c r="B45" s="1258">
        <f t="shared" si="0"/>
        <v>180</v>
      </c>
      <c r="C45" s="1259">
        <f t="shared" si="1"/>
        <v>37</v>
      </c>
      <c r="D45" s="1260">
        <f t="shared" si="2"/>
        <v>4.7368421052631584</v>
      </c>
      <c r="E45" s="1260">
        <f t="shared" si="3"/>
        <v>11.905074039211266</v>
      </c>
      <c r="F45" s="1261">
        <f t="shared" si="14"/>
        <v>0.37493928935663534</v>
      </c>
      <c r="G45" s="232"/>
      <c r="H45" s="1258">
        <f t="shared" si="4"/>
        <v>180</v>
      </c>
      <c r="I45" s="1259">
        <f t="shared" si="5"/>
        <v>58</v>
      </c>
      <c r="J45" s="1260">
        <f t="shared" si="6"/>
        <v>4.7368421052631584</v>
      </c>
      <c r="K45" s="1260">
        <f t="shared" si="7"/>
        <v>11.905074039211266</v>
      </c>
      <c r="L45" s="1261">
        <f t="shared" si="8"/>
        <v>0.58774266980229317</v>
      </c>
      <c r="M45" s="199"/>
      <c r="N45" s="1258">
        <f t="shared" si="9"/>
        <v>180</v>
      </c>
      <c r="O45" s="1259">
        <f t="shared" si="10"/>
        <v>89</v>
      </c>
      <c r="P45" s="1260">
        <f t="shared" si="11"/>
        <v>4.7368421052631584</v>
      </c>
      <c r="Q45" s="1260">
        <f t="shared" si="12"/>
        <v>11.905074039211266</v>
      </c>
      <c r="R45" s="1261">
        <f t="shared" si="13"/>
        <v>0.90188099331731197</v>
      </c>
      <c r="S45" s="274"/>
    </row>
    <row r="46" spans="2:19" s="210" customFormat="1" ht="11.25">
      <c r="B46" s="1258">
        <f t="shared" si="0"/>
        <v>200</v>
      </c>
      <c r="C46" s="1259">
        <f t="shared" si="1"/>
        <v>39</v>
      </c>
      <c r="D46" s="1260">
        <f t="shared" si="2"/>
        <v>5.2631578947368425</v>
      </c>
      <c r="E46" s="1260">
        <f t="shared" si="3"/>
        <v>11.971213339429106</v>
      </c>
      <c r="F46" s="1261">
        <f t="shared" si="14"/>
        <v>0.3930228178712229</v>
      </c>
      <c r="G46" s="232"/>
      <c r="H46" s="1258">
        <f t="shared" si="4"/>
        <v>200</v>
      </c>
      <c r="I46" s="1259">
        <f t="shared" si="5"/>
        <v>60</v>
      </c>
      <c r="J46" s="1260">
        <f t="shared" si="6"/>
        <v>5.2631578947368425</v>
      </c>
      <c r="K46" s="1260">
        <f t="shared" si="7"/>
        <v>11.971213339429106</v>
      </c>
      <c r="L46" s="1261">
        <f t="shared" si="8"/>
        <v>0.60465048903265062</v>
      </c>
      <c r="M46" s="199"/>
      <c r="N46" s="1258">
        <f t="shared" si="9"/>
        <v>200</v>
      </c>
      <c r="O46" s="1259">
        <f t="shared" si="10"/>
        <v>94</v>
      </c>
      <c r="P46" s="1260">
        <f t="shared" si="11"/>
        <v>5.2631578947368425</v>
      </c>
      <c r="Q46" s="1260">
        <f t="shared" si="12"/>
        <v>11.971213339429106</v>
      </c>
      <c r="R46" s="1261">
        <f t="shared" si="13"/>
        <v>0.94728576615115268</v>
      </c>
      <c r="S46" s="274"/>
    </row>
    <row r="47" spans="2:19" s="210" customFormat="1" ht="11.25">
      <c r="B47" s="1258">
        <f t="shared" si="0"/>
        <v>220</v>
      </c>
      <c r="C47" s="1259">
        <f t="shared" si="1"/>
        <v>41</v>
      </c>
      <c r="D47" s="1260">
        <f t="shared" si="2"/>
        <v>5.7894736842105265</v>
      </c>
      <c r="E47" s="1260">
        <f t="shared" si="3"/>
        <v>12.038091626241558</v>
      </c>
      <c r="F47" s="1261">
        <f t="shared" si="14"/>
        <v>0.41088240176024288</v>
      </c>
      <c r="G47" s="232"/>
      <c r="H47" s="1258">
        <f t="shared" si="4"/>
        <v>220</v>
      </c>
      <c r="I47" s="1259">
        <f t="shared" si="5"/>
        <v>62</v>
      </c>
      <c r="J47" s="1260">
        <f t="shared" si="6"/>
        <v>5.7894736842105265</v>
      </c>
      <c r="K47" s="1260">
        <f t="shared" si="7"/>
        <v>12.038091626241558</v>
      </c>
      <c r="L47" s="1261">
        <f t="shared" si="8"/>
        <v>0.62133436363744055</v>
      </c>
      <c r="M47" s="199"/>
      <c r="N47" s="1258">
        <f t="shared" si="9"/>
        <v>220</v>
      </c>
      <c r="O47" s="1259">
        <f t="shared" si="10"/>
        <v>100</v>
      </c>
      <c r="P47" s="1260">
        <f t="shared" si="11"/>
        <v>5.7894736842105265</v>
      </c>
      <c r="Q47" s="1260">
        <f t="shared" si="12"/>
        <v>12.038091626241558</v>
      </c>
      <c r="R47" s="1261">
        <f t="shared" si="13"/>
        <v>1.0021521994152267</v>
      </c>
      <c r="S47" s="274"/>
    </row>
    <row r="48" spans="2:19" s="210" customFormat="1" ht="11.25">
      <c r="B48" s="1258">
        <f t="shared" si="0"/>
        <v>240</v>
      </c>
      <c r="C48" s="1259">
        <f t="shared" si="1"/>
        <v>43</v>
      </c>
      <c r="D48" s="1260">
        <f t="shared" si="2"/>
        <v>6.3157894736842106</v>
      </c>
      <c r="E48" s="1260">
        <f t="shared" si="3"/>
        <v>12.10572135447887</v>
      </c>
      <c r="F48" s="1261">
        <f t="shared" si="14"/>
        <v>0.42851804102369523</v>
      </c>
      <c r="G48" s="232"/>
      <c r="H48" s="1258">
        <f t="shared" si="4"/>
        <v>240</v>
      </c>
      <c r="I48" s="1259">
        <f t="shared" si="5"/>
        <v>64</v>
      </c>
      <c r="J48" s="1260">
        <f t="shared" si="6"/>
        <v>6.3157894736842106</v>
      </c>
      <c r="K48" s="1260">
        <f t="shared" si="7"/>
        <v>12.10572135447887</v>
      </c>
      <c r="L48" s="1261">
        <f t="shared" si="8"/>
        <v>0.63779429361666262</v>
      </c>
      <c r="M48" s="199"/>
      <c r="N48" s="1258">
        <f t="shared" si="9"/>
        <v>240</v>
      </c>
      <c r="O48" s="1259">
        <f t="shared" si="10"/>
        <v>102</v>
      </c>
      <c r="P48" s="1260">
        <f t="shared" si="11"/>
        <v>6.3157894736842106</v>
      </c>
      <c r="Q48" s="1260">
        <f t="shared" si="12"/>
        <v>12.10572135447887</v>
      </c>
      <c r="R48" s="1261">
        <f t="shared" si="13"/>
        <v>1.0164846554515561</v>
      </c>
      <c r="S48" s="274"/>
    </row>
    <row r="49" spans="2:19" s="210" customFormat="1" ht="11.25">
      <c r="B49" s="1258">
        <f t="shared" si="0"/>
        <v>260</v>
      </c>
      <c r="C49" s="1259">
        <f t="shared" si="1"/>
        <v>45</v>
      </c>
      <c r="D49" s="1260">
        <f t="shared" si="2"/>
        <v>6.8421052631578956</v>
      </c>
      <c r="E49" s="1260">
        <f t="shared" si="3"/>
        <v>12.174115260436379</v>
      </c>
      <c r="F49" s="1261">
        <f t="shared" si="14"/>
        <v>0.44592973566157984</v>
      </c>
      <c r="G49" s="232"/>
      <c r="H49" s="1258">
        <f t="shared" si="4"/>
        <v>260</v>
      </c>
      <c r="I49" s="1259">
        <f t="shared" si="5"/>
        <v>66</v>
      </c>
      <c r="J49" s="1260">
        <f t="shared" si="6"/>
        <v>6.8421052631578956</v>
      </c>
      <c r="K49" s="1260">
        <f t="shared" si="7"/>
        <v>12.174115260436379</v>
      </c>
      <c r="L49" s="1261">
        <f t="shared" si="8"/>
        <v>0.65403027897031707</v>
      </c>
      <c r="M49" s="199"/>
      <c r="N49" s="1258">
        <f t="shared" si="9"/>
        <v>260</v>
      </c>
      <c r="O49" s="1259">
        <f t="shared" si="10"/>
        <v>105</v>
      </c>
      <c r="P49" s="1260">
        <f t="shared" si="11"/>
        <v>6.8421052631578956</v>
      </c>
      <c r="Q49" s="1260">
        <f t="shared" si="12"/>
        <v>12.174115260436379</v>
      </c>
      <c r="R49" s="1261">
        <f t="shared" si="13"/>
        <v>1.0405027165436864</v>
      </c>
      <c r="S49" s="274"/>
    </row>
    <row r="50" spans="2:19" s="210" customFormat="1" ht="11.25">
      <c r="B50" s="1258">
        <f t="shared" si="0"/>
        <v>280</v>
      </c>
      <c r="C50" s="1259">
        <f t="shared" si="1"/>
        <v>47</v>
      </c>
      <c r="D50" s="1260">
        <f t="shared" si="2"/>
        <v>7.3684210526315796</v>
      </c>
      <c r="E50" s="1260">
        <f t="shared" si="3"/>
        <v>12.243286369870676</v>
      </c>
      <c r="F50" s="1261">
        <f t="shared" si="14"/>
        <v>0.46311748567389688</v>
      </c>
      <c r="G50" s="232"/>
      <c r="H50" s="1258">
        <f t="shared" si="4"/>
        <v>280</v>
      </c>
      <c r="I50" s="1259">
        <f t="shared" si="5"/>
        <v>68</v>
      </c>
      <c r="J50" s="1260">
        <f t="shared" si="6"/>
        <v>7.3684210526315796</v>
      </c>
      <c r="K50" s="1260">
        <f t="shared" si="7"/>
        <v>12.243286369870676</v>
      </c>
      <c r="L50" s="1261">
        <f t="shared" si="8"/>
        <v>0.670042319698404</v>
      </c>
      <c r="M50" s="199"/>
      <c r="N50" s="1258">
        <f t="shared" si="9"/>
        <v>280</v>
      </c>
      <c r="O50" s="1259">
        <f t="shared" si="10"/>
        <v>110</v>
      </c>
      <c r="P50" s="1260">
        <f t="shared" si="11"/>
        <v>7.3684210526315796</v>
      </c>
      <c r="Q50" s="1260">
        <f t="shared" si="12"/>
        <v>12.243286369870676</v>
      </c>
      <c r="R50" s="1261">
        <f t="shared" si="13"/>
        <v>1.0838919877474182</v>
      </c>
      <c r="S50" s="274"/>
    </row>
    <row r="51" spans="2:19" s="210" customFormat="1" ht="11.25">
      <c r="B51" s="1258">
        <f t="shared" si="0"/>
        <v>300</v>
      </c>
      <c r="C51" s="1259">
        <f t="shared" si="1"/>
        <v>49</v>
      </c>
      <c r="D51" s="1260">
        <f t="shared" si="2"/>
        <v>7.8947368421052628</v>
      </c>
      <c r="E51" s="1260">
        <f t="shared" si="3"/>
        <v>12.313248006269937</v>
      </c>
      <c r="F51" s="1261">
        <f t="shared" si="14"/>
        <v>0.48008129106064629</v>
      </c>
      <c r="G51" s="232"/>
      <c r="H51" s="1258">
        <f t="shared" si="4"/>
        <v>300</v>
      </c>
      <c r="I51" s="1259">
        <f t="shared" si="5"/>
        <v>70</v>
      </c>
      <c r="J51" s="1260">
        <f t="shared" si="6"/>
        <v>7.8947368421052628</v>
      </c>
      <c r="K51" s="1260">
        <f t="shared" si="7"/>
        <v>12.313248006269937</v>
      </c>
      <c r="L51" s="1261">
        <f t="shared" si="8"/>
        <v>0.68583041580092319</v>
      </c>
      <c r="M51" s="199"/>
      <c r="N51" s="1258">
        <f t="shared" si="9"/>
        <v>300</v>
      </c>
      <c r="O51" s="1259">
        <f t="shared" si="10"/>
        <v>113</v>
      </c>
      <c r="P51" s="1260">
        <f t="shared" si="11"/>
        <v>7.8947368421052628</v>
      </c>
      <c r="Q51" s="1260">
        <f t="shared" si="12"/>
        <v>12.313248006269937</v>
      </c>
      <c r="R51" s="1261">
        <f t="shared" si="13"/>
        <v>1.1071262426500619</v>
      </c>
      <c r="S51" s="274"/>
    </row>
    <row r="52" spans="2:19" s="210" customFormat="1" ht="11.25">
      <c r="B52" s="1258">
        <f t="shared" si="0"/>
        <v>320</v>
      </c>
      <c r="C52" s="1259">
        <f t="shared" si="1"/>
        <v>51</v>
      </c>
      <c r="D52" s="1260">
        <f t="shared" si="2"/>
        <v>8.4210526315789487</v>
      </c>
      <c r="E52" s="1260">
        <f t="shared" si="3"/>
        <v>12.384013799409418</v>
      </c>
      <c r="F52" s="1261">
        <f t="shared" si="14"/>
        <v>0.49682115182182801</v>
      </c>
      <c r="G52" s="232"/>
      <c r="H52" s="1258">
        <f t="shared" si="4"/>
        <v>320</v>
      </c>
      <c r="I52" s="1259">
        <f t="shared" si="5"/>
        <v>72</v>
      </c>
      <c r="J52" s="1260">
        <f t="shared" si="6"/>
        <v>8.4210526315789487</v>
      </c>
      <c r="K52" s="1260">
        <f t="shared" si="7"/>
        <v>12.384013799409418</v>
      </c>
      <c r="L52" s="1261">
        <f t="shared" si="8"/>
        <v>0.70139456727787486</v>
      </c>
      <c r="M52" s="199"/>
      <c r="N52" s="1258">
        <f t="shared" si="9"/>
        <v>320</v>
      </c>
      <c r="O52" s="1259">
        <f t="shared" si="10"/>
        <v>115</v>
      </c>
      <c r="P52" s="1260">
        <f t="shared" si="11"/>
        <v>8.4210526315789487</v>
      </c>
      <c r="Q52" s="1260">
        <f t="shared" si="12"/>
        <v>12.384013799409418</v>
      </c>
      <c r="R52" s="1261">
        <f t="shared" si="13"/>
        <v>1.1202829894021613</v>
      </c>
      <c r="S52" s="274"/>
    </row>
    <row r="53" spans="2:19" s="210" customFormat="1" ht="11.25">
      <c r="B53" s="1258">
        <f t="shared" si="0"/>
        <v>340</v>
      </c>
      <c r="C53" s="1259">
        <f t="shared" si="1"/>
        <v>53</v>
      </c>
      <c r="D53" s="1260">
        <f t="shared" si="2"/>
        <v>8.9473684210526336</v>
      </c>
      <c r="E53" s="1260">
        <f t="shared" si="3"/>
        <v>12.455597694203693</v>
      </c>
      <c r="F53" s="1261">
        <f t="shared" si="14"/>
        <v>0.51333706795744205</v>
      </c>
      <c r="G53" s="232"/>
      <c r="H53" s="1258">
        <f t="shared" si="4"/>
        <v>340</v>
      </c>
      <c r="I53" s="1259">
        <f t="shared" si="5"/>
        <v>74</v>
      </c>
      <c r="J53" s="1260">
        <f t="shared" si="6"/>
        <v>8.9473684210526336</v>
      </c>
      <c r="K53" s="1260">
        <f t="shared" si="7"/>
        <v>12.455597694203693</v>
      </c>
      <c r="L53" s="1261">
        <f t="shared" si="8"/>
        <v>0.71673477412925879</v>
      </c>
      <c r="M53" s="199"/>
      <c r="N53" s="1258">
        <f t="shared" si="9"/>
        <v>340</v>
      </c>
      <c r="O53" s="1259">
        <f t="shared" si="10"/>
        <v>118</v>
      </c>
      <c r="P53" s="1260">
        <f t="shared" si="11"/>
        <v>8.9473684210526336</v>
      </c>
      <c r="Q53" s="1260">
        <f t="shared" si="12"/>
        <v>12.455597694203693</v>
      </c>
      <c r="R53" s="1261">
        <f t="shared" si="13"/>
        <v>1.1429013965844936</v>
      </c>
      <c r="S53" s="274"/>
    </row>
    <row r="54" spans="2:19" s="210" customFormat="1" ht="11.25">
      <c r="B54" s="1258">
        <f t="shared" si="0"/>
        <v>360</v>
      </c>
      <c r="C54" s="1259">
        <f t="shared" si="1"/>
        <v>55</v>
      </c>
      <c r="D54" s="1260">
        <f t="shared" si="2"/>
        <v>9.4736842105263168</v>
      </c>
      <c r="E54" s="1260">
        <f t="shared" si="3"/>
        <v>12.528013959867668</v>
      </c>
      <c r="F54" s="1261">
        <f t="shared" si="14"/>
        <v>0.52962903946748852</v>
      </c>
      <c r="G54" s="232"/>
      <c r="H54" s="1258">
        <f t="shared" si="4"/>
        <v>360</v>
      </c>
      <c r="I54" s="1259">
        <f t="shared" si="5"/>
        <v>76</v>
      </c>
      <c r="J54" s="1260">
        <f t="shared" si="6"/>
        <v>9.4736842105263168</v>
      </c>
      <c r="K54" s="1260">
        <f t="shared" si="7"/>
        <v>12.528013959867668</v>
      </c>
      <c r="L54" s="1261">
        <f t="shared" si="8"/>
        <v>0.73185103635507498</v>
      </c>
      <c r="M54" s="199"/>
      <c r="N54" s="1258">
        <f t="shared" si="9"/>
        <v>360</v>
      </c>
      <c r="O54" s="1259">
        <f t="shared" si="10"/>
        <v>120</v>
      </c>
      <c r="P54" s="1260">
        <f t="shared" si="11"/>
        <v>9.4736842105263168</v>
      </c>
      <c r="Q54" s="1260">
        <f t="shared" si="12"/>
        <v>12.528013959867668</v>
      </c>
      <c r="R54" s="1261">
        <f t="shared" si="13"/>
        <v>1.1555542679290658</v>
      </c>
      <c r="S54" s="274"/>
    </row>
    <row r="55" spans="2:19" s="210" customFormat="1" ht="11.25">
      <c r="B55" s="1258">
        <f t="shared" si="0"/>
        <v>380</v>
      </c>
      <c r="C55" s="1259">
        <f t="shared" si="1"/>
        <v>56</v>
      </c>
      <c r="D55" s="1260">
        <f t="shared" si="2"/>
        <v>10</v>
      </c>
      <c r="E55" s="1260">
        <f t="shared" si="3"/>
        <v>12.601277199399059</v>
      </c>
      <c r="F55" s="1261">
        <f t="shared" si="14"/>
        <v>0.53612343360895032</v>
      </c>
      <c r="G55" s="232"/>
      <c r="H55" s="1258">
        <f t="shared" si="4"/>
        <v>380</v>
      </c>
      <c r="I55" s="1259">
        <f t="shared" si="5"/>
        <v>77</v>
      </c>
      <c r="J55" s="1260">
        <f t="shared" si="6"/>
        <v>10</v>
      </c>
      <c r="K55" s="1260">
        <f t="shared" si="7"/>
        <v>12.601277199399059</v>
      </c>
      <c r="L55" s="1261">
        <f t="shared" si="8"/>
        <v>0.73716972121230662</v>
      </c>
      <c r="M55" s="199"/>
      <c r="N55" s="1258">
        <f t="shared" si="9"/>
        <v>380</v>
      </c>
      <c r="O55" s="1259">
        <f t="shared" si="10"/>
        <v>122</v>
      </c>
      <c r="P55" s="1260">
        <f t="shared" si="11"/>
        <v>10</v>
      </c>
      <c r="Q55" s="1260">
        <f t="shared" si="12"/>
        <v>12.601277199399059</v>
      </c>
      <c r="R55" s="1261">
        <f t="shared" si="13"/>
        <v>1.1679831946480703</v>
      </c>
      <c r="S55" s="274"/>
    </row>
    <row r="56" spans="2:19" s="210" customFormat="1" ht="11.25">
      <c r="B56" s="1258">
        <f t="shared" si="0"/>
        <v>400</v>
      </c>
      <c r="C56" s="1259">
        <f t="shared" si="1"/>
        <v>58</v>
      </c>
      <c r="D56" s="1260">
        <f t="shared" si="2"/>
        <v>10.526315789473685</v>
      </c>
      <c r="E56" s="1260">
        <f t="shared" si="3"/>
        <v>12.675402359395523</v>
      </c>
      <c r="F56" s="1261">
        <f t="shared" si="14"/>
        <v>0.55202350202425332</v>
      </c>
      <c r="G56" s="232"/>
      <c r="H56" s="1258">
        <f t="shared" si="4"/>
        <v>400</v>
      </c>
      <c r="I56" s="1259">
        <f t="shared" si="5"/>
        <v>78</v>
      </c>
      <c r="J56" s="1260">
        <f t="shared" si="6"/>
        <v>10.526315789473685</v>
      </c>
      <c r="K56" s="1260">
        <f t="shared" si="7"/>
        <v>12.675402359395523</v>
      </c>
      <c r="L56" s="1261">
        <f t="shared" si="8"/>
        <v>0.74237643375675444</v>
      </c>
      <c r="M56" s="199"/>
      <c r="N56" s="1258">
        <f t="shared" si="9"/>
        <v>400</v>
      </c>
      <c r="O56" s="1259">
        <f t="shared" si="10"/>
        <v>124</v>
      </c>
      <c r="P56" s="1260">
        <f t="shared" si="11"/>
        <v>10.526315789473685</v>
      </c>
      <c r="Q56" s="1260">
        <f t="shared" si="12"/>
        <v>12.675402359395523</v>
      </c>
      <c r="R56" s="1261">
        <f t="shared" si="13"/>
        <v>1.1801881767415072</v>
      </c>
      <c r="S56" s="274"/>
    </row>
    <row r="57" spans="2:19" s="210" customFormat="1" ht="11.25">
      <c r="B57" s="1258">
        <f t="shared" si="0"/>
        <v>420</v>
      </c>
      <c r="C57" s="1259">
        <f t="shared" si="1"/>
        <v>59</v>
      </c>
      <c r="D57" s="1260">
        <f t="shared" si="2"/>
        <v>11.052631578947368</v>
      </c>
      <c r="E57" s="1260">
        <f t="shared" si="3"/>
        <v>12.75040474022035</v>
      </c>
      <c r="F57" s="1261">
        <f t="shared" si="14"/>
        <v>0.55823796538375547</v>
      </c>
      <c r="G57" s="232"/>
      <c r="H57" s="1258">
        <f t="shared" si="4"/>
        <v>420</v>
      </c>
      <c r="I57" s="1259">
        <f t="shared" si="5"/>
        <v>79</v>
      </c>
      <c r="J57" s="1260">
        <f t="shared" si="6"/>
        <v>11.052631578947368</v>
      </c>
      <c r="K57" s="1260">
        <f t="shared" si="7"/>
        <v>12.75040474022035</v>
      </c>
      <c r="L57" s="1261">
        <f t="shared" si="8"/>
        <v>0.74747117398841834</v>
      </c>
      <c r="M57" s="199"/>
      <c r="N57" s="1258">
        <f t="shared" si="9"/>
        <v>420</v>
      </c>
      <c r="O57" s="1259">
        <f t="shared" si="10"/>
        <v>126</v>
      </c>
      <c r="P57" s="1260">
        <f t="shared" si="11"/>
        <v>11.052631578947368</v>
      </c>
      <c r="Q57" s="1260">
        <f t="shared" si="12"/>
        <v>12.75040474022035</v>
      </c>
      <c r="R57" s="1261">
        <f t="shared" si="13"/>
        <v>1.192169214209376</v>
      </c>
      <c r="S57" s="274"/>
    </row>
    <row r="58" spans="2:19" s="210" customFormat="1" ht="11.25">
      <c r="B58" s="1258">
        <f t="shared" si="0"/>
        <v>440</v>
      </c>
      <c r="C58" s="1259">
        <f t="shared" si="1"/>
        <v>59</v>
      </c>
      <c r="D58" s="1260">
        <f t="shared" si="2"/>
        <v>11.578947368421053</v>
      </c>
      <c r="E58" s="1260">
        <f t="shared" si="3"/>
        <v>12.826300006531186</v>
      </c>
      <c r="F58" s="1261">
        <f t="shared" si="14"/>
        <v>0.55493478215663261</v>
      </c>
      <c r="G58" s="232"/>
      <c r="H58" s="1258">
        <f t="shared" si="4"/>
        <v>440</v>
      </c>
      <c r="I58" s="1259">
        <f t="shared" si="5"/>
        <v>79.5</v>
      </c>
      <c r="J58" s="1260">
        <f t="shared" si="6"/>
        <v>11.578947368421053</v>
      </c>
      <c r="K58" s="1260">
        <f t="shared" si="7"/>
        <v>12.826300006531186</v>
      </c>
      <c r="L58" s="1261">
        <f t="shared" si="8"/>
        <v>0.74775110477037798</v>
      </c>
      <c r="M58" s="199"/>
      <c r="N58" s="1258">
        <f t="shared" si="9"/>
        <v>440</v>
      </c>
      <c r="O58" s="1259">
        <f t="shared" si="10"/>
        <v>128</v>
      </c>
      <c r="P58" s="1260">
        <f t="shared" si="11"/>
        <v>11.578947368421053</v>
      </c>
      <c r="Q58" s="1260">
        <f t="shared" si="12"/>
        <v>12.826300006531186</v>
      </c>
      <c r="R58" s="1261">
        <f t="shared" si="13"/>
        <v>1.2039263070516777</v>
      </c>
      <c r="S58" s="274"/>
    </row>
    <row r="59" spans="2:19" s="210" customFormat="1" ht="11.25">
      <c r="B59" s="1258">
        <f t="shared" si="0"/>
        <v>460</v>
      </c>
      <c r="C59" s="1259">
        <f t="shared" si="1"/>
        <v>59</v>
      </c>
      <c r="D59" s="1260">
        <f t="shared" si="2"/>
        <v>12.105263157894738</v>
      </c>
      <c r="E59" s="1260">
        <f t="shared" si="3"/>
        <v>12.90310419818706</v>
      </c>
      <c r="F59" s="1261">
        <f t="shared" si="14"/>
        <v>0.55163159892950986</v>
      </c>
      <c r="G59" s="232"/>
      <c r="H59" s="1258">
        <f t="shared" si="4"/>
        <v>460</v>
      </c>
      <c r="I59" s="1259">
        <f t="shared" si="5"/>
        <v>80</v>
      </c>
      <c r="J59" s="1260">
        <f t="shared" si="6"/>
        <v>12.105263157894738</v>
      </c>
      <c r="K59" s="1260">
        <f t="shared" si="7"/>
        <v>12.90310419818706</v>
      </c>
      <c r="L59" s="1261">
        <f t="shared" si="8"/>
        <v>0.74797504939594561</v>
      </c>
      <c r="M59" s="199"/>
      <c r="N59" s="1258">
        <f t="shared" si="9"/>
        <v>460</v>
      </c>
      <c r="O59" s="1259">
        <f t="shared" si="10"/>
        <v>130</v>
      </c>
      <c r="P59" s="1260">
        <f t="shared" si="11"/>
        <v>12.105263157894738</v>
      </c>
      <c r="Q59" s="1260">
        <f t="shared" si="12"/>
        <v>12.90310419818706</v>
      </c>
      <c r="R59" s="1261">
        <f t="shared" si="13"/>
        <v>1.2154594552684117</v>
      </c>
      <c r="S59" s="274"/>
    </row>
    <row r="60" spans="2:19" s="210" customFormat="1" ht="11.25">
      <c r="B60" s="1258">
        <f t="shared" si="0"/>
        <v>480</v>
      </c>
      <c r="C60" s="1259">
        <f t="shared" si="1"/>
        <v>59</v>
      </c>
      <c r="D60" s="1260">
        <f t="shared" si="2"/>
        <v>12.631578947368421</v>
      </c>
      <c r="E60" s="1260">
        <f t="shared" si="3"/>
        <v>12.980833741549635</v>
      </c>
      <c r="F60" s="1261">
        <f t="shared" si="14"/>
        <v>0.548328415702387</v>
      </c>
      <c r="G60" s="232"/>
      <c r="H60" s="1258">
        <f t="shared" si="4"/>
        <v>480</v>
      </c>
      <c r="I60" s="1259">
        <f t="shared" si="5"/>
        <v>80</v>
      </c>
      <c r="J60" s="1260">
        <f t="shared" si="6"/>
        <v>12.631578947368421</v>
      </c>
      <c r="K60" s="1260">
        <f t="shared" si="7"/>
        <v>12.980833741549635</v>
      </c>
      <c r="L60" s="1261">
        <f t="shared" si="8"/>
        <v>0.74349615688459247</v>
      </c>
      <c r="M60" s="199"/>
      <c r="N60" s="1258">
        <f t="shared" si="9"/>
        <v>480</v>
      </c>
      <c r="O60" s="1259">
        <f t="shared" si="10"/>
        <v>131</v>
      </c>
      <c r="P60" s="1260">
        <f t="shared" si="11"/>
        <v>12.631578947368421</v>
      </c>
      <c r="Q60" s="1260">
        <f t="shared" si="12"/>
        <v>12.980833741549635</v>
      </c>
      <c r="R60" s="1261">
        <f t="shared" si="13"/>
        <v>1.2174749568985204</v>
      </c>
      <c r="S60" s="274"/>
    </row>
    <row r="61" spans="2:19" s="210" customFormat="1" ht="11.25">
      <c r="B61" s="1258">
        <f t="shared" si="0"/>
        <v>500</v>
      </c>
      <c r="C61" s="1259">
        <f t="shared" si="1"/>
        <v>59</v>
      </c>
      <c r="D61" s="1260">
        <f t="shared" si="2"/>
        <v>13.157894736842104</v>
      </c>
      <c r="E61" s="1260">
        <f t="shared" si="3"/>
        <v>13.059505461195389</v>
      </c>
      <c r="F61" s="1261">
        <f t="shared" si="14"/>
        <v>0.54502523247526424</v>
      </c>
      <c r="G61" s="232"/>
      <c r="H61" s="1258">
        <f t="shared" si="4"/>
        <v>500</v>
      </c>
      <c r="I61" s="1259">
        <f t="shared" si="5"/>
        <v>80</v>
      </c>
      <c r="J61" s="1260">
        <f t="shared" si="6"/>
        <v>13.157894736842104</v>
      </c>
      <c r="K61" s="1260">
        <f t="shared" si="7"/>
        <v>13.059505461195389</v>
      </c>
      <c r="L61" s="1261">
        <f t="shared" si="8"/>
        <v>0.73901726437323956</v>
      </c>
      <c r="M61" s="199"/>
      <c r="N61" s="1258">
        <f t="shared" si="9"/>
        <v>500</v>
      </c>
      <c r="O61" s="1259">
        <f t="shared" si="10"/>
        <v>131.5</v>
      </c>
      <c r="P61" s="1260">
        <f t="shared" si="11"/>
        <v>13.157894736842104</v>
      </c>
      <c r="Q61" s="1260">
        <f t="shared" si="12"/>
        <v>13.059505461195389</v>
      </c>
      <c r="R61" s="1261">
        <f t="shared" si="13"/>
        <v>1.2147596283135127</v>
      </c>
      <c r="S61" s="274"/>
    </row>
    <row r="62" spans="2:19" s="210" customFormat="1" ht="11.25">
      <c r="B62" s="1258">
        <f t="shared" si="0"/>
        <v>520</v>
      </c>
      <c r="C62" s="1259">
        <f t="shared" si="1"/>
        <v>59</v>
      </c>
      <c r="D62" s="1260">
        <f t="shared" si="2"/>
        <v>13.684210526315791</v>
      </c>
      <c r="E62" s="1260">
        <f t="shared" si="3"/>
        <v>13.139136592056337</v>
      </c>
      <c r="F62" s="1261">
        <f t="shared" si="14"/>
        <v>0.54172204924814138</v>
      </c>
      <c r="G62" s="232"/>
      <c r="H62" s="1258">
        <f t="shared" si="4"/>
        <v>520</v>
      </c>
      <c r="I62" s="1259">
        <f t="shared" si="5"/>
        <v>80</v>
      </c>
      <c r="J62" s="1260">
        <f t="shared" si="6"/>
        <v>13.684210526315791</v>
      </c>
      <c r="K62" s="1260">
        <f t="shared" si="7"/>
        <v>13.139136592056337</v>
      </c>
      <c r="L62" s="1261">
        <f t="shared" si="8"/>
        <v>0.73453837186188664</v>
      </c>
      <c r="M62" s="199"/>
      <c r="N62" s="1258">
        <f t="shared" si="9"/>
        <v>520</v>
      </c>
      <c r="O62" s="1259">
        <f t="shared" si="10"/>
        <v>132</v>
      </c>
      <c r="P62" s="1260">
        <f t="shared" si="11"/>
        <v>13.684210526315791</v>
      </c>
      <c r="Q62" s="1260">
        <f t="shared" si="12"/>
        <v>13.139136592056337</v>
      </c>
      <c r="R62" s="1261">
        <f t="shared" si="13"/>
        <v>1.211988313572113</v>
      </c>
      <c r="S62" s="274"/>
    </row>
    <row r="63" spans="2:19" s="210" customFormat="1" ht="11.25">
      <c r="B63" s="1258" t="str">
        <f t="shared" si="0"/>
        <v/>
      </c>
      <c r="C63" s="1259" t="str">
        <f t="shared" si="1"/>
        <v/>
      </c>
      <c r="D63" s="1260" t="str">
        <f t="shared" si="2"/>
        <v/>
      </c>
      <c r="E63" s="1260" t="str">
        <f t="shared" si="3"/>
        <v/>
      </c>
      <c r="F63" s="1261" t="str">
        <f t="shared" si="14"/>
        <v/>
      </c>
      <c r="G63" s="232"/>
      <c r="H63" s="1258">
        <f t="shared" si="4"/>
        <v>540</v>
      </c>
      <c r="I63" s="1259">
        <f t="shared" si="5"/>
        <v>80</v>
      </c>
      <c r="J63" s="1260">
        <f t="shared" si="6"/>
        <v>14.210526315789476</v>
      </c>
      <c r="K63" s="1260">
        <f t="shared" si="7"/>
        <v>13.219744792007603</v>
      </c>
      <c r="L63" s="1261">
        <f t="shared" si="8"/>
        <v>0.73005947935053361</v>
      </c>
      <c r="M63" s="199"/>
      <c r="N63" s="1258">
        <f t="shared" si="9"/>
        <v>540</v>
      </c>
      <c r="O63" s="1259">
        <f t="shared" si="10"/>
        <v>132</v>
      </c>
      <c r="P63" s="1260">
        <f t="shared" si="11"/>
        <v>14.210526315789476</v>
      </c>
      <c r="Q63" s="1260">
        <f t="shared" si="12"/>
        <v>13.219744792007603</v>
      </c>
      <c r="R63" s="1261">
        <f t="shared" si="13"/>
        <v>1.2045981409283806</v>
      </c>
      <c r="S63" s="274"/>
    </row>
    <row r="64" spans="2:19" s="210" customFormat="1" ht="11.25">
      <c r="B64" s="1258" t="str">
        <f t="shared" si="0"/>
        <v/>
      </c>
      <c r="C64" s="1259" t="str">
        <f t="shared" si="1"/>
        <v/>
      </c>
      <c r="D64" s="1260" t="str">
        <f t="shared" si="2"/>
        <v/>
      </c>
      <c r="E64" s="1260" t="str">
        <f t="shared" si="3"/>
        <v/>
      </c>
      <c r="F64" s="1261" t="str">
        <f t="shared" si="14"/>
        <v/>
      </c>
      <c r="G64" s="232"/>
      <c r="H64" s="1258">
        <f t="shared" si="4"/>
        <v>560</v>
      </c>
      <c r="I64" s="1259">
        <f t="shared" si="5"/>
        <v>80</v>
      </c>
      <c r="J64" s="1260">
        <f t="shared" si="6"/>
        <v>14.736842105263159</v>
      </c>
      <c r="K64" s="1260">
        <f t="shared" si="7"/>
        <v>13.301348154921229</v>
      </c>
      <c r="L64" s="1261">
        <f t="shared" si="8"/>
        <v>0.72558058683918081</v>
      </c>
      <c r="M64" s="199"/>
      <c r="N64" s="1258">
        <f t="shared" si="9"/>
        <v>560</v>
      </c>
      <c r="O64" s="1259">
        <f t="shared" si="10"/>
        <v>132</v>
      </c>
      <c r="P64" s="1260">
        <f t="shared" si="11"/>
        <v>14.736842105263159</v>
      </c>
      <c r="Q64" s="1260">
        <f t="shared" si="12"/>
        <v>13.301348154921229</v>
      </c>
      <c r="R64" s="1261">
        <f t="shared" si="13"/>
        <v>1.1972079682846484</v>
      </c>
      <c r="S64" s="274"/>
    </row>
    <row r="65" spans="2:32" s="210" customFormat="1" ht="11.25">
      <c r="B65" s="1258" t="str">
        <f t="shared" si="0"/>
        <v/>
      </c>
      <c r="C65" s="1259" t="str">
        <f t="shared" si="1"/>
        <v/>
      </c>
      <c r="D65" s="1260" t="str">
        <f t="shared" si="2"/>
        <v/>
      </c>
      <c r="E65" s="1260" t="str">
        <f t="shared" si="3"/>
        <v/>
      </c>
      <c r="F65" s="1261" t="str">
        <f t="shared" si="14"/>
        <v/>
      </c>
      <c r="G65" s="232"/>
      <c r="H65" s="1258" t="str">
        <f t="shared" si="4"/>
        <v/>
      </c>
      <c r="I65" s="1259" t="str">
        <f t="shared" si="5"/>
        <v/>
      </c>
      <c r="J65" s="1260" t="str">
        <f t="shared" si="6"/>
        <v/>
      </c>
      <c r="K65" s="1260" t="str">
        <f t="shared" si="7"/>
        <v/>
      </c>
      <c r="L65" s="1261" t="str">
        <f t="shared" si="8"/>
        <v/>
      </c>
      <c r="M65" s="199"/>
      <c r="N65" s="1258">
        <f t="shared" si="9"/>
        <v>580</v>
      </c>
      <c r="O65" s="1259">
        <f t="shared" si="10"/>
        <v>132</v>
      </c>
      <c r="P65" s="1260">
        <f t="shared" si="11"/>
        <v>15.263157894736842</v>
      </c>
      <c r="Q65" s="1260">
        <f t="shared" si="12"/>
        <v>13.383965224206454</v>
      </c>
      <c r="R65" s="1261">
        <f t="shared" si="13"/>
        <v>1.1898177956409157</v>
      </c>
      <c r="S65" s="274"/>
    </row>
    <row r="66" spans="2:32" s="210" customFormat="1" ht="11.25">
      <c r="B66" s="1258" t="str">
        <f t="shared" si="0"/>
        <v/>
      </c>
      <c r="C66" s="1259" t="str">
        <f t="shared" si="1"/>
        <v/>
      </c>
      <c r="D66" s="1260" t="str">
        <f t="shared" si="2"/>
        <v/>
      </c>
      <c r="E66" s="1260" t="str">
        <f t="shared" si="3"/>
        <v/>
      </c>
      <c r="F66" s="1261" t="str">
        <f t="shared" si="14"/>
        <v/>
      </c>
      <c r="G66" s="232"/>
      <c r="H66" s="1258" t="str">
        <f t="shared" si="4"/>
        <v/>
      </c>
      <c r="I66" s="1259" t="str">
        <f t="shared" si="5"/>
        <v/>
      </c>
      <c r="J66" s="1260" t="str">
        <f t="shared" si="6"/>
        <v/>
      </c>
      <c r="K66" s="1260" t="str">
        <f t="shared" si="7"/>
        <v/>
      </c>
      <c r="L66" s="1261" t="str">
        <f t="shared" si="8"/>
        <v/>
      </c>
      <c r="M66" s="199"/>
      <c r="N66" s="1258">
        <f t="shared" si="9"/>
        <v>600</v>
      </c>
      <c r="O66" s="1259">
        <f t="shared" si="10"/>
        <v>132</v>
      </c>
      <c r="P66" s="1260">
        <f t="shared" si="11"/>
        <v>15.789473684210526</v>
      </c>
      <c r="Q66" s="1260">
        <f t="shared" si="12"/>
        <v>13.467615006857743</v>
      </c>
      <c r="R66" s="1261">
        <f t="shared" si="13"/>
        <v>1.1824276229971835</v>
      </c>
      <c r="S66" s="274"/>
    </row>
    <row r="67" spans="2:32" s="210" customFormat="1" ht="11.25">
      <c r="B67" s="1258" t="str">
        <f t="shared" si="0"/>
        <v/>
      </c>
      <c r="C67" s="1259" t="str">
        <f t="shared" si="1"/>
        <v/>
      </c>
      <c r="D67" s="1260" t="str">
        <f t="shared" si="2"/>
        <v/>
      </c>
      <c r="E67" s="1260" t="str">
        <f t="shared" si="3"/>
        <v/>
      </c>
      <c r="F67" s="1261" t="str">
        <f t="shared" si="14"/>
        <v/>
      </c>
      <c r="G67" s="232"/>
      <c r="H67" s="1258" t="str">
        <f t="shared" si="4"/>
        <v/>
      </c>
      <c r="I67" s="1259" t="str">
        <f t="shared" si="5"/>
        <v/>
      </c>
      <c r="J67" s="1260" t="str">
        <f t="shared" si="6"/>
        <v/>
      </c>
      <c r="K67" s="1260" t="str">
        <f t="shared" si="7"/>
        <v/>
      </c>
      <c r="L67" s="1261" t="str">
        <f t="shared" si="8"/>
        <v/>
      </c>
      <c r="M67" s="199"/>
      <c r="N67" s="1258" t="str">
        <f t="shared" si="9"/>
        <v/>
      </c>
      <c r="O67" s="1259" t="str">
        <f t="shared" si="10"/>
        <v/>
      </c>
      <c r="P67" s="1260" t="str">
        <f t="shared" si="11"/>
        <v/>
      </c>
      <c r="Q67" s="1260" t="str">
        <f t="shared" si="12"/>
        <v/>
      </c>
      <c r="R67" s="1261" t="str">
        <f t="shared" si="13"/>
        <v/>
      </c>
      <c r="S67" s="274"/>
    </row>
    <row r="68" spans="2:32" s="210" customFormat="1" ht="11.25">
      <c r="B68" s="1258" t="str">
        <f t="shared" si="0"/>
        <v/>
      </c>
      <c r="C68" s="1259" t="str">
        <f t="shared" si="1"/>
        <v/>
      </c>
      <c r="D68" s="1260" t="str">
        <f t="shared" si="2"/>
        <v/>
      </c>
      <c r="E68" s="1260" t="str">
        <f t="shared" si="3"/>
        <v/>
      </c>
      <c r="F68" s="1261" t="str">
        <f t="shared" si="14"/>
        <v/>
      </c>
      <c r="G68" s="232"/>
      <c r="H68" s="1258" t="str">
        <f t="shared" si="4"/>
        <v/>
      </c>
      <c r="I68" s="1259" t="str">
        <f t="shared" si="5"/>
        <v/>
      </c>
      <c r="J68" s="1260" t="str">
        <f t="shared" si="6"/>
        <v/>
      </c>
      <c r="K68" s="1260" t="str">
        <f t="shared" si="7"/>
        <v/>
      </c>
      <c r="L68" s="1261" t="str">
        <f t="shared" si="8"/>
        <v/>
      </c>
      <c r="M68" s="199"/>
      <c r="N68" s="1258" t="str">
        <f t="shared" si="9"/>
        <v/>
      </c>
      <c r="O68" s="1259" t="str">
        <f t="shared" si="10"/>
        <v/>
      </c>
      <c r="P68" s="1260" t="str">
        <f t="shared" si="11"/>
        <v/>
      </c>
      <c r="Q68" s="1260" t="str">
        <f t="shared" si="12"/>
        <v/>
      </c>
      <c r="R68" s="1261" t="str">
        <f t="shared" si="13"/>
        <v/>
      </c>
      <c r="S68" s="274"/>
    </row>
    <row r="69" spans="2:32" s="210" customFormat="1" ht="11.25">
      <c r="B69" s="1262" t="str">
        <f t="shared" si="0"/>
        <v/>
      </c>
      <c r="C69" s="1263" t="str">
        <f t="shared" si="1"/>
        <v/>
      </c>
      <c r="D69" s="1264" t="str">
        <f t="shared" si="2"/>
        <v/>
      </c>
      <c r="E69" s="1264" t="str">
        <f t="shared" si="3"/>
        <v/>
      </c>
      <c r="F69" s="1265" t="str">
        <f t="shared" si="14"/>
        <v/>
      </c>
      <c r="G69" s="232"/>
      <c r="H69" s="1262" t="str">
        <f t="shared" si="4"/>
        <v/>
      </c>
      <c r="I69" s="1263" t="str">
        <f t="shared" si="5"/>
        <v/>
      </c>
      <c r="J69" s="1264" t="str">
        <f t="shared" si="6"/>
        <v/>
      </c>
      <c r="K69" s="1264" t="str">
        <f t="shared" si="7"/>
        <v/>
      </c>
      <c r="L69" s="1265" t="str">
        <f t="shared" si="8"/>
        <v/>
      </c>
      <c r="M69" s="199"/>
      <c r="N69" s="1262" t="str">
        <f t="shared" si="9"/>
        <v/>
      </c>
      <c r="O69" s="1263" t="str">
        <f t="shared" si="10"/>
        <v/>
      </c>
      <c r="P69" s="1264" t="str">
        <f t="shared" si="11"/>
        <v/>
      </c>
      <c r="Q69" s="1264" t="str">
        <f t="shared" si="12"/>
        <v/>
      </c>
      <c r="R69" s="1265" t="str">
        <f t="shared" si="13"/>
        <v/>
      </c>
      <c r="S69" s="274"/>
    </row>
    <row r="70" spans="2:32" s="199" customFormat="1" ht="3" customHeight="1">
      <c r="B70" s="275"/>
      <c r="C70" s="235"/>
      <c r="D70" s="235"/>
      <c r="E70" s="235"/>
      <c r="F70" s="235"/>
      <c r="G70" s="235"/>
      <c r="H70" s="235"/>
      <c r="I70" s="235"/>
      <c r="J70" s="235"/>
      <c r="K70" s="235"/>
      <c r="L70" s="235"/>
      <c r="M70" s="235"/>
      <c r="N70" s="235"/>
      <c r="O70" s="235"/>
      <c r="P70" s="235"/>
      <c r="Q70" s="235"/>
      <c r="R70" s="276"/>
    </row>
    <row r="71" spans="2:32" s="199" customFormat="1" ht="11.25">
      <c r="B71" s="275"/>
      <c r="C71" s="235"/>
      <c r="D71" s="235"/>
      <c r="E71" s="235"/>
      <c r="F71" s="235"/>
      <c r="G71" s="235"/>
      <c r="H71" s="235"/>
      <c r="I71" s="235"/>
      <c r="J71" s="235"/>
      <c r="K71" s="235"/>
      <c r="L71" s="235"/>
      <c r="M71" s="235"/>
      <c r="N71" s="277"/>
      <c r="O71" s="278"/>
      <c r="P71" s="278"/>
      <c r="Q71" s="278"/>
      <c r="R71" s="279"/>
    </row>
    <row r="72" spans="2:32" s="199" customFormat="1" ht="11.25">
      <c r="B72" s="275"/>
      <c r="C72" s="235"/>
      <c r="D72" s="235"/>
      <c r="E72" s="235"/>
      <c r="F72" s="235"/>
      <c r="G72" s="235"/>
      <c r="H72" s="235"/>
      <c r="I72" s="235"/>
      <c r="J72" s="235"/>
      <c r="K72" s="235"/>
      <c r="L72" s="235"/>
      <c r="M72" s="235"/>
      <c r="N72" s="275"/>
      <c r="O72" s="235"/>
      <c r="P72" s="235"/>
      <c r="Q72" s="235"/>
      <c r="R72" s="276"/>
    </row>
    <row r="73" spans="2:32" s="199" customFormat="1" ht="11.25">
      <c r="B73" s="275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80"/>
      <c r="O73" s="230"/>
      <c r="P73" s="230"/>
      <c r="Q73" s="235"/>
      <c r="R73" s="276"/>
    </row>
    <row r="74" spans="2:32" s="199" customFormat="1" ht="11.25">
      <c r="B74" s="275"/>
      <c r="C74" s="235"/>
      <c r="D74" s="235"/>
      <c r="E74" s="235"/>
      <c r="F74" s="235"/>
      <c r="G74" s="235"/>
      <c r="H74" s="235"/>
      <c r="I74" s="235"/>
      <c r="J74" s="235"/>
      <c r="K74" s="235"/>
      <c r="L74" s="235"/>
      <c r="M74" s="235"/>
      <c r="N74" s="280"/>
      <c r="O74" s="230"/>
      <c r="P74" s="230"/>
      <c r="Q74" s="235"/>
      <c r="R74" s="276"/>
    </row>
    <row r="75" spans="2:32" s="199" customFormat="1" ht="13.5">
      <c r="B75" s="27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80"/>
      <c r="O75" s="281"/>
      <c r="P75" s="281"/>
      <c r="Q75" s="235"/>
      <c r="R75" s="276"/>
    </row>
    <row r="76" spans="2:32" s="199" customFormat="1" ht="13.5">
      <c r="B76" s="275"/>
      <c r="C76" s="235"/>
      <c r="D76" s="235"/>
      <c r="E76" s="235"/>
      <c r="F76" s="235"/>
      <c r="G76" s="235"/>
      <c r="H76" s="235"/>
      <c r="I76" s="235"/>
      <c r="J76" s="235"/>
      <c r="K76" s="235"/>
      <c r="L76" s="235"/>
      <c r="M76" s="235"/>
      <c r="N76" s="280"/>
      <c r="O76" s="281"/>
      <c r="P76" s="281"/>
      <c r="Q76" s="235"/>
      <c r="R76" s="276"/>
    </row>
    <row r="77" spans="2:32" s="199" customFormat="1" ht="11.25">
      <c r="B77" s="275"/>
      <c r="C77" s="235"/>
      <c r="D77" s="235"/>
      <c r="E77" s="235"/>
      <c r="F77" s="235"/>
      <c r="G77" s="235"/>
      <c r="H77" s="235"/>
      <c r="I77" s="235"/>
      <c r="J77" s="235"/>
      <c r="K77" s="235"/>
      <c r="L77" s="235"/>
      <c r="M77" s="235"/>
      <c r="N77" s="280"/>
      <c r="O77" s="230"/>
      <c r="P77" s="230"/>
      <c r="R77" s="202"/>
    </row>
    <row r="78" spans="2:32" s="199" customFormat="1" ht="11.25">
      <c r="B78" s="275"/>
      <c r="C78" s="235"/>
      <c r="D78" s="235"/>
      <c r="E78" s="235"/>
      <c r="F78" s="235"/>
      <c r="G78" s="235"/>
      <c r="H78" s="235"/>
      <c r="I78" s="235"/>
      <c r="J78" s="235"/>
      <c r="K78" s="235"/>
      <c r="L78" s="235"/>
      <c r="M78" s="235"/>
      <c r="N78" s="280"/>
      <c r="O78" s="230"/>
      <c r="P78" s="230"/>
      <c r="Q78" s="235"/>
      <c r="R78" s="276"/>
    </row>
    <row r="79" spans="2:32" s="199" customFormat="1" ht="15">
      <c r="B79" s="275"/>
      <c r="C79" s="235"/>
      <c r="D79" s="235"/>
      <c r="E79" s="235"/>
      <c r="F79" s="235"/>
      <c r="G79" s="235"/>
      <c r="H79" s="235"/>
      <c r="I79" s="235"/>
      <c r="J79" s="235"/>
      <c r="K79" s="235"/>
      <c r="L79" s="235"/>
      <c r="M79" s="235"/>
      <c r="N79" s="280"/>
      <c r="O79" s="230"/>
      <c r="P79" s="230"/>
      <c r="Q79" s="235"/>
      <c r="R79" s="276"/>
      <c r="V79" s="282"/>
      <c r="W79" s="282"/>
      <c r="X79" s="282"/>
      <c r="Y79" s="282"/>
      <c r="Z79" s="282"/>
      <c r="AA79" s="282"/>
      <c r="AB79" s="282"/>
      <c r="AC79" s="282"/>
      <c r="AD79" s="282"/>
      <c r="AE79" s="282"/>
      <c r="AF79" s="282"/>
    </row>
    <row r="80" spans="2:32" s="199" customFormat="1" ht="11.25">
      <c r="B80" s="275"/>
      <c r="C80" s="235"/>
      <c r="D80" s="235"/>
      <c r="E80" s="235"/>
      <c r="F80" s="235"/>
      <c r="G80" s="235"/>
      <c r="H80" s="235"/>
      <c r="I80" s="235"/>
      <c r="J80" s="235"/>
      <c r="K80" s="235"/>
      <c r="L80" s="235"/>
      <c r="M80" s="235"/>
      <c r="N80" s="280"/>
      <c r="O80" s="230"/>
      <c r="P80" s="230"/>
      <c r="Q80" s="235"/>
      <c r="R80" s="276"/>
    </row>
    <row r="81" spans="2:20" s="199" customFormat="1" ht="11.25">
      <c r="B81" s="275"/>
      <c r="C81" s="235"/>
      <c r="D81" s="235"/>
      <c r="E81" s="235"/>
      <c r="F81" s="235"/>
      <c r="G81" s="235"/>
      <c r="H81" s="235"/>
      <c r="I81" s="235"/>
      <c r="J81" s="235"/>
      <c r="K81" s="235"/>
      <c r="L81" s="235"/>
      <c r="M81" s="235"/>
      <c r="N81" s="280"/>
      <c r="O81" s="230"/>
      <c r="P81" s="230"/>
      <c r="Q81" s="235"/>
      <c r="R81" s="276"/>
    </row>
    <row r="82" spans="2:20" s="199" customFormat="1" ht="11.25">
      <c r="B82" s="275"/>
      <c r="C82" s="235"/>
      <c r="D82" s="235"/>
      <c r="E82" s="235"/>
      <c r="F82" s="235"/>
      <c r="G82" s="235"/>
      <c r="H82" s="235"/>
      <c r="I82" s="235"/>
      <c r="J82" s="235"/>
      <c r="K82" s="235"/>
      <c r="L82" s="235"/>
      <c r="M82" s="235"/>
      <c r="N82" s="280"/>
      <c r="O82" s="230"/>
      <c r="P82" s="230"/>
      <c r="Q82" s="235"/>
      <c r="R82" s="276"/>
    </row>
    <row r="83" spans="2:20" s="199" customFormat="1" ht="11.25">
      <c r="B83" s="275"/>
      <c r="C83" s="235"/>
      <c r="D83" s="235"/>
      <c r="E83" s="235"/>
      <c r="F83" s="235"/>
      <c r="G83" s="235"/>
      <c r="H83" s="235"/>
      <c r="I83" s="235"/>
      <c r="J83" s="235"/>
      <c r="K83" s="235"/>
      <c r="L83" s="235"/>
      <c r="M83" s="235"/>
      <c r="N83" s="280"/>
      <c r="O83" s="230"/>
      <c r="P83" s="230"/>
      <c r="Q83" s="235"/>
      <c r="R83" s="276"/>
    </row>
    <row r="84" spans="2:20" s="199" customFormat="1" ht="11.25">
      <c r="B84" s="275"/>
      <c r="C84" s="235"/>
      <c r="D84" s="235"/>
      <c r="E84" s="235"/>
      <c r="F84" s="235"/>
      <c r="G84" s="235"/>
      <c r="H84" s="235"/>
      <c r="I84" s="235"/>
      <c r="J84" s="235"/>
      <c r="K84" s="235"/>
      <c r="L84" s="235"/>
      <c r="M84" s="235"/>
      <c r="N84" s="280"/>
      <c r="O84" s="230"/>
      <c r="P84" s="230"/>
      <c r="Q84" s="235"/>
      <c r="R84" s="276"/>
    </row>
    <row r="85" spans="2:20" s="199" customFormat="1" ht="13.5">
      <c r="B85" s="275"/>
      <c r="C85" s="235"/>
      <c r="D85" s="235"/>
      <c r="E85" s="235"/>
      <c r="F85" s="235"/>
      <c r="G85" s="235"/>
      <c r="H85" s="235"/>
      <c r="I85" s="235"/>
      <c r="J85" s="235"/>
      <c r="K85" s="235"/>
      <c r="L85" s="235"/>
      <c r="M85" s="235"/>
      <c r="N85" s="280"/>
      <c r="O85" s="230"/>
      <c r="P85" s="230"/>
      <c r="Q85" s="281"/>
      <c r="R85" s="276"/>
    </row>
    <row r="86" spans="2:20" s="199" customFormat="1" ht="13.5">
      <c r="B86" s="283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5"/>
      <c r="O86" s="286"/>
      <c r="P86" s="286"/>
      <c r="Q86" s="287"/>
      <c r="R86" s="288"/>
      <c r="T86" s="289"/>
    </row>
    <row r="87" spans="2:20" s="199" customFormat="1" ht="13.5">
      <c r="B87" s="235"/>
      <c r="C87" s="235"/>
      <c r="D87" s="235"/>
      <c r="E87" s="235"/>
      <c r="F87" s="235"/>
      <c r="G87" s="235"/>
      <c r="H87" s="235"/>
      <c r="I87" s="235"/>
      <c r="J87" s="235"/>
      <c r="K87" s="235"/>
      <c r="L87" s="235"/>
      <c r="M87" s="235"/>
      <c r="N87" s="230"/>
      <c r="O87" s="230"/>
      <c r="P87" s="230"/>
      <c r="Q87" s="281"/>
      <c r="R87" s="235"/>
      <c r="T87" s="289"/>
    </row>
    <row r="88" spans="2:20" s="199" customFormat="1"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</row>
    <row r="91" spans="2:20" ht="6.95" customHeight="1"/>
    <row r="92" spans="2:20" s="177" customFormat="1" ht="15.75">
      <c r="B92" s="4374" t="s">
        <v>854</v>
      </c>
      <c r="C92" s="4375"/>
      <c r="D92" s="4375"/>
      <c r="E92" s="4375"/>
      <c r="F92" s="4375"/>
      <c r="G92" s="4375"/>
      <c r="H92" s="4375"/>
      <c r="I92" s="4375"/>
      <c r="J92" s="4375"/>
      <c r="K92" s="4375"/>
      <c r="L92" s="4375"/>
      <c r="M92" s="4375"/>
      <c r="N92" s="4375"/>
      <c r="O92" s="4375"/>
      <c r="P92" s="4375"/>
      <c r="Q92" s="4375"/>
      <c r="R92" s="4376"/>
    </row>
    <row r="93" spans="2:20" ht="6.95" customHeight="1"/>
    <row r="94" spans="2:20">
      <c r="B94" s="290" t="s">
        <v>156</v>
      </c>
      <c r="C94" s="291"/>
      <c r="D94" s="292"/>
      <c r="E94" s="1034" t="str">
        <f>Details!B9</f>
        <v>Morowali Utara</v>
      </c>
      <c r="F94" s="291"/>
      <c r="G94" s="291"/>
      <c r="H94" s="291"/>
      <c r="I94" s="291"/>
      <c r="J94" s="291"/>
      <c r="K94" s="291"/>
      <c r="L94" s="291"/>
      <c r="M94" s="291"/>
      <c r="N94" s="291"/>
      <c r="O94" s="291"/>
      <c r="P94" s="1036"/>
      <c r="Q94" s="1036"/>
      <c r="R94" s="1037"/>
    </row>
    <row r="95" spans="2:20">
      <c r="B95" s="164" t="s">
        <v>155</v>
      </c>
      <c r="C95" s="165"/>
      <c r="D95" s="178"/>
      <c r="E95" s="1035" t="str">
        <f>Details!B1</f>
        <v>BH-05_UDS-01</v>
      </c>
      <c r="F95" s="165"/>
      <c r="G95" s="165"/>
      <c r="H95" s="165"/>
      <c r="I95" s="165"/>
      <c r="J95" s="164" t="s">
        <v>154</v>
      </c>
      <c r="K95" s="165"/>
      <c r="L95" s="165"/>
      <c r="M95" s="178"/>
      <c r="N95" s="4377"/>
      <c r="O95" s="4378"/>
      <c r="P95" s="4378"/>
      <c r="Q95" s="664"/>
      <c r="R95" s="668"/>
    </row>
    <row r="96" spans="2:20" ht="15.75" customHeight="1">
      <c r="B96" s="181" t="s">
        <v>153</v>
      </c>
      <c r="C96" s="182"/>
      <c r="D96" s="183"/>
      <c r="E96" s="665" t="str">
        <f>Details!B1</f>
        <v>BH-05_UDS-01</v>
      </c>
      <c r="F96" s="666"/>
      <c r="G96" s="666"/>
      <c r="H96" s="666"/>
      <c r="I96" s="666"/>
      <c r="J96" s="181" t="s">
        <v>152</v>
      </c>
      <c r="K96" s="182"/>
      <c r="L96" s="182"/>
      <c r="M96" s="183"/>
      <c r="N96" s="4379">
        <v>0</v>
      </c>
      <c r="O96" s="4380"/>
      <c r="P96" s="4380"/>
      <c r="Q96" s="182"/>
      <c r="R96" s="183"/>
    </row>
    <row r="97" spans="2:18">
      <c r="B97" s="186" t="s">
        <v>151</v>
      </c>
      <c r="C97" s="187"/>
      <c r="D97" s="188"/>
      <c r="E97" s="1033" t="str">
        <f>Details!B13</f>
        <v>0,00-0,50</v>
      </c>
      <c r="F97" s="187"/>
      <c r="G97" s="187"/>
      <c r="H97" s="187" t="s">
        <v>68</v>
      </c>
      <c r="I97" s="187"/>
      <c r="J97" s="189" t="s">
        <v>150</v>
      </c>
      <c r="K97" s="187"/>
      <c r="L97" s="187"/>
      <c r="M97" s="188"/>
      <c r="N97" s="669" t="str">
        <f>Details!B22</f>
        <v>AS Sumartadji</v>
      </c>
      <c r="O97" s="667"/>
      <c r="P97" s="667"/>
      <c r="Q97" s="667"/>
      <c r="R97" s="670"/>
    </row>
    <row r="98" spans="2:18" ht="7.5" customHeight="1"/>
    <row r="99" spans="2:18" ht="12" customHeight="1">
      <c r="B99" s="293" t="s">
        <v>149</v>
      </c>
      <c r="C99" s="254"/>
      <c r="D99" s="254"/>
      <c r="E99" s="254"/>
      <c r="F99" s="254"/>
      <c r="G99" s="254"/>
      <c r="H99" s="254"/>
      <c r="I99" s="254"/>
      <c r="J99" s="254"/>
      <c r="K99" s="254"/>
      <c r="L99" s="254"/>
      <c r="M99" s="254"/>
      <c r="N99" s="294"/>
      <c r="O99" s="295"/>
      <c r="P99" s="296"/>
      <c r="Q99" s="297"/>
      <c r="R99" s="297"/>
    </row>
    <row r="100" spans="2:18" s="199" customFormat="1" ht="12" customHeight="1">
      <c r="B100" s="194" t="s">
        <v>148</v>
      </c>
      <c r="C100" s="195"/>
      <c r="D100" s="195"/>
      <c r="E100" s="195"/>
      <c r="F100" s="195"/>
      <c r="G100" s="195"/>
      <c r="H100" s="195"/>
      <c r="I100" s="298">
        <v>1</v>
      </c>
      <c r="J100" s="299"/>
      <c r="K100" s="300">
        <v>2</v>
      </c>
      <c r="L100" s="301"/>
      <c r="M100" s="301"/>
      <c r="N100" s="302">
        <v>3</v>
      </c>
      <c r="O100" s="303"/>
      <c r="P100" s="193"/>
      <c r="Q100" s="304"/>
      <c r="R100" s="304"/>
    </row>
    <row r="101" spans="2:18" s="199" customFormat="1" ht="3" customHeight="1">
      <c r="I101" s="305"/>
      <c r="J101" s="305"/>
      <c r="K101" s="306"/>
      <c r="L101" s="306"/>
      <c r="M101" s="307"/>
      <c r="N101" s="308"/>
      <c r="O101" s="309"/>
      <c r="P101" s="193"/>
      <c r="Q101" s="304"/>
      <c r="R101" s="304"/>
    </row>
    <row r="102" spans="2:18" s="199" customFormat="1" ht="12" customHeight="1">
      <c r="B102" s="290" t="s">
        <v>147</v>
      </c>
      <c r="C102" s="291"/>
      <c r="D102" s="291"/>
      <c r="E102" s="291"/>
      <c r="F102" s="310"/>
      <c r="G102" s="311" t="s">
        <v>104</v>
      </c>
      <c r="H102" s="312"/>
      <c r="I102" s="651">
        <v>3.8</v>
      </c>
      <c r="J102" s="652"/>
      <c r="K102" s="313">
        <f>I102</f>
        <v>3.8</v>
      </c>
      <c r="L102" s="314"/>
      <c r="M102" s="314"/>
      <c r="N102" s="313">
        <f>K102</f>
        <v>3.8</v>
      </c>
      <c r="O102" s="315"/>
      <c r="P102" s="316"/>
      <c r="Q102" s="304"/>
      <c r="R102" s="304"/>
    </row>
    <row r="103" spans="2:18" s="199" customFormat="1" ht="12" customHeight="1">
      <c r="B103" s="184" t="s">
        <v>146</v>
      </c>
      <c r="C103" s="185"/>
      <c r="D103" s="185"/>
      <c r="E103" s="185"/>
      <c r="F103" s="317"/>
      <c r="G103" s="318" t="s">
        <v>104</v>
      </c>
      <c r="H103" s="319"/>
      <c r="I103" s="653">
        <v>7.6</v>
      </c>
      <c r="J103" s="654"/>
      <c r="K103" s="320">
        <f>I103</f>
        <v>7.6</v>
      </c>
      <c r="L103" s="321"/>
      <c r="M103" s="321"/>
      <c r="N103" s="320">
        <f>K103</f>
        <v>7.6</v>
      </c>
      <c r="O103" s="322"/>
      <c r="P103" s="316"/>
      <c r="Q103" s="304"/>
      <c r="R103" s="304"/>
    </row>
    <row r="104" spans="2:18" s="199" customFormat="1" ht="12" customHeight="1">
      <c r="B104" s="189" t="s">
        <v>145</v>
      </c>
      <c r="C104" s="187"/>
      <c r="D104" s="187"/>
      <c r="E104" s="187"/>
      <c r="F104" s="323"/>
      <c r="G104" s="324" t="s">
        <v>106</v>
      </c>
      <c r="H104" s="325"/>
      <c r="I104" s="4381">
        <f>PI()*(I102/2)^2</f>
        <v>11.341149479459153</v>
      </c>
      <c r="J104" s="4382"/>
      <c r="K104" s="4381">
        <f>PI()*(K102/2)^2</f>
        <v>11.341149479459153</v>
      </c>
      <c r="L104" s="4383"/>
      <c r="M104" s="4382"/>
      <c r="N104" s="4381">
        <f>PI()*(N102/2)^2</f>
        <v>11.341149479459153</v>
      </c>
      <c r="O104" s="4382"/>
      <c r="P104" s="316"/>
      <c r="Q104" s="304"/>
      <c r="R104" s="304"/>
    </row>
    <row r="105" spans="2:18" s="199" customFormat="1" ht="3" customHeight="1">
      <c r="B105" s="61"/>
      <c r="C105" s="61"/>
      <c r="D105" s="61"/>
      <c r="E105" s="61"/>
      <c r="G105" s="232"/>
      <c r="H105" s="233"/>
      <c r="I105" s="326"/>
      <c r="J105" s="326"/>
      <c r="K105" s="327"/>
      <c r="L105" s="327"/>
      <c r="M105" s="327"/>
      <c r="N105" s="328"/>
      <c r="O105" s="328"/>
      <c r="P105" s="329"/>
      <c r="Q105" s="304"/>
      <c r="R105" s="304"/>
    </row>
    <row r="106" spans="2:18" s="199" customFormat="1" ht="12" customHeight="1">
      <c r="B106" s="290" t="s">
        <v>144</v>
      </c>
      <c r="C106" s="291"/>
      <c r="D106" s="291"/>
      <c r="E106" s="291"/>
      <c r="F106" s="310"/>
      <c r="G106" s="311" t="s">
        <v>143</v>
      </c>
      <c r="H106" s="312"/>
      <c r="I106" s="655">
        <v>2E-3</v>
      </c>
      <c r="J106" s="652"/>
      <c r="K106" s="330">
        <f>I106</f>
        <v>2E-3</v>
      </c>
      <c r="L106" s="331"/>
      <c r="M106" s="331"/>
      <c r="N106" s="330">
        <f>K106</f>
        <v>2E-3</v>
      </c>
      <c r="O106" s="332"/>
      <c r="P106" s="329"/>
      <c r="Q106" s="304"/>
      <c r="R106" s="304"/>
    </row>
    <row r="107" spans="2:18" s="199" customFormat="1" ht="12" customHeight="1">
      <c r="B107" s="184" t="s">
        <v>142</v>
      </c>
      <c r="C107" s="185"/>
      <c r="D107" s="185"/>
      <c r="E107" s="185"/>
      <c r="F107" s="317"/>
      <c r="G107" s="318" t="s">
        <v>141</v>
      </c>
      <c r="H107" s="319"/>
      <c r="I107" s="656">
        <v>0.14000000000000001</v>
      </c>
      <c r="J107" s="654"/>
      <c r="K107" s="333">
        <f>I107</f>
        <v>0.14000000000000001</v>
      </c>
      <c r="L107" s="334"/>
      <c r="M107" s="334"/>
      <c r="N107" s="333">
        <f>K107</f>
        <v>0.14000000000000001</v>
      </c>
      <c r="O107" s="335"/>
      <c r="P107" s="193"/>
      <c r="Q107" s="304"/>
      <c r="R107" s="304"/>
    </row>
    <row r="108" spans="2:18" s="199" customFormat="1" ht="12" customHeight="1">
      <c r="B108" s="189" t="s">
        <v>140</v>
      </c>
      <c r="C108" s="187"/>
      <c r="D108" s="187"/>
      <c r="E108" s="187"/>
      <c r="F108" s="323"/>
      <c r="G108" s="324" t="s">
        <v>105</v>
      </c>
      <c r="H108" s="325"/>
      <c r="I108" s="657">
        <v>0.12064</v>
      </c>
      <c r="J108" s="658"/>
      <c r="K108" s="336">
        <f>I108</f>
        <v>0.12064</v>
      </c>
      <c r="L108" s="337"/>
      <c r="M108" s="337"/>
      <c r="N108" s="336">
        <f>K108</f>
        <v>0.12064</v>
      </c>
      <c r="O108" s="338"/>
      <c r="P108" s="193"/>
      <c r="Q108" s="304"/>
      <c r="R108" s="304"/>
    </row>
    <row r="109" spans="2:18" s="199" customFormat="1" ht="3" customHeight="1">
      <c r="B109" s="61"/>
      <c r="C109" s="61"/>
      <c r="D109" s="61"/>
      <c r="E109" s="61"/>
      <c r="G109" s="232"/>
      <c r="H109" s="233"/>
      <c r="I109" s="326"/>
      <c r="J109" s="326"/>
      <c r="K109" s="327"/>
      <c r="L109" s="327"/>
      <c r="M109" s="327"/>
      <c r="N109" s="328"/>
      <c r="O109" s="328"/>
      <c r="P109" s="193"/>
      <c r="Q109" s="304"/>
      <c r="R109" s="304"/>
    </row>
    <row r="110" spans="2:18" s="199" customFormat="1" ht="12" customHeight="1">
      <c r="B110" s="290" t="s">
        <v>127</v>
      </c>
      <c r="C110" s="291"/>
      <c r="D110" s="291"/>
      <c r="E110" s="291"/>
      <c r="F110" s="310"/>
      <c r="G110" s="311" t="s">
        <v>137</v>
      </c>
      <c r="H110" s="312"/>
      <c r="I110" s="659">
        <v>0.5</v>
      </c>
      <c r="J110" s="660"/>
      <c r="K110" s="659">
        <v>1</v>
      </c>
      <c r="L110" s="661"/>
      <c r="M110" s="661"/>
      <c r="N110" s="662">
        <v>2</v>
      </c>
      <c r="O110" s="663"/>
      <c r="P110" s="316"/>
      <c r="Q110" s="304"/>
      <c r="R110" s="304"/>
    </row>
    <row r="111" spans="2:18" s="199" customFormat="1" ht="12" customHeight="1">
      <c r="B111" s="184" t="s">
        <v>139</v>
      </c>
      <c r="C111" s="185"/>
      <c r="D111" s="185"/>
      <c r="E111" s="185"/>
      <c r="F111" s="317"/>
      <c r="G111" s="318" t="s">
        <v>137</v>
      </c>
      <c r="H111" s="319"/>
      <c r="I111" s="333">
        <f>MAX(F36:F69)</f>
        <v>0.55823796538375547</v>
      </c>
      <c r="J111" s="339"/>
      <c r="K111" s="333">
        <f>MAX(L36:L69)</f>
        <v>0.74797504939594561</v>
      </c>
      <c r="L111" s="340"/>
      <c r="M111" s="334"/>
      <c r="N111" s="333">
        <f>MAX(R36:R69)</f>
        <v>1.2174749568985204</v>
      </c>
      <c r="O111" s="341"/>
      <c r="P111" s="316"/>
      <c r="Q111" s="304"/>
      <c r="R111" s="304"/>
    </row>
    <row r="112" spans="2:18" s="199" customFormat="1" ht="12" customHeight="1">
      <c r="B112" s="342" t="s">
        <v>138</v>
      </c>
      <c r="C112" s="343"/>
      <c r="D112" s="343"/>
      <c r="E112" s="343"/>
      <c r="F112" s="344"/>
      <c r="G112" s="345" t="s">
        <v>137</v>
      </c>
      <c r="H112" s="346"/>
      <c r="I112" s="336">
        <f>I111+I110</f>
        <v>1.0582379653837555</v>
      </c>
      <c r="J112" s="338"/>
      <c r="K112" s="336">
        <f>K111+K110</f>
        <v>1.7479750493959456</v>
      </c>
      <c r="L112" s="337"/>
      <c r="M112" s="347"/>
      <c r="N112" s="348">
        <f>N111+N110</f>
        <v>3.2174749568985206</v>
      </c>
      <c r="O112" s="349"/>
      <c r="P112" s="316"/>
      <c r="Q112" s="304"/>
      <c r="R112" s="304"/>
    </row>
    <row r="113" spans="2:30" s="199" customFormat="1" ht="12" customHeight="1">
      <c r="B113" s="61"/>
      <c r="C113" s="61"/>
      <c r="D113" s="61"/>
      <c r="E113" s="61"/>
      <c r="G113" s="232"/>
      <c r="H113" s="233"/>
      <c r="I113" s="350"/>
      <c r="J113" s="350"/>
      <c r="K113" s="350"/>
      <c r="L113" s="351"/>
      <c r="M113" s="352"/>
      <c r="N113" s="353"/>
      <c r="O113" s="353"/>
      <c r="P113" s="354"/>
      <c r="Q113" s="304"/>
      <c r="R113" s="304"/>
    </row>
    <row r="114" spans="2:30" ht="12" customHeight="1">
      <c r="B114" s="253" t="s">
        <v>136</v>
      </c>
      <c r="C114" s="355"/>
      <c r="D114" s="356"/>
      <c r="E114" s="253" t="s">
        <v>135</v>
      </c>
      <c r="F114" s="355"/>
      <c r="G114" s="355"/>
      <c r="H114" s="255"/>
      <c r="I114" s="253" t="s">
        <v>134</v>
      </c>
      <c r="J114" s="355"/>
      <c r="K114" s="356"/>
      <c r="L114" s="357" t="s">
        <v>133</v>
      </c>
      <c r="M114" s="358"/>
      <c r="N114" s="359"/>
      <c r="O114" s="358"/>
      <c r="P114" s="360">
        <v>1</v>
      </c>
      <c r="Q114" s="361">
        <v>2</v>
      </c>
      <c r="R114" s="360">
        <v>3</v>
      </c>
    </row>
    <row r="115" spans="2:30" s="199" customFormat="1" ht="11.25">
      <c r="B115" s="362" t="s">
        <v>132</v>
      </c>
      <c r="C115" s="363" t="s">
        <v>131</v>
      </c>
      <c r="D115" s="364"/>
      <c r="E115" s="365" t="s">
        <v>132</v>
      </c>
      <c r="F115" s="363" t="s">
        <v>131</v>
      </c>
      <c r="G115" s="366"/>
      <c r="H115" s="364"/>
      <c r="I115" s="362" t="s">
        <v>132</v>
      </c>
      <c r="J115" s="363" t="s">
        <v>131</v>
      </c>
      <c r="K115" s="364"/>
      <c r="L115" s="367" t="s">
        <v>130</v>
      </c>
      <c r="M115" s="368"/>
      <c r="N115" s="368"/>
      <c r="O115" s="369"/>
      <c r="P115" s="370">
        <f>I111</f>
        <v>0.55823796538375547</v>
      </c>
      <c r="Q115" s="370">
        <f>K111</f>
        <v>0.74797504939594561</v>
      </c>
      <c r="R115" s="371">
        <f>N111</f>
        <v>1.2174749568985204</v>
      </c>
    </row>
    <row r="116" spans="2:30" s="199" customFormat="1" ht="11.25">
      <c r="B116" s="372" t="s">
        <v>129</v>
      </c>
      <c r="C116" s="280" t="s">
        <v>128</v>
      </c>
      <c r="D116" s="231"/>
      <c r="E116" s="373" t="s">
        <v>129</v>
      </c>
      <c r="F116" s="280" t="s">
        <v>128</v>
      </c>
      <c r="G116" s="230"/>
      <c r="H116" s="231"/>
      <c r="I116" s="372" t="s">
        <v>129</v>
      </c>
      <c r="J116" s="280" t="s">
        <v>128</v>
      </c>
      <c r="K116" s="231"/>
      <c r="L116" s="374" t="s">
        <v>127</v>
      </c>
      <c r="M116" s="375"/>
      <c r="N116" s="375"/>
      <c r="O116" s="376"/>
      <c r="P116" s="377">
        <f>I110</f>
        <v>0.5</v>
      </c>
      <c r="Q116" s="377">
        <f>K110</f>
        <v>1</v>
      </c>
      <c r="R116" s="378">
        <f>N110</f>
        <v>2</v>
      </c>
    </row>
    <row r="117" spans="2:30" s="199" customFormat="1" ht="11.25">
      <c r="B117" s="379" t="s">
        <v>126</v>
      </c>
      <c r="C117" s="285"/>
      <c r="D117" s="380"/>
      <c r="E117" s="381" t="s">
        <v>126</v>
      </c>
      <c r="F117" s="382"/>
      <c r="G117" s="286"/>
      <c r="H117" s="380"/>
      <c r="I117" s="379" t="s">
        <v>126</v>
      </c>
      <c r="J117" s="285"/>
      <c r="K117" s="380"/>
      <c r="L117" s="374" t="s">
        <v>125</v>
      </c>
      <c r="M117" s="375"/>
      <c r="N117" s="375"/>
      <c r="O117" s="376"/>
      <c r="P117" s="377">
        <f>I112</f>
        <v>1.0582379653837555</v>
      </c>
      <c r="Q117" s="377">
        <f>K112</f>
        <v>1.7479750493959456</v>
      </c>
      <c r="R117" s="378">
        <f>N112</f>
        <v>3.2174749568985206</v>
      </c>
    </row>
    <row r="118" spans="2:30" ht="3" customHeight="1">
      <c r="B118" s="383"/>
      <c r="C118" s="383"/>
      <c r="D118" s="384"/>
      <c r="E118" s="385"/>
      <c r="F118" s="385"/>
      <c r="G118" s="386"/>
      <c r="H118" s="386"/>
      <c r="I118" s="387"/>
      <c r="J118" s="387"/>
      <c r="K118" s="388"/>
      <c r="L118" s="389"/>
      <c r="M118" s="390"/>
      <c r="N118" s="390"/>
      <c r="O118" s="391"/>
      <c r="P118" s="392"/>
      <c r="Q118" s="392"/>
      <c r="R118" s="393"/>
    </row>
    <row r="119" spans="2:30" ht="12" customHeight="1">
      <c r="B119" s="394" t="s">
        <v>124</v>
      </c>
      <c r="C119" s="395" t="s">
        <v>123</v>
      </c>
      <c r="D119" s="396"/>
      <c r="E119" s="397" t="s">
        <v>122</v>
      </c>
      <c r="F119" s="398" t="s">
        <v>107</v>
      </c>
      <c r="G119" s="399"/>
      <c r="H119" s="400"/>
      <c r="I119" s="394" t="s">
        <v>121</v>
      </c>
      <c r="J119" s="401" t="s">
        <v>120</v>
      </c>
      <c r="K119" s="402"/>
      <c r="L119" s="403" t="s">
        <v>119</v>
      </c>
      <c r="M119" s="390"/>
      <c r="N119" s="390"/>
      <c r="O119" s="391"/>
      <c r="P119" s="377">
        <f>P115/2</f>
        <v>0.27911898269187774</v>
      </c>
      <c r="Q119" s="377">
        <f>Q115/2</f>
        <v>0.37398752469797281</v>
      </c>
      <c r="R119" s="378">
        <f>R115/2</f>
        <v>0.60873747844926018</v>
      </c>
    </row>
    <row r="120" spans="2:30" ht="12" customHeight="1">
      <c r="B120" s="404">
        <v>0</v>
      </c>
      <c r="C120" s="1025" cm="1">
        <f t="array" ref="C120:C146">_xlfn._xlws.FILTER(T120:T153, T120:T153&lt;&gt;"")</f>
        <v>0</v>
      </c>
      <c r="D120" s="405"/>
      <c r="E120" s="406">
        <v>0</v>
      </c>
      <c r="F120" s="1113" cm="1">
        <f t="array" ref="F120:F148">_xlfn._xlws.FILTER(U120:U153, U120:U153&lt;&gt;"")</f>
        <v>0</v>
      </c>
      <c r="G120" s="407"/>
      <c r="H120" s="408"/>
      <c r="I120" s="404">
        <v>0</v>
      </c>
      <c r="J120" s="910" cm="1">
        <f t="array" ref="J120:J150">_xlfn._xlws.FILTER(V120:V153, V120:V153&lt;&gt;"")</f>
        <v>0</v>
      </c>
      <c r="K120" s="409"/>
      <c r="L120" s="410" t="s">
        <v>118</v>
      </c>
      <c r="M120" s="411"/>
      <c r="N120" s="411"/>
      <c r="O120" s="412"/>
      <c r="P120" s="413">
        <f>P119+P116</f>
        <v>0.77911898269187774</v>
      </c>
      <c r="Q120" s="413">
        <f>Q119+Q116</f>
        <v>1.3739875246979727</v>
      </c>
      <c r="R120" s="414">
        <f>R119+R116</f>
        <v>2.6087374784492603</v>
      </c>
      <c r="T120" s="1266">
        <v>0</v>
      </c>
      <c r="U120" s="1266">
        <v>0</v>
      </c>
      <c r="V120" s="1266">
        <v>0</v>
      </c>
    </row>
    <row r="121" spans="2:30" ht="12" customHeight="1">
      <c r="B121" s="415">
        <f t="shared" ref="B121:B153" si="15">IF(OR(C121="",),"",B120+20)</f>
        <v>20</v>
      </c>
      <c r="C121" s="416">
        <v>6</v>
      </c>
      <c r="D121" s="405"/>
      <c r="E121" s="415">
        <f t="shared" ref="E121:E153" si="16">IF(OR(F121="",),"",E120+20)</f>
        <v>20</v>
      </c>
      <c r="F121" s="448">
        <v>15</v>
      </c>
      <c r="G121" s="417"/>
      <c r="H121" s="418"/>
      <c r="I121" s="415">
        <f t="shared" ref="I121:I153" si="17">IF(OR(J121="",),"",I120+20)</f>
        <v>20</v>
      </c>
      <c r="J121" s="911">
        <v>33</v>
      </c>
      <c r="K121" s="409"/>
      <c r="L121" s="420" t="s">
        <v>219</v>
      </c>
      <c r="M121" s="421"/>
      <c r="N121" s="421"/>
      <c r="O121" s="422"/>
      <c r="P121" s="423">
        <f>(ATAN((Q119-P119)/(Q120-P120)))*60</f>
        <v>9.488784533172808</v>
      </c>
      <c r="Q121" s="424"/>
      <c r="R121" s="425"/>
      <c r="T121" s="1266" cm="1">
        <f t="array" ref="T121:T146">_xlfn._xlws.FILTER(Data!V3:V36,Data!V3:V36,"&lt;&gt;")</f>
        <v>6</v>
      </c>
      <c r="U121" s="1266" cm="1">
        <f t="array" ref="U121:U148">_xlfn._xlws.FILTER(Data!W3:W36,Data!W3:W36,"&lt;&gt;")</f>
        <v>15</v>
      </c>
      <c r="V121" s="1266" cm="1">
        <f t="array" ref="V121:V150">_xlfn._xlws.FILTER(Data!X3:X36,Data!X3:X36,"&lt;&gt;")</f>
        <v>33</v>
      </c>
      <c r="W121" s="426"/>
      <c r="Y121" s="427"/>
      <c r="Z121" s="427"/>
    </row>
    <row r="122" spans="2:30" ht="12" customHeight="1">
      <c r="B122" s="415">
        <f t="shared" si="15"/>
        <v>40</v>
      </c>
      <c r="C122" s="416">
        <v>11</v>
      </c>
      <c r="D122" s="405"/>
      <c r="E122" s="415">
        <f t="shared" si="16"/>
        <v>40</v>
      </c>
      <c r="F122" s="428">
        <v>25</v>
      </c>
      <c r="G122" s="417"/>
      <c r="H122" s="418"/>
      <c r="I122" s="415">
        <f t="shared" si="17"/>
        <v>40</v>
      </c>
      <c r="J122" s="911">
        <v>45</v>
      </c>
      <c r="K122" s="409"/>
      <c r="L122" s="429"/>
      <c r="M122" s="411"/>
      <c r="N122" s="411"/>
      <c r="O122" s="412"/>
      <c r="P122" s="430"/>
      <c r="Q122" s="423">
        <f>(ATAN((R119-Q119)/(R120-Q120)))*60</f>
        <v>11.272632596001429</v>
      </c>
      <c r="R122" s="424"/>
      <c r="T122" s="1266">
        <v>11</v>
      </c>
      <c r="U122" s="1266">
        <v>25</v>
      </c>
      <c r="V122" s="1266">
        <v>45</v>
      </c>
      <c r="W122" s="426"/>
      <c r="Y122" s="427"/>
      <c r="Z122" s="427"/>
    </row>
    <row r="123" spans="2:30" ht="12" customHeight="1">
      <c r="B123" s="415">
        <f t="shared" si="15"/>
        <v>60</v>
      </c>
      <c r="C123" s="416">
        <v>16</v>
      </c>
      <c r="D123" s="405"/>
      <c r="E123" s="415">
        <f t="shared" si="16"/>
        <v>60</v>
      </c>
      <c r="F123" s="428">
        <v>33</v>
      </c>
      <c r="G123" s="417"/>
      <c r="H123" s="418"/>
      <c r="I123" s="415">
        <f t="shared" si="17"/>
        <v>60</v>
      </c>
      <c r="J123" s="911">
        <v>55</v>
      </c>
      <c r="K123" s="409"/>
      <c r="L123" s="4367" t="s">
        <v>220</v>
      </c>
      <c r="M123" s="4368"/>
      <c r="N123" s="4368"/>
      <c r="O123" s="4369"/>
      <c r="P123" s="431">
        <f>P119/(COS((P121)/60))</f>
        <v>0.28264615284582395</v>
      </c>
      <c r="Q123" s="431">
        <f>Q119/(COS((P121)/60))</f>
        <v>0.37871352943738923</v>
      </c>
      <c r="R123" s="432"/>
      <c r="T123" s="1266">
        <v>16</v>
      </c>
      <c r="U123" s="1266">
        <v>33</v>
      </c>
      <c r="V123" s="1266">
        <v>55</v>
      </c>
      <c r="W123" s="426"/>
      <c r="Y123" s="427"/>
      <c r="Z123" s="427"/>
    </row>
    <row r="124" spans="2:30" ht="12" customHeight="1">
      <c r="B124" s="415">
        <f t="shared" si="15"/>
        <v>80</v>
      </c>
      <c r="C124" s="416">
        <v>21</v>
      </c>
      <c r="D124" s="405"/>
      <c r="E124" s="415">
        <f t="shared" si="16"/>
        <v>80</v>
      </c>
      <c r="F124" s="428">
        <v>38</v>
      </c>
      <c r="G124" s="417"/>
      <c r="H124" s="418"/>
      <c r="I124" s="415">
        <f t="shared" si="17"/>
        <v>80</v>
      </c>
      <c r="J124" s="911">
        <v>63</v>
      </c>
      <c r="K124" s="409"/>
      <c r="L124" s="4370"/>
      <c r="M124" s="4371"/>
      <c r="N124" s="4371"/>
      <c r="O124" s="4372"/>
      <c r="P124" s="433"/>
      <c r="Q124" s="431">
        <f>Q119/(COS((Q122)/60))</f>
        <v>0.38068649152559414</v>
      </c>
      <c r="R124" s="431">
        <f>R119/(COS((Q122)/60))</f>
        <v>0.61964135065236292</v>
      </c>
      <c r="T124" s="1266">
        <v>21</v>
      </c>
      <c r="U124" s="1266">
        <v>38</v>
      </c>
      <c r="V124" s="1266">
        <v>63</v>
      </c>
      <c r="W124" s="426"/>
      <c r="Y124" s="427"/>
      <c r="Z124" s="427"/>
    </row>
    <row r="125" spans="2:30" ht="12" customHeight="1">
      <c r="B125" s="415">
        <f t="shared" si="15"/>
        <v>100</v>
      </c>
      <c r="C125" s="416">
        <v>25</v>
      </c>
      <c r="D125" s="405"/>
      <c r="E125" s="415">
        <f t="shared" si="16"/>
        <v>100</v>
      </c>
      <c r="F125" s="428">
        <v>43</v>
      </c>
      <c r="G125" s="417"/>
      <c r="H125" s="418"/>
      <c r="I125" s="415">
        <f t="shared" si="17"/>
        <v>100</v>
      </c>
      <c r="J125" s="911">
        <v>69</v>
      </c>
      <c r="K125" s="409"/>
      <c r="L125" s="390"/>
      <c r="M125" s="390"/>
      <c r="N125" s="390"/>
      <c r="O125" s="391"/>
      <c r="P125" s="434"/>
      <c r="Q125" s="434"/>
      <c r="R125" s="434"/>
      <c r="T125" s="1266">
        <v>25</v>
      </c>
      <c r="U125" s="1266">
        <v>43</v>
      </c>
      <c r="V125" s="1266">
        <v>69</v>
      </c>
      <c r="W125" s="426"/>
      <c r="X125" s="199"/>
      <c r="Y125" s="4373" t="s">
        <v>848</v>
      </c>
      <c r="Z125" s="4373"/>
      <c r="AA125" s="4373" t="s">
        <v>849</v>
      </c>
      <c r="AB125" s="4373"/>
      <c r="AC125" s="4373" t="s">
        <v>850</v>
      </c>
      <c r="AD125" s="4373"/>
    </row>
    <row r="126" spans="2:30" ht="12" customHeight="1">
      <c r="B126" s="415">
        <f t="shared" si="15"/>
        <v>120</v>
      </c>
      <c r="C126" s="416">
        <v>29</v>
      </c>
      <c r="D126" s="405"/>
      <c r="E126" s="415">
        <f t="shared" si="16"/>
        <v>120</v>
      </c>
      <c r="F126" s="428">
        <v>47</v>
      </c>
      <c r="G126" s="417"/>
      <c r="H126" s="418"/>
      <c r="I126" s="415">
        <f t="shared" si="17"/>
        <v>120</v>
      </c>
      <c r="J126" s="911">
        <v>75</v>
      </c>
      <c r="K126" s="409"/>
      <c r="L126" s="370">
        <f>P115/2</f>
        <v>0.27911898269187774</v>
      </c>
      <c r="M126" s="435"/>
      <c r="N126" s="371">
        <f>Q115/2</f>
        <v>0.37398752469797281</v>
      </c>
      <c r="O126" s="370">
        <f>R115/2</f>
        <v>0.60873747844926018</v>
      </c>
      <c r="P126" s="436" t="s">
        <v>117</v>
      </c>
      <c r="Q126" s="437"/>
      <c r="R126" s="438"/>
      <c r="T126" s="1266">
        <v>29</v>
      </c>
      <c r="U126" s="1266">
        <v>47</v>
      </c>
      <c r="V126" s="1266">
        <v>75</v>
      </c>
      <c r="W126" s="426"/>
    </row>
    <row r="127" spans="2:30" ht="12" customHeight="1">
      <c r="B127" s="415">
        <f t="shared" si="15"/>
        <v>140</v>
      </c>
      <c r="C127" s="416">
        <v>31</v>
      </c>
      <c r="D127" s="405"/>
      <c r="E127" s="415">
        <f t="shared" si="16"/>
        <v>140</v>
      </c>
      <c r="F127" s="428">
        <v>51</v>
      </c>
      <c r="G127" s="417"/>
      <c r="H127" s="418"/>
      <c r="I127" s="415">
        <f t="shared" si="17"/>
        <v>140</v>
      </c>
      <c r="J127" s="911">
        <v>80</v>
      </c>
      <c r="K127" s="409"/>
      <c r="L127" s="413">
        <f>L126+P116</f>
        <v>0.77911898269187774</v>
      </c>
      <c r="M127" s="439"/>
      <c r="N127" s="414">
        <f>N126+Q116</f>
        <v>1.3739875246979727</v>
      </c>
      <c r="O127" s="413">
        <f>O126+R116</f>
        <v>2.6087374784492603</v>
      </c>
      <c r="P127" s="440">
        <v>1</v>
      </c>
      <c r="Q127" s="440">
        <v>2</v>
      </c>
      <c r="R127" s="440">
        <v>3</v>
      </c>
      <c r="T127" s="1266">
        <v>31</v>
      </c>
      <c r="U127" s="1266">
        <v>51</v>
      </c>
      <c r="V127" s="1266">
        <v>80</v>
      </c>
      <c r="W127" s="426"/>
      <c r="X127" s="1267" t="s">
        <v>851</v>
      </c>
      <c r="Y127" s="1268" t="s">
        <v>116</v>
      </c>
      <c r="Z127" s="1267" t="s">
        <v>115</v>
      </c>
      <c r="AA127" s="1268" t="s">
        <v>116</v>
      </c>
      <c r="AB127" s="1267" t="s">
        <v>115</v>
      </c>
      <c r="AC127" s="1268" t="s">
        <v>116</v>
      </c>
      <c r="AD127" s="1267" t="s">
        <v>115</v>
      </c>
    </row>
    <row r="128" spans="2:30" ht="12" customHeight="1">
      <c r="B128" s="415">
        <f t="shared" si="15"/>
        <v>160</v>
      </c>
      <c r="C128" s="416">
        <v>35</v>
      </c>
      <c r="D128" s="405"/>
      <c r="E128" s="415">
        <f t="shared" si="16"/>
        <v>160</v>
      </c>
      <c r="F128" s="428">
        <v>54</v>
      </c>
      <c r="G128" s="417"/>
      <c r="H128" s="418"/>
      <c r="I128" s="415">
        <f t="shared" si="17"/>
        <v>160</v>
      </c>
      <c r="J128" s="911">
        <v>85</v>
      </c>
      <c r="K128" s="409"/>
      <c r="L128" s="377">
        <f>P116</f>
        <v>0.5</v>
      </c>
      <c r="M128" s="441"/>
      <c r="N128" s="378">
        <f>Q116</f>
        <v>1</v>
      </c>
      <c r="O128" s="377">
        <f>R116</f>
        <v>2</v>
      </c>
      <c r="P128" s="377">
        <v>0</v>
      </c>
      <c r="Q128" s="377">
        <v>0</v>
      </c>
      <c r="R128" s="377">
        <v>0</v>
      </c>
      <c r="T128" s="1266">
        <v>35</v>
      </c>
      <c r="U128" s="1266">
        <v>54</v>
      </c>
      <c r="V128" s="1266">
        <v>85</v>
      </c>
      <c r="W128" s="426"/>
      <c r="X128" s="1267">
        <v>1</v>
      </c>
      <c r="Y128" s="1269">
        <f>($L$128+$L$148)/2 + (($L$148-$L$128)/2)*COS(RADIANS($X128))</f>
        <v>1.0581954542107472</v>
      </c>
      <c r="Z128" s="1270">
        <f>(($L$148-$L$128)/2)*SIN(RADIANS($X128))</f>
        <v>4.8712979302997427E-3</v>
      </c>
      <c r="AA128" s="1269">
        <f>($N$128+$N$148)/2 + (($N$148-$N$128)/2)*COS(RADIANS($X128))</f>
        <v>1.7479180892844828</v>
      </c>
      <c r="AB128" s="1270">
        <f>(($N$148-$N$128)/2)*SIN(RADIANS($X128))</f>
        <v>6.5269822835026092E-3</v>
      </c>
      <c r="AC128" s="1269">
        <f>($O$128+$O$148)/2 + (($O$148-$O$128)/2)*COS(RADIANS($X128))</f>
        <v>3.2173822432320649</v>
      </c>
      <c r="AD128" s="1270">
        <f>(($O$148-$O$128)/2)*SIN(RADIANS($X128))</f>
        <v>1.0623933887503588E-2</v>
      </c>
    </row>
    <row r="129" spans="2:30" ht="12" customHeight="1">
      <c r="B129" s="415">
        <f t="shared" si="15"/>
        <v>180</v>
      </c>
      <c r="C129" s="416">
        <v>37</v>
      </c>
      <c r="D129" s="405"/>
      <c r="E129" s="415">
        <f t="shared" si="16"/>
        <v>180</v>
      </c>
      <c r="F129" s="428">
        <v>58</v>
      </c>
      <c r="G129" s="417"/>
      <c r="H129" s="418"/>
      <c r="I129" s="415">
        <f t="shared" si="17"/>
        <v>180</v>
      </c>
      <c r="J129" s="911">
        <v>89</v>
      </c>
      <c r="K129" s="409"/>
      <c r="L129" s="377">
        <f>0.05*(P115)+L128</f>
        <v>0.52791189826918772</v>
      </c>
      <c r="M129" s="441"/>
      <c r="N129" s="378">
        <f>0.05*(Q115)+N128</f>
        <v>1.0373987524697972</v>
      </c>
      <c r="O129" s="378">
        <f>0.05*(R115)+O128</f>
        <v>2.0608737478449259</v>
      </c>
      <c r="P129" s="377">
        <f>((P119)^2-(L129)^2+2*(L127)*(L129)-(L127)^2)^0.5</f>
        <v>0.12166514387777708</v>
      </c>
      <c r="Q129" s="377">
        <f>((Q119)^2-(N129)^2+2*(N127)*(N129)-(N127)^2)^0.5</f>
        <v>0.1630173826303381</v>
      </c>
      <c r="R129" s="377">
        <f>((R119)^2-(O129)^2+2*(O127)*(O129)-(O127)^2)^0.5</f>
        <v>0.26534251517060981</v>
      </c>
      <c r="T129" s="1266">
        <v>37</v>
      </c>
      <c r="U129" s="1266">
        <v>58</v>
      </c>
      <c r="V129" s="1266">
        <v>89</v>
      </c>
      <c r="W129" s="426"/>
      <c r="X129" s="1267">
        <v>2</v>
      </c>
      <c r="Y129" s="1269">
        <f t="shared" ref="Y129:Y192" si="18">($L$128+$L$148)/2 + (($L$148-$L$128)/2)*COS(RADIANS($X129))</f>
        <v>1.058067933641041</v>
      </c>
      <c r="Z129" s="1270">
        <f t="shared" ref="Z129:Z192" si="19">(($L$148-$L$128)/2)*SIN(RADIANS($X129))</f>
        <v>9.7411120160605935E-3</v>
      </c>
      <c r="AA129" s="1269">
        <f t="shared" ref="AA129:AA192" si="20">($N$128+$N$148)/2 + (($N$148-$N$128)/2)*COS(RADIANS($X129))</f>
        <v>1.7477472263007023</v>
      </c>
      <c r="AB129" s="1270">
        <f t="shared" ref="AB129:AB192" si="21">(($N$148-$N$128)/2)*SIN(RADIANS($X129))</f>
        <v>1.3051976384973367E-2</v>
      </c>
      <c r="AC129" s="1269">
        <f t="shared" ref="AC129:AC192" si="22">($O$128+$O$148)/2 + (($O$148-$O$128)/2)*COS(RADIANS($X129))</f>
        <v>3.2171041304741839</v>
      </c>
      <c r="AD129" s="1270">
        <f t="shared" ref="AD129:AD192" si="23">(($O$148-$O$128)/2)*SIN(RADIANS($X129))</f>
        <v>2.1244631621828682E-2</v>
      </c>
    </row>
    <row r="130" spans="2:30" ht="12" customHeight="1">
      <c r="B130" s="415">
        <f t="shared" si="15"/>
        <v>200</v>
      </c>
      <c r="C130" s="416">
        <v>39</v>
      </c>
      <c r="D130" s="405"/>
      <c r="E130" s="415">
        <f t="shared" si="16"/>
        <v>200</v>
      </c>
      <c r="F130" s="428">
        <v>60</v>
      </c>
      <c r="G130" s="417"/>
      <c r="H130" s="418"/>
      <c r="I130" s="415">
        <f t="shared" si="17"/>
        <v>200</v>
      </c>
      <c r="J130" s="911">
        <v>94</v>
      </c>
      <c r="K130" s="409"/>
      <c r="L130" s="377">
        <f>0.05*(P115)+L129</f>
        <v>0.55582379653837544</v>
      </c>
      <c r="M130" s="441"/>
      <c r="N130" s="378">
        <f>0.05*(Q115)+N129</f>
        <v>1.0747975049395944</v>
      </c>
      <c r="O130" s="378">
        <f>0.05*(R115)+O129</f>
        <v>2.1217474956898519</v>
      </c>
      <c r="P130" s="377">
        <f>((P119)^2-(L130)^2+2*(L127)*(L130)-(L127)^2)^0.5</f>
        <v>0.16747138961512614</v>
      </c>
      <c r="Q130" s="377">
        <f>((Q119)^2-(N130)^2+2*(N127)*(N130)-(N127)^2)^0.5</f>
        <v>0.22439251481878353</v>
      </c>
      <c r="R130" s="377">
        <f>((R119)^2-(O130)^2+2*(O127)*(O130)-(O127)^2)^0.5</f>
        <v>0.36524248706955526</v>
      </c>
      <c r="T130" s="1266">
        <v>39</v>
      </c>
      <c r="U130" s="1266">
        <v>60</v>
      </c>
      <c r="V130" s="1266">
        <v>94</v>
      </c>
      <c r="W130" s="426"/>
      <c r="X130" s="1267">
        <v>3</v>
      </c>
      <c r="Y130" s="1269">
        <f t="shared" si="18"/>
        <v>1.0578554425186364</v>
      </c>
      <c r="Z130" s="1270">
        <f t="shared" si="19"/>
        <v>1.4607958864737081E-2</v>
      </c>
      <c r="AA130" s="1269">
        <f t="shared" si="20"/>
        <v>1.7474625124911221</v>
      </c>
      <c r="AB130" s="1270">
        <f t="shared" si="21"/>
        <v>1.9572994727999928E-2</v>
      </c>
      <c r="AC130" s="1269">
        <f t="shared" si="22"/>
        <v>3.2166407033407158</v>
      </c>
      <c r="AD130" s="1270">
        <f t="shared" si="23"/>
        <v>3.1858858035560406E-2</v>
      </c>
    </row>
    <row r="131" spans="2:30" ht="12" customHeight="1">
      <c r="B131" s="415">
        <f t="shared" si="15"/>
        <v>220</v>
      </c>
      <c r="C131" s="416">
        <v>41</v>
      </c>
      <c r="D131" s="405"/>
      <c r="E131" s="415">
        <f t="shared" si="16"/>
        <v>220</v>
      </c>
      <c r="F131" s="442">
        <v>62</v>
      </c>
      <c r="G131" s="417"/>
      <c r="H131" s="418"/>
      <c r="I131" s="415">
        <f t="shared" si="17"/>
        <v>220</v>
      </c>
      <c r="J131" s="911">
        <v>100</v>
      </c>
      <c r="K131" s="409"/>
      <c r="L131" s="377">
        <f>0.05*(P115)+L130</f>
        <v>0.58373569480756315</v>
      </c>
      <c r="M131" s="441"/>
      <c r="N131" s="378">
        <f>0.05*(Q115)+N130</f>
        <v>1.1121962574093915</v>
      </c>
      <c r="O131" s="378">
        <f>0.05*(R115)+O130</f>
        <v>2.1826212435347778</v>
      </c>
      <c r="P131" s="377">
        <f>((P119)^2-(L131)^2+2*(L127)*(L131)-(L127)^2)^0.5</f>
        <v>0.19933082379417336</v>
      </c>
      <c r="Q131" s="377">
        <f>((Q119)^2-(N131)^2+2*(N127)*(N131)-(N127)^2)^0.5</f>
        <v>0.26708051407984695</v>
      </c>
      <c r="R131" s="377">
        <f>((R119)^2-(O131)^2+2*(O127)*(O131)-(O127)^2)^0.5</f>
        <v>0.4347255134117029</v>
      </c>
      <c r="T131" s="1266">
        <v>41</v>
      </c>
      <c r="U131" s="1266">
        <v>62</v>
      </c>
      <c r="V131" s="1266">
        <v>100</v>
      </c>
      <c r="W131" s="426"/>
      <c r="X131" s="1267">
        <v>4</v>
      </c>
      <c r="Y131" s="1269">
        <f t="shared" si="18"/>
        <v>1.0575580455703879</v>
      </c>
      <c r="Z131" s="1270">
        <f t="shared" si="19"/>
        <v>1.9470355987632894E-2</v>
      </c>
      <c r="AA131" s="1269">
        <f t="shared" si="20"/>
        <v>1.7470640345823267</v>
      </c>
      <c r="AB131" s="1270">
        <f t="shared" si="21"/>
        <v>2.6088050947224484E-2</v>
      </c>
      <c r="AC131" s="1269">
        <f t="shared" si="22"/>
        <v>3.2159921029960552</v>
      </c>
      <c r="AD131" s="1270">
        <f t="shared" si="23"/>
        <v>4.2463379932510807E-2</v>
      </c>
    </row>
    <row r="132" spans="2:30" ht="12" customHeight="1">
      <c r="B132" s="415">
        <f t="shared" si="15"/>
        <v>240</v>
      </c>
      <c r="C132" s="416">
        <v>43</v>
      </c>
      <c r="D132" s="405"/>
      <c r="E132" s="415">
        <f t="shared" si="16"/>
        <v>240</v>
      </c>
      <c r="F132" s="428">
        <v>64</v>
      </c>
      <c r="G132" s="417"/>
      <c r="H132" s="418"/>
      <c r="I132" s="415">
        <f t="shared" si="17"/>
        <v>240</v>
      </c>
      <c r="J132" s="911">
        <v>102</v>
      </c>
      <c r="K132" s="409"/>
      <c r="L132" s="377">
        <f>0.05*(P115)+L131</f>
        <v>0.61164759307675087</v>
      </c>
      <c r="M132" s="441"/>
      <c r="N132" s="378">
        <f>0.05*(Q115)+N131</f>
        <v>1.1495950098791887</v>
      </c>
      <c r="O132" s="378">
        <f>0.05*(R115)+O131</f>
        <v>2.2434949913797038</v>
      </c>
      <c r="P132" s="377">
        <f>((P119)^2-(L132)^2+2*(L127)*(L132)-(L127)^2)^0.5</f>
        <v>0.22329518615350213</v>
      </c>
      <c r="Q132" s="377">
        <f>((Q119)^2-(N132)^2+2*(N127)*(N132)-(N127)^2)^0.5</f>
        <v>0.2991900197583775</v>
      </c>
      <c r="R132" s="377">
        <f>((R119)^2-(O132)^2+2*(O127)*(O132)-(O127)^2)^0.5</f>
        <v>0.48698998275940802</v>
      </c>
      <c r="T132" s="1266">
        <v>43</v>
      </c>
      <c r="U132" s="1266">
        <v>64</v>
      </c>
      <c r="V132" s="1266">
        <v>102</v>
      </c>
      <c r="W132" s="426"/>
      <c r="X132" s="1267">
        <v>5</v>
      </c>
      <c r="Y132" s="1269">
        <f t="shared" si="18"/>
        <v>1.0571758333862868</v>
      </c>
      <c r="Z132" s="1270">
        <f t="shared" si="19"/>
        <v>2.4326822251481299E-2</v>
      </c>
      <c r="AA132" s="1269">
        <f t="shared" si="20"/>
        <v>1.7465519139545471</v>
      </c>
      <c r="AB132" s="1270">
        <f t="shared" si="21"/>
        <v>3.2595160493409887E-2</v>
      </c>
      <c r="AC132" s="1269">
        <f t="shared" si="22"/>
        <v>3.2151585270101499</v>
      </c>
      <c r="AD132" s="1270">
        <f t="shared" si="23"/>
        <v>5.3054967072581762E-2</v>
      </c>
    </row>
    <row r="133" spans="2:30" ht="12" customHeight="1">
      <c r="B133" s="415">
        <f t="shared" si="15"/>
        <v>260</v>
      </c>
      <c r="C133" s="416">
        <v>45</v>
      </c>
      <c r="D133" s="405"/>
      <c r="E133" s="415">
        <f t="shared" si="16"/>
        <v>260</v>
      </c>
      <c r="F133" s="428">
        <v>66</v>
      </c>
      <c r="G133" s="417"/>
      <c r="H133" s="418"/>
      <c r="I133" s="415">
        <f t="shared" si="17"/>
        <v>260</v>
      </c>
      <c r="J133" s="911">
        <v>105</v>
      </c>
      <c r="K133" s="409"/>
      <c r="L133" s="377">
        <f>0.05*(P115)+L132</f>
        <v>0.63955949134593859</v>
      </c>
      <c r="M133" s="441"/>
      <c r="N133" s="378">
        <f>0.05*(Q115)+N132</f>
        <v>1.1869937623489859</v>
      </c>
      <c r="O133" s="378">
        <f>0.05*(R115)+O132</f>
        <v>2.3043687392246297</v>
      </c>
      <c r="P133" s="377">
        <f>((P119)^2-(L133)^2+2*(L127)*(L133)-(L127)^2)^0.5</f>
        <v>0.24172412968963494</v>
      </c>
      <c r="Q133" s="377">
        <f>((Q119)^2-(N133)^2+2*(N127)*(N133)-(N127)^2)^0.5</f>
        <v>0.32388269708690465</v>
      </c>
      <c r="R133" s="377">
        <f>((R119)^2-(O133)^2+2*(O127)*(O133)-(O127)^2)^0.5</f>
        <v>0.52718212057274105</v>
      </c>
      <c r="T133" s="1266">
        <v>45</v>
      </c>
      <c r="U133" s="1266">
        <v>66</v>
      </c>
      <c r="V133" s="1266">
        <v>105</v>
      </c>
      <c r="W133" s="426"/>
      <c r="X133" s="1267">
        <v>6</v>
      </c>
      <c r="Y133" s="1269">
        <f t="shared" si="18"/>
        <v>1.0567089223918671</v>
      </c>
      <c r="Z133" s="1270">
        <f t="shared" si="19"/>
        <v>2.917587832961269E-2</v>
      </c>
      <c r="AA133" s="1269">
        <f t="shared" si="20"/>
        <v>1.7459263066046877</v>
      </c>
      <c r="AB133" s="1270">
        <f t="shared" si="21"/>
        <v>3.9092341237952591E-2</v>
      </c>
      <c r="AC133" s="1269">
        <f t="shared" si="22"/>
        <v>3.2141402292983203</v>
      </c>
      <c r="AD133" s="1270">
        <f t="shared" si="23"/>
        <v>6.3630393155727411E-2</v>
      </c>
    </row>
    <row r="134" spans="2:30" ht="12" customHeight="1">
      <c r="B134" s="415">
        <f t="shared" si="15"/>
        <v>280</v>
      </c>
      <c r="C134" s="416">
        <v>47</v>
      </c>
      <c r="D134" s="405"/>
      <c r="E134" s="415">
        <f t="shared" si="16"/>
        <v>280</v>
      </c>
      <c r="F134" s="428">
        <v>68</v>
      </c>
      <c r="G134" s="417"/>
      <c r="H134" s="418"/>
      <c r="I134" s="415">
        <f t="shared" si="17"/>
        <v>280</v>
      </c>
      <c r="J134" s="911">
        <v>110</v>
      </c>
      <c r="K134" s="409"/>
      <c r="L134" s="377">
        <f>0.05*(P115)+L133</f>
        <v>0.66747138961512631</v>
      </c>
      <c r="M134" s="441"/>
      <c r="N134" s="378">
        <f>0.05*(Q115)+N133</f>
        <v>1.2243925148187831</v>
      </c>
      <c r="O134" s="378">
        <f>0.05*(R115)+O133</f>
        <v>2.3652424870695556</v>
      </c>
      <c r="P134" s="377">
        <f>((P119)^2-(L134)^2+2*(L127)*(L134)-(L127)^2)^0.5</f>
        <v>0.25581677321691926</v>
      </c>
      <c r="Q134" s="377">
        <f>((Q119)^2-(N134)^2+2*(N127)*(N134)-(N127)^2)^0.5</f>
        <v>0.34276522817952509</v>
      </c>
      <c r="R134" s="377">
        <f>((R119)^2-(O134)^2+2*(O127)*(O134)-(O127)^2)^0.5</f>
        <v>0.55791711467005656</v>
      </c>
      <c r="T134" s="1266">
        <v>47</v>
      </c>
      <c r="U134" s="1266">
        <v>68</v>
      </c>
      <c r="V134" s="1266">
        <v>110</v>
      </c>
      <c r="W134" s="426"/>
      <c r="X134" s="1267">
        <v>7</v>
      </c>
      <c r="Y134" s="1269">
        <f t="shared" si="18"/>
        <v>1.0561574548127406</v>
      </c>
      <c r="Z134" s="1270">
        <f t="shared" si="19"/>
        <v>3.4016047152571796E-2</v>
      </c>
      <c r="AA134" s="1269">
        <f t="shared" si="20"/>
        <v>1.7451874030988077</v>
      </c>
      <c r="AB134" s="1270">
        <f t="shared" si="21"/>
        <v>4.5577614076658196E-2</v>
      </c>
      <c r="AC134" s="1269">
        <f t="shared" si="22"/>
        <v>3.2129375200439139</v>
      </c>
      <c r="AD134" s="1270">
        <f t="shared" si="23"/>
        <v>7.4186436804716357E-2</v>
      </c>
    </row>
    <row r="135" spans="2:30" ht="12" customHeight="1">
      <c r="B135" s="415">
        <f t="shared" si="15"/>
        <v>300</v>
      </c>
      <c r="C135" s="416">
        <v>49</v>
      </c>
      <c r="D135" s="405"/>
      <c r="E135" s="415">
        <f t="shared" si="16"/>
        <v>300</v>
      </c>
      <c r="F135" s="428">
        <v>70</v>
      </c>
      <c r="G135" s="417"/>
      <c r="H135" s="418"/>
      <c r="I135" s="415">
        <f t="shared" si="17"/>
        <v>300</v>
      </c>
      <c r="J135" s="911">
        <v>113</v>
      </c>
      <c r="K135" s="409"/>
      <c r="L135" s="377">
        <f>0.05*(P115)+L134</f>
        <v>0.69538328788431403</v>
      </c>
      <c r="M135" s="441"/>
      <c r="N135" s="378">
        <f>0.05*(Q115)+N134</f>
        <v>1.2617912672885803</v>
      </c>
      <c r="O135" s="378">
        <f>0.05*(R115)+O134</f>
        <v>2.4261162349144816</v>
      </c>
      <c r="P135" s="377">
        <f>((P119)^2-(L135)^2+2*(L127)*(L135)-(L127)^2)^0.5</f>
        <v>0.26626253944940004</v>
      </c>
      <c r="Q135" s="377">
        <f>((Q119)^2-(N135)^2+2*(N127)*(N135)-(N127)^2)^0.5</f>
        <v>0.35676136065028341</v>
      </c>
      <c r="R135" s="377">
        <f>((R119)^2-(O135)^2+2*(O127)*(O135)-(O127)^2)^0.5</f>
        <v>0.58069854406445232</v>
      </c>
      <c r="T135" s="1266">
        <v>49</v>
      </c>
      <c r="U135" s="1266">
        <v>70</v>
      </c>
      <c r="V135" s="1266">
        <v>113</v>
      </c>
      <c r="W135" s="426"/>
      <c r="X135" s="1267">
        <v>8</v>
      </c>
      <c r="Y135" s="1269">
        <f t="shared" si="18"/>
        <v>1.0555215986312743</v>
      </c>
      <c r="Z135" s="1270">
        <f t="shared" si="19"/>
        <v>3.8845854358047383E-2</v>
      </c>
      <c r="AA135" s="1269">
        <f t="shared" si="20"/>
        <v>1.7443354285140726</v>
      </c>
      <c r="AB135" s="1270">
        <f t="shared" si="21"/>
        <v>5.2049003532595797E-2</v>
      </c>
      <c r="AC135" s="1269">
        <f t="shared" si="22"/>
        <v>3.2115507656038207</v>
      </c>
      <c r="AD135" s="1270">
        <f t="shared" si="23"/>
        <v>8.471988254639444E-2</v>
      </c>
    </row>
    <row r="136" spans="2:30" ht="12" customHeight="1">
      <c r="B136" s="415">
        <f t="shared" si="15"/>
        <v>320</v>
      </c>
      <c r="C136" s="443">
        <v>51</v>
      </c>
      <c r="D136" s="444"/>
      <c r="E136" s="415">
        <f t="shared" si="16"/>
        <v>320</v>
      </c>
      <c r="F136" s="428">
        <v>72</v>
      </c>
      <c r="G136" s="417"/>
      <c r="H136" s="418"/>
      <c r="I136" s="415">
        <f t="shared" si="17"/>
        <v>320</v>
      </c>
      <c r="J136" s="911">
        <v>115</v>
      </c>
      <c r="K136" s="409"/>
      <c r="L136" s="377">
        <f>0.05*(P115)+L135</f>
        <v>0.72329518615350175</v>
      </c>
      <c r="M136" s="441"/>
      <c r="N136" s="378">
        <f>0.05*(Q115)+N135</f>
        <v>1.2991900197583774</v>
      </c>
      <c r="O136" s="378">
        <f>0.05*(R115)+O135</f>
        <v>2.4869899827594075</v>
      </c>
      <c r="P136" s="377">
        <f>((P119)^2-(L136)^2+2*(L127)*(L136)-(L127)^2)^0.5</f>
        <v>0.27347963404793174</v>
      </c>
      <c r="Q136" s="377">
        <f>((Q119)^2-(N136)^2+2*(N127)*(N136)-(N127)^2)^0.5</f>
        <v>0.3664314422706218</v>
      </c>
      <c r="R136" s="377">
        <f>((R119)^2-(O136)^2+2*(O127)*(O136)-(O127)^2)^0.5</f>
        <v>0.59643848380366338</v>
      </c>
      <c r="T136" s="1266">
        <v>51</v>
      </c>
      <c r="U136" s="1266">
        <v>72</v>
      </c>
      <c r="V136" s="1266">
        <v>115</v>
      </c>
      <c r="W136" s="426"/>
      <c r="X136" s="1267">
        <v>9</v>
      </c>
      <c r="Y136" s="1269">
        <f t="shared" si="18"/>
        <v>1.0548015475354204</v>
      </c>
      <c r="Z136" s="1270">
        <f t="shared" si="19"/>
        <v>4.3663828739977269E-2</v>
      </c>
      <c r="AA136" s="1269">
        <f t="shared" si="20"/>
        <v>1.7433706423701947</v>
      </c>
      <c r="AB136" s="1270">
        <f t="shared" si="21"/>
        <v>5.8504538357847351E-2</v>
      </c>
      <c r="AC136" s="1269">
        <f t="shared" si="22"/>
        <v>3.2099803883968767</v>
      </c>
      <c r="AD136" s="1270">
        <f t="shared" si="23"/>
        <v>9.5227521791148961E-2</v>
      </c>
    </row>
    <row r="137" spans="2:30" ht="12" customHeight="1">
      <c r="B137" s="415">
        <f t="shared" si="15"/>
        <v>340</v>
      </c>
      <c r="C137" s="443">
        <v>53</v>
      </c>
      <c r="D137" s="444"/>
      <c r="E137" s="415">
        <f t="shared" si="16"/>
        <v>340</v>
      </c>
      <c r="F137" s="442">
        <v>74</v>
      </c>
      <c r="G137" s="445"/>
      <c r="H137" s="446"/>
      <c r="I137" s="415">
        <f t="shared" si="17"/>
        <v>340</v>
      </c>
      <c r="J137" s="911">
        <v>118</v>
      </c>
      <c r="K137" s="409"/>
      <c r="L137" s="377">
        <f>0.05*(P115)+L136</f>
        <v>0.75120708442268946</v>
      </c>
      <c r="M137" s="441"/>
      <c r="N137" s="378">
        <f>0.05*(Q115)+N136</f>
        <v>1.3365887722281746</v>
      </c>
      <c r="O137" s="378">
        <f>0.05*(R115)+O136</f>
        <v>2.5478637306043335</v>
      </c>
      <c r="P137" s="377">
        <f>((P119)^2-(L137)^2+2*(L127)*(L137)-(L127)^2)^0.5</f>
        <v>0.27771988123639818</v>
      </c>
      <c r="Q137" s="377">
        <f>((Q119)^2-(N137)^2+2*(N127)*(N137)-(N127)^2)^0.5</f>
        <v>0.37211288870908443</v>
      </c>
      <c r="R137" s="377">
        <f>((R119)^2-(O137)^2+2*(O127)*(O137)-(O127)^2)^0.5</f>
        <v>0.60568614355297534</v>
      </c>
      <c r="T137" s="1266">
        <v>53</v>
      </c>
      <c r="U137" s="1266">
        <v>74</v>
      </c>
      <c r="V137" s="1266">
        <v>118</v>
      </c>
      <c r="W137" s="426"/>
      <c r="X137" s="1267">
        <v>10</v>
      </c>
      <c r="Y137" s="1269">
        <f t="shared" si="18"/>
        <v>1.0539975208597181</v>
      </c>
      <c r="Z137" s="1270">
        <f t="shared" si="19"/>
        <v>4.8468502696691944E-2</v>
      </c>
      <c r="AA137" s="1269">
        <f t="shared" si="20"/>
        <v>1.7422933385503792</v>
      </c>
      <c r="AB137" s="1270">
        <f t="shared" si="21"/>
        <v>6.4942252133968897E-2</v>
      </c>
      <c r="AC137" s="1269">
        <f t="shared" si="22"/>
        <v>3.2082268667751919</v>
      </c>
      <c r="AD137" s="1270">
        <f t="shared" si="23"/>
        <v>0.10570615381027618</v>
      </c>
    </row>
    <row r="138" spans="2:30" ht="12" customHeight="1">
      <c r="B138" s="415">
        <f t="shared" si="15"/>
        <v>360</v>
      </c>
      <c r="C138" s="443">
        <v>55</v>
      </c>
      <c r="D138" s="444"/>
      <c r="E138" s="415">
        <f t="shared" si="16"/>
        <v>360</v>
      </c>
      <c r="F138" s="447">
        <v>76</v>
      </c>
      <c r="G138" s="417"/>
      <c r="H138" s="418"/>
      <c r="I138" s="415">
        <f t="shared" si="17"/>
        <v>360</v>
      </c>
      <c r="J138" s="911">
        <v>120</v>
      </c>
      <c r="K138" s="409"/>
      <c r="L138" s="377">
        <f>0.05*(P115)+L137</f>
        <v>0.77911898269187718</v>
      </c>
      <c r="M138" s="441"/>
      <c r="N138" s="378">
        <f>0.05*(Q115)+N137</f>
        <v>1.3739875246979718</v>
      </c>
      <c r="O138" s="378">
        <f>0.05*(R115)+O137</f>
        <v>2.6087374784492594</v>
      </c>
      <c r="P138" s="377">
        <f>((P119)^2-(L138)^2+2*(L127)*(L138)-(L127)^2)^0.5</f>
        <v>0.27911898269187779</v>
      </c>
      <c r="Q138" s="377">
        <f>((Q119)^2-(N138)^2+2*(N127)*(N138)-(N127)^2)^0.5</f>
        <v>0.37398752469797214</v>
      </c>
      <c r="R138" s="377">
        <f>((R119)^2-(O138)^2+2*(O127)*(O138)-(O127)^2)^0.5</f>
        <v>0.60873747844925963</v>
      </c>
      <c r="T138" s="1266">
        <v>55</v>
      </c>
      <c r="U138" s="1266">
        <v>76</v>
      </c>
      <c r="V138" s="1266">
        <v>120</v>
      </c>
      <c r="W138" s="426"/>
      <c r="X138" s="1267">
        <v>11</v>
      </c>
      <c r="Y138" s="1269">
        <f t="shared" si="18"/>
        <v>1.0531097635184818</v>
      </c>
      <c r="Z138" s="1270">
        <f t="shared" si="19"/>
        <v>5.3258412677960283E-2</v>
      </c>
      <c r="AA138" s="1269">
        <f t="shared" si="20"/>
        <v>1.7411038452118055</v>
      </c>
      <c r="AB138" s="1270">
        <f t="shared" si="21"/>
        <v>7.136018387098074E-2</v>
      </c>
      <c r="AC138" s="1269">
        <f t="shared" si="22"/>
        <v>3.2062907348784391</v>
      </c>
      <c r="AD138" s="1270">
        <f t="shared" si="23"/>
        <v>0.11615258671095428</v>
      </c>
    </row>
    <row r="139" spans="2:30" ht="12" customHeight="1">
      <c r="B139" s="415">
        <f t="shared" si="15"/>
        <v>380</v>
      </c>
      <c r="C139" s="443">
        <v>56</v>
      </c>
      <c r="D139" s="444"/>
      <c r="E139" s="415">
        <f t="shared" si="16"/>
        <v>380</v>
      </c>
      <c r="F139" s="448">
        <v>77</v>
      </c>
      <c r="G139" s="417"/>
      <c r="H139" s="418"/>
      <c r="I139" s="415">
        <f t="shared" si="17"/>
        <v>380</v>
      </c>
      <c r="J139" s="911">
        <v>122</v>
      </c>
      <c r="K139" s="409"/>
      <c r="L139" s="377">
        <f>0.05*(P115)+L138</f>
        <v>0.8070308809610649</v>
      </c>
      <c r="M139" s="441"/>
      <c r="N139" s="378">
        <f>0.05*(Q115)+N138</f>
        <v>1.411386277167769</v>
      </c>
      <c r="O139" s="378">
        <f>0.05*(R115)+O138</f>
        <v>2.6696112262941853</v>
      </c>
      <c r="P139" s="377">
        <f>((P119)^2-(L139)^2+2*(L127)*(L139)-(L127)^2)^0.5</f>
        <v>0.2777198812363984</v>
      </c>
      <c r="Q139" s="377">
        <f>((Q119)^2-(N139)^2+2*(N127)*(N139)-(N127)^2)^0.5</f>
        <v>0.37211288870908504</v>
      </c>
      <c r="R139" s="377">
        <f>((R119)^2-(O139)^2+2*(O127)*(O139)-(O127)^2)^0.5</f>
        <v>0.60568614355297534</v>
      </c>
      <c r="T139" s="1266">
        <v>56</v>
      </c>
      <c r="U139" s="1266">
        <v>77</v>
      </c>
      <c r="V139" s="1266">
        <v>122</v>
      </c>
      <c r="W139" s="426"/>
      <c r="X139" s="1267">
        <v>12</v>
      </c>
      <c r="Y139" s="1269">
        <f t="shared" si="18"/>
        <v>1.0521385459311974</v>
      </c>
      <c r="Z139" s="1270">
        <f t="shared" si="19"/>
        <v>5.8032099630801089E-2</v>
      </c>
      <c r="AA139" s="1269">
        <f t="shared" si="20"/>
        <v>1.7398025246856679</v>
      </c>
      <c r="AB139" s="1270">
        <f t="shared" si="21"/>
        <v>7.7756378604703844E-2</v>
      </c>
      <c r="AC139" s="1269">
        <f t="shared" si="22"/>
        <v>3.2041725824711493</v>
      </c>
      <c r="AD139" s="1270">
        <f t="shared" si="23"/>
        <v>0.12656363840852486</v>
      </c>
    </row>
    <row r="140" spans="2:30" ht="12" customHeight="1">
      <c r="B140" s="415">
        <f t="shared" si="15"/>
        <v>400</v>
      </c>
      <c r="C140" s="443">
        <v>58</v>
      </c>
      <c r="D140" s="444"/>
      <c r="E140" s="415">
        <f t="shared" si="16"/>
        <v>400</v>
      </c>
      <c r="F140" s="428">
        <v>78</v>
      </c>
      <c r="G140" s="417"/>
      <c r="H140" s="418"/>
      <c r="I140" s="415">
        <f t="shared" si="17"/>
        <v>400</v>
      </c>
      <c r="J140" s="911">
        <v>124</v>
      </c>
      <c r="K140" s="409"/>
      <c r="L140" s="377">
        <f>0.05*(P115)+L139</f>
        <v>0.83494277923025262</v>
      </c>
      <c r="M140" s="441"/>
      <c r="N140" s="378">
        <f>0.05*(Q115)+N139</f>
        <v>1.4487850296375662</v>
      </c>
      <c r="O140" s="378">
        <f>0.05*(R115)+O139</f>
        <v>2.7304849741391113</v>
      </c>
      <c r="P140" s="377">
        <f>((P119)^2-(L140)^2+2*(L127)*(L140)-(L127)^2)^0.5</f>
        <v>0.27347963404793191</v>
      </c>
      <c r="Q140" s="377">
        <f>((Q119)^2-(N140)^2+2*(N127)*(N140)-(N127)^2)^0.5</f>
        <v>0.3664314422706218</v>
      </c>
      <c r="R140" s="377">
        <f>((R119)^2-(O140)^2+2*(O127)*(O140)-(O127)^2)^0.5</f>
        <v>0.59643848380366338</v>
      </c>
      <c r="T140" s="1266">
        <v>58</v>
      </c>
      <c r="U140" s="1266">
        <v>78</v>
      </c>
      <c r="V140" s="1266">
        <v>124</v>
      </c>
      <c r="W140" s="426"/>
      <c r="X140" s="1267">
        <v>13</v>
      </c>
      <c r="Y140" s="1269">
        <f t="shared" si="18"/>
        <v>1.0510841639401505</v>
      </c>
      <c r="Z140" s="1270">
        <f t="shared" si="19"/>
        <v>6.2788109443924781E-2</v>
      </c>
      <c r="AA140" s="1269">
        <f t="shared" si="20"/>
        <v>1.7383897733668043</v>
      </c>
      <c r="AB140" s="1270">
        <f t="shared" si="21"/>
        <v>8.4128887992261009E-2</v>
      </c>
      <c r="AC140" s="1269">
        <f t="shared" si="22"/>
        <v>3.2018730547630652</v>
      </c>
      <c r="AD140" s="1270">
        <f t="shared" si="23"/>
        <v>0.13693613759578671</v>
      </c>
    </row>
    <row r="141" spans="2:30" ht="12" customHeight="1">
      <c r="B141" s="415">
        <f t="shared" si="15"/>
        <v>420</v>
      </c>
      <c r="C141" s="443">
        <v>59</v>
      </c>
      <c r="D141" s="444"/>
      <c r="E141" s="415">
        <f t="shared" si="16"/>
        <v>420</v>
      </c>
      <c r="F141" s="428">
        <v>79</v>
      </c>
      <c r="G141" s="417"/>
      <c r="H141" s="418"/>
      <c r="I141" s="415">
        <f t="shared" si="17"/>
        <v>420</v>
      </c>
      <c r="J141" s="911">
        <v>126</v>
      </c>
      <c r="K141" s="409"/>
      <c r="L141" s="377">
        <f>0.05*(P115)+L140</f>
        <v>0.86285467749944034</v>
      </c>
      <c r="M141" s="441"/>
      <c r="N141" s="378">
        <f>0.05*(Q115)+N140</f>
        <v>1.4861837821073633</v>
      </c>
      <c r="O141" s="378">
        <f>0.05*(R115)+O140</f>
        <v>2.7913587219840372</v>
      </c>
      <c r="P141" s="377">
        <f>((P119)^2-(L141)^2+2*(L127)*(L141)-(L127)^2)^0.5</f>
        <v>0.26626253944940043</v>
      </c>
      <c r="Q141" s="377">
        <f>((Q119)^2-(N141)^2+2*(N127)*(N141)-(N127)^2)^0.5</f>
        <v>0.35676136065028463</v>
      </c>
      <c r="R141" s="377">
        <f>((R119)^2-(O141)^2+2*(O127)*(O141)-(O127)^2)^0.5</f>
        <v>0.58069854406445232</v>
      </c>
      <c r="T141" s="1266">
        <v>59</v>
      </c>
      <c r="U141" s="1266">
        <v>79</v>
      </c>
      <c r="V141" s="1266">
        <v>126</v>
      </c>
      <c r="W141" s="426"/>
      <c r="X141" s="1267">
        <v>14</v>
      </c>
      <c r="Y141" s="1269">
        <f t="shared" si="18"/>
        <v>1.0499469387203093</v>
      </c>
      <c r="Z141" s="1270">
        <f t="shared" si="19"/>
        <v>6.752499339066978E-2</v>
      </c>
      <c r="AA141" s="1269">
        <f t="shared" si="20"/>
        <v>1.7368660215929526</v>
      </c>
      <c r="AB141" s="1270">
        <f t="shared" si="21"/>
        <v>9.0475770905560887E-2</v>
      </c>
      <c r="AC141" s="1269">
        <f t="shared" si="22"/>
        <v>3.1993928522126023</v>
      </c>
      <c r="AD141" s="1270">
        <f t="shared" si="23"/>
        <v>0.14726692470900671</v>
      </c>
    </row>
    <row r="142" spans="2:30" ht="12" customHeight="1">
      <c r="B142" s="415">
        <f t="shared" si="15"/>
        <v>440</v>
      </c>
      <c r="C142" s="449">
        <v>59</v>
      </c>
      <c r="D142" s="444"/>
      <c r="E142" s="415">
        <f t="shared" si="16"/>
        <v>440</v>
      </c>
      <c r="F142" s="428">
        <v>79.5</v>
      </c>
      <c r="G142" s="417"/>
      <c r="H142" s="418"/>
      <c r="I142" s="415">
        <f t="shared" si="17"/>
        <v>440</v>
      </c>
      <c r="J142" s="911">
        <v>128</v>
      </c>
      <c r="K142" s="409"/>
      <c r="L142" s="377">
        <f>0.05*(P115)+L141</f>
        <v>0.89076657576862805</v>
      </c>
      <c r="M142" s="441"/>
      <c r="N142" s="378">
        <f>0.05*(Q115)+N141</f>
        <v>1.5235825345771605</v>
      </c>
      <c r="O142" s="378">
        <f>0.05*(R115)+O141</f>
        <v>2.8522324698289632</v>
      </c>
      <c r="P142" s="377">
        <f>((P119)^2-(L142)^2+2*(L127)*(L142)-(L127)^2)^0.5</f>
        <v>0.25581677321692015</v>
      </c>
      <c r="Q142" s="377">
        <f>((Q119)^2-(N142)^2+2*(N127)*(N142)-(N127)^2)^0.5</f>
        <v>0.3427652281795257</v>
      </c>
      <c r="R142" s="377">
        <f>((R119)^2-(O142)^2+2*(O127)*(O142)-(O127)^2)^0.5</f>
        <v>0.55791711467005822</v>
      </c>
      <c r="T142" s="1266">
        <v>59</v>
      </c>
      <c r="U142" s="1266">
        <v>79.5</v>
      </c>
      <c r="V142" s="1266">
        <v>128</v>
      </c>
      <c r="W142" s="426"/>
      <c r="X142" s="1267">
        <v>15</v>
      </c>
      <c r="Y142" s="1269">
        <f t="shared" si="18"/>
        <v>1.0487272166814927</v>
      </c>
      <c r="Z142" s="1270">
        <f t="shared" si="19"/>
        <v>7.224130857029866E-2</v>
      </c>
      <c r="AA142" s="1269">
        <f t="shared" si="20"/>
        <v>1.7352317335136636</v>
      </c>
      <c r="AB142" s="1270">
        <f t="shared" si="21"/>
        <v>9.679509402258446E-2</v>
      </c>
      <c r="AC142" s="1269">
        <f t="shared" si="22"/>
        <v>3.1967327303134843</v>
      </c>
      <c r="AD142" s="1270">
        <f t="shared" si="23"/>
        <v>0.15755285289035362</v>
      </c>
    </row>
    <row r="143" spans="2:30" ht="12" customHeight="1">
      <c r="B143" s="415">
        <f t="shared" si="15"/>
        <v>460</v>
      </c>
      <c r="C143" s="449">
        <v>59</v>
      </c>
      <c r="D143" s="444"/>
      <c r="E143" s="415">
        <f t="shared" si="16"/>
        <v>460</v>
      </c>
      <c r="F143" s="428">
        <v>80</v>
      </c>
      <c r="G143" s="417"/>
      <c r="H143" s="418"/>
      <c r="I143" s="415">
        <f t="shared" si="17"/>
        <v>460</v>
      </c>
      <c r="J143" s="911">
        <v>130</v>
      </c>
      <c r="K143" s="409"/>
      <c r="L143" s="377">
        <f>0.05*(P115)+L142</f>
        <v>0.91867847403781577</v>
      </c>
      <c r="M143" s="441"/>
      <c r="N143" s="378">
        <f>0.05*(Q115)+N142</f>
        <v>1.5609812870469577</v>
      </c>
      <c r="O143" s="378">
        <f>0.05*(R115)+O142</f>
        <v>2.9131062176738891</v>
      </c>
      <c r="P143" s="377">
        <f>((P119)^2-(L143)^2+2*(L127)*(L143)-(L127)^2)^0.5</f>
        <v>0.24172412968963539</v>
      </c>
      <c r="Q143" s="377">
        <f>((Q119)^2-(N143)^2+2*(N127)*(N143)-(N127)^2)^0.5</f>
        <v>0.32388269708690598</v>
      </c>
      <c r="R143" s="377">
        <f>((R119)^2-(O143)^2+2*(O127)*(O143)-(O127)^2)^0.5</f>
        <v>0.52718212057274272</v>
      </c>
      <c r="T143" s="1266">
        <v>59</v>
      </c>
      <c r="U143" s="1266">
        <v>80</v>
      </c>
      <c r="V143" s="1266">
        <v>130</v>
      </c>
      <c r="W143" s="426"/>
      <c r="X143" s="1267">
        <v>16</v>
      </c>
      <c r="Y143" s="1269">
        <f t="shared" si="18"/>
        <v>1.0474253693628492</v>
      </c>
      <c r="Z143" s="1270">
        <f t="shared" si="19"/>
        <v>7.6935618347519788E-2</v>
      </c>
      <c r="AA143" s="1269">
        <f t="shared" si="20"/>
        <v>1.7334874069489181</v>
      </c>
      <c r="AB143" s="1270">
        <f t="shared" si="21"/>
        <v>0.10308493241629361</v>
      </c>
      <c r="AC143" s="1269">
        <f t="shared" si="22"/>
        <v>3.1938934993646102</v>
      </c>
      <c r="AD143" s="1270">
        <f t="shared" si="23"/>
        <v>0.16779078894646138</v>
      </c>
    </row>
    <row r="144" spans="2:30" ht="12" customHeight="1">
      <c r="B144" s="415">
        <f t="shared" si="15"/>
        <v>480</v>
      </c>
      <c r="C144" s="449">
        <v>59</v>
      </c>
      <c r="D144" s="444"/>
      <c r="E144" s="415">
        <f t="shared" si="16"/>
        <v>480</v>
      </c>
      <c r="F144" s="428">
        <v>80</v>
      </c>
      <c r="G144" s="417"/>
      <c r="H144" s="418"/>
      <c r="I144" s="415">
        <f t="shared" si="17"/>
        <v>480</v>
      </c>
      <c r="J144" s="911">
        <v>131</v>
      </c>
      <c r="K144" s="409"/>
      <c r="L144" s="377">
        <f>0.05*(P115)+L143</f>
        <v>0.94659037230700349</v>
      </c>
      <c r="M144" s="441"/>
      <c r="N144" s="378">
        <f>0.05*(Q115)+N143</f>
        <v>1.5983800395167549</v>
      </c>
      <c r="O144" s="378">
        <f>0.05*(R115)+O143</f>
        <v>2.973979965518815</v>
      </c>
      <c r="P144" s="377">
        <f>((P119)^2-(L144)^2+2*(L127)*(L144)-(L127)^2)^0.5</f>
        <v>0.22329518615350288</v>
      </c>
      <c r="Q144" s="377">
        <f>((Q119)^2-(N144)^2+2*(N127)*(N144)-(N127)^2)^0.5</f>
        <v>0.29919001975837972</v>
      </c>
      <c r="R144" s="377">
        <f>((R119)^2-(O144)^2+2*(O127)*(O144)-(O127)^2)^0.5</f>
        <v>0.48698998275940891</v>
      </c>
      <c r="T144" s="1266">
        <v>59</v>
      </c>
      <c r="U144" s="1266">
        <v>80</v>
      </c>
      <c r="V144" s="1266">
        <v>131</v>
      </c>
      <c r="W144" s="426"/>
      <c r="X144" s="1267">
        <v>17</v>
      </c>
      <c r="Y144" s="1269">
        <f t="shared" si="18"/>
        <v>1.0460417933196835</v>
      </c>
      <c r="Z144" s="1270">
        <f t="shared" si="19"/>
        <v>8.1606492790100196E-2</v>
      </c>
      <c r="AA144" s="1269">
        <f t="shared" si="20"/>
        <v>1.7316335732374855</v>
      </c>
      <c r="AB144" s="1270">
        <f t="shared" si="21"/>
        <v>0.10934337014098264</v>
      </c>
      <c r="AC144" s="1269">
        <f t="shared" si="22"/>
        <v>3.1908760242232317</v>
      </c>
      <c r="AD144" s="1270">
        <f t="shared" si="23"/>
        <v>0.17797761430283021</v>
      </c>
    </row>
    <row r="145" spans="2:30" ht="12" customHeight="1">
      <c r="B145" s="415">
        <f t="shared" si="15"/>
        <v>500</v>
      </c>
      <c r="C145" s="449">
        <v>59</v>
      </c>
      <c r="D145" s="444"/>
      <c r="E145" s="415">
        <f t="shared" si="16"/>
        <v>500</v>
      </c>
      <c r="F145" s="428">
        <v>80</v>
      </c>
      <c r="G145" s="417"/>
      <c r="H145" s="418"/>
      <c r="I145" s="415">
        <f t="shared" si="17"/>
        <v>500</v>
      </c>
      <c r="J145" s="911">
        <v>131.5</v>
      </c>
      <c r="K145" s="409"/>
      <c r="L145" s="377">
        <f>0.05*(P115)+L144</f>
        <v>0.97450227057619121</v>
      </c>
      <c r="M145" s="441"/>
      <c r="N145" s="378">
        <f>0.05*(Q115)+N144</f>
        <v>1.6357787919865521</v>
      </c>
      <c r="O145" s="378">
        <f>0.05*(R115)+O144</f>
        <v>3.034853713363741</v>
      </c>
      <c r="P145" s="377">
        <f>((P119)^2-(L145)^2+2*(L127)*(L145)-(L127)^2)^0.5</f>
        <v>0.19933082379417447</v>
      </c>
      <c r="Q145" s="377">
        <f>((Q119)^2-(N145)^2+2*(N127)*(N145)-(N127)^2)^0.5</f>
        <v>0.26708051407984945</v>
      </c>
      <c r="R145" s="377">
        <f>((R119)^2-(O145)^2+2*(O127)*(O145)-(O127)^2)^0.5</f>
        <v>0.4347255134117049</v>
      </c>
      <c r="T145" s="1266">
        <v>59</v>
      </c>
      <c r="U145" s="1266">
        <v>80</v>
      </c>
      <c r="V145" s="1266">
        <v>131.5</v>
      </c>
      <c r="W145" s="426"/>
      <c r="X145" s="1267">
        <v>18</v>
      </c>
      <c r="Y145" s="1269">
        <f t="shared" si="18"/>
        <v>1.0445769100026612</v>
      </c>
      <c r="Z145" s="1270">
        <f t="shared" si="19"/>
        <v>8.6252509104436853E-2</v>
      </c>
      <c r="AA145" s="1269">
        <f t="shared" si="20"/>
        <v>1.7296707970750727</v>
      </c>
      <c r="AB145" s="1270">
        <f t="shared" si="21"/>
        <v>0.11556850081589365</v>
      </c>
      <c r="AC145" s="1269">
        <f t="shared" si="22"/>
        <v>3.187681224041508</v>
      </c>
      <c r="AD145" s="1270">
        <f t="shared" si="23"/>
        <v>0.18811022595377447</v>
      </c>
    </row>
    <row r="146" spans="2:30" ht="12" customHeight="1">
      <c r="B146" s="415">
        <f t="shared" si="15"/>
        <v>520</v>
      </c>
      <c r="C146" s="449">
        <v>59</v>
      </c>
      <c r="D146" s="444"/>
      <c r="E146" s="415">
        <f t="shared" si="16"/>
        <v>520</v>
      </c>
      <c r="F146" s="428">
        <v>80</v>
      </c>
      <c r="G146" s="417"/>
      <c r="H146" s="418"/>
      <c r="I146" s="415">
        <f t="shared" si="17"/>
        <v>520</v>
      </c>
      <c r="J146" s="911">
        <v>132</v>
      </c>
      <c r="K146" s="409"/>
      <c r="L146" s="377">
        <f>0.05*(P115)+L145</f>
        <v>1.0024141688453789</v>
      </c>
      <c r="M146" s="441"/>
      <c r="N146" s="378">
        <f>0.05*(Q115)+N145</f>
        <v>1.6731775444563493</v>
      </c>
      <c r="O146" s="378">
        <f>0.05*(R115)+O145</f>
        <v>3.0957274612086669</v>
      </c>
      <c r="P146" s="377">
        <f>((P119)^2-(L146)^2+2*(L127)*(L146)-(L127)^2)^0.5</f>
        <v>0.16747138961512748</v>
      </c>
      <c r="Q146" s="377">
        <f>((Q119)^2-(N146)^2+2*(N127)*(N146)-(N127)^2)^0.5</f>
        <v>0.224392514818786</v>
      </c>
      <c r="R146" s="377">
        <f>((R119)^2-(O146)^2+2*(O127)*(O146)-(O127)^2)^0.5</f>
        <v>0.36524248706955648</v>
      </c>
      <c r="T146" s="1266">
        <v>59</v>
      </c>
      <c r="U146" s="1266">
        <v>80</v>
      </c>
      <c r="V146" s="1266">
        <v>132</v>
      </c>
      <c r="W146" s="426"/>
      <c r="X146" s="1267">
        <v>19</v>
      </c>
      <c r="Y146" s="1269">
        <f t="shared" si="18"/>
        <v>1.0430311656294313</v>
      </c>
      <c r="Z146" s="1270">
        <f t="shared" si="19"/>
        <v>9.0872252068953524E-2</v>
      </c>
      <c r="AA146" s="1269">
        <f t="shared" si="20"/>
        <v>1.7275996763423125</v>
      </c>
      <c r="AB146" s="1270">
        <f t="shared" si="21"/>
        <v>0.12175842820591899</v>
      </c>
      <c r="AC146" s="1269">
        <f t="shared" si="22"/>
        <v>3.1843100719865229</v>
      </c>
      <c r="AD146" s="1270">
        <f t="shared" si="23"/>
        <v>0.19818553740762859</v>
      </c>
    </row>
    <row r="147" spans="2:30" ht="12" customHeight="1">
      <c r="B147" s="415" t="str">
        <f t="shared" si="15"/>
        <v/>
      </c>
      <c r="C147" s="449"/>
      <c r="D147" s="444"/>
      <c r="E147" s="415">
        <f t="shared" si="16"/>
        <v>540</v>
      </c>
      <c r="F147" s="428">
        <v>80</v>
      </c>
      <c r="G147" s="417"/>
      <c r="H147" s="418"/>
      <c r="I147" s="415">
        <f t="shared" si="17"/>
        <v>540</v>
      </c>
      <c r="J147" s="911">
        <v>132</v>
      </c>
      <c r="K147" s="409"/>
      <c r="L147" s="377">
        <f>0.05*(P115)+L146</f>
        <v>1.0303260671145666</v>
      </c>
      <c r="M147" s="441"/>
      <c r="N147" s="378">
        <f>0.05*(Q115)+N146</f>
        <v>1.7105762969261464</v>
      </c>
      <c r="O147" s="378">
        <f>0.05*(R115)+O146</f>
        <v>3.1566012090535929</v>
      </c>
      <c r="P147" s="377">
        <f>((P119)^2-(L147)^2+2*(L127)*(L147)-(L127)^2)^0.5</f>
        <v>0.12166514387777981</v>
      </c>
      <c r="Q147" s="377">
        <f>((Q119)^2-(N147)^2+2*(N127)*(N147)-(N127)^2)^0.5</f>
        <v>0.16301738263034218</v>
      </c>
      <c r="R147" s="377">
        <f>((R119)^2-(O147)^2+2*(O127)*(O147)-(O127)^2)^0.5</f>
        <v>0.26534251517061314</v>
      </c>
      <c r="T147" s="1266"/>
      <c r="U147" s="1266">
        <v>80</v>
      </c>
      <c r="V147" s="1266">
        <v>132</v>
      </c>
      <c r="W147" s="426"/>
      <c r="X147" s="1267">
        <v>20</v>
      </c>
      <c r="Y147" s="1269">
        <f t="shared" si="18"/>
        <v>1.0414050310487037</v>
      </c>
      <c r="Z147" s="1270">
        <f t="shared" si="19"/>
        <v>9.5464314465190672E-2</v>
      </c>
      <c r="AA147" s="1269">
        <f t="shared" si="20"/>
        <v>1.7254208419226436</v>
      </c>
      <c r="AB147" s="1270">
        <f t="shared" si="21"/>
        <v>0.12791126679921239</v>
      </c>
      <c r="AC147" s="1269">
        <f t="shared" si="22"/>
        <v>3.1807635949438495</v>
      </c>
      <c r="AD147" s="1270">
        <f t="shared" si="23"/>
        <v>0.20820047962692187</v>
      </c>
    </row>
    <row r="148" spans="2:30" ht="12" customHeight="1">
      <c r="B148" s="415" t="str">
        <f t="shared" si="15"/>
        <v/>
      </c>
      <c r="C148" s="449"/>
      <c r="D148" s="444"/>
      <c r="E148" s="415">
        <f t="shared" si="16"/>
        <v>560</v>
      </c>
      <c r="F148" s="442">
        <v>80</v>
      </c>
      <c r="G148" s="417"/>
      <c r="H148" s="418"/>
      <c r="I148" s="415">
        <f t="shared" si="17"/>
        <v>560</v>
      </c>
      <c r="J148" s="911">
        <v>132</v>
      </c>
      <c r="K148" s="409"/>
      <c r="L148" s="377">
        <f>0.05*(P115)+L147</f>
        <v>1.0582379653837544</v>
      </c>
      <c r="M148" s="441"/>
      <c r="N148" s="378">
        <f>0.05*(Q115)+N147</f>
        <v>1.7479750493959436</v>
      </c>
      <c r="O148" s="378">
        <f>0.05*(R115)+O147</f>
        <v>3.2174749568985188</v>
      </c>
      <c r="P148" s="377">
        <v>0</v>
      </c>
      <c r="Q148" s="377">
        <v>0</v>
      </c>
      <c r="R148" s="377">
        <v>0</v>
      </c>
      <c r="T148" s="1266"/>
      <c r="U148" s="1266">
        <v>80</v>
      </c>
      <c r="V148" s="1266">
        <v>132</v>
      </c>
      <c r="W148" s="426"/>
      <c r="X148" s="1267">
        <v>21</v>
      </c>
      <c r="Y148" s="1269">
        <f t="shared" si="18"/>
        <v>1.039699001596825</v>
      </c>
      <c r="Z148" s="1270">
        <f t="shared" si="19"/>
        <v>0.10002729750645818</v>
      </c>
      <c r="AA148" s="1269">
        <f t="shared" si="20"/>
        <v>1.7231349575101371</v>
      </c>
      <c r="AB148" s="1270">
        <f t="shared" si="21"/>
        <v>0.13402514238153451</v>
      </c>
      <c r="AC148" s="1269">
        <f t="shared" si="22"/>
        <v>3.1770428732047504</v>
      </c>
      <c r="AD148" s="1270">
        <f t="shared" si="23"/>
        <v>0.2181520019632375</v>
      </c>
    </row>
    <row r="149" spans="2:30" ht="12" customHeight="1">
      <c r="B149" s="415" t="str">
        <f t="shared" si="15"/>
        <v/>
      </c>
      <c r="C149" s="449"/>
      <c r="D149" s="444"/>
      <c r="E149" s="415" t="str">
        <f t="shared" si="16"/>
        <v/>
      </c>
      <c r="F149" s="428"/>
      <c r="G149" s="417"/>
      <c r="H149" s="418"/>
      <c r="I149" s="415">
        <f t="shared" si="17"/>
        <v>580</v>
      </c>
      <c r="J149" s="912">
        <v>132</v>
      </c>
      <c r="K149" s="409"/>
      <c r="L149" s="450"/>
      <c r="M149" s="451"/>
      <c r="N149" s="452"/>
      <c r="O149" s="450"/>
      <c r="P149" s="450"/>
      <c r="Q149" s="450"/>
      <c r="R149" s="450"/>
      <c r="T149" s="1266"/>
      <c r="U149" s="1266"/>
      <c r="V149" s="1266">
        <v>132</v>
      </c>
      <c r="W149" s="426"/>
      <c r="X149" s="1267">
        <v>22</v>
      </c>
      <c r="Y149" s="1269">
        <f t="shared" si="18"/>
        <v>1.0379135969468922</v>
      </c>
      <c r="Z149" s="1270">
        <f t="shared" si="19"/>
        <v>0.10455981126391901</v>
      </c>
      <c r="AA149" s="1269">
        <f t="shared" si="20"/>
        <v>1.7207427194073288</v>
      </c>
      <c r="AB149" s="1270">
        <f t="shared" si="21"/>
        <v>0.14009819260715647</v>
      </c>
      <c r="AC149" s="1269">
        <f t="shared" si="22"/>
        <v>3.1731490401371105</v>
      </c>
      <c r="AD149" s="1270">
        <f t="shared" si="23"/>
        <v>0.22803707308646923</v>
      </c>
    </row>
    <row r="150" spans="2:30" ht="12" customHeight="1">
      <c r="B150" s="415" t="str">
        <f t="shared" si="15"/>
        <v/>
      </c>
      <c r="C150" s="449"/>
      <c r="D150" s="444"/>
      <c r="E150" s="415" t="str">
        <f t="shared" si="16"/>
        <v/>
      </c>
      <c r="F150" s="428"/>
      <c r="G150" s="417"/>
      <c r="H150" s="418"/>
      <c r="I150" s="415">
        <f t="shared" si="17"/>
        <v>600</v>
      </c>
      <c r="J150" s="911">
        <v>132</v>
      </c>
      <c r="K150" s="409"/>
      <c r="L150" s="453"/>
      <c r="M150" s="167"/>
      <c r="N150" s="172"/>
      <c r="O150" s="453"/>
      <c r="P150" s="453"/>
      <c r="Q150" s="453"/>
      <c r="R150" s="453"/>
      <c r="T150" s="1266"/>
      <c r="U150" s="1266"/>
      <c r="V150" s="1266">
        <v>132</v>
      </c>
      <c r="W150" s="426"/>
      <c r="X150" s="1267">
        <v>23</v>
      </c>
      <c r="Y150" s="1269">
        <f t="shared" si="18"/>
        <v>1.0360493609504577</v>
      </c>
      <c r="Z150" s="1270">
        <f t="shared" si="19"/>
        <v>0.10906047508997524</v>
      </c>
      <c r="AA150" s="1269">
        <f t="shared" si="20"/>
        <v>1.7182448563131194</v>
      </c>
      <c r="AB150" s="1270">
        <f t="shared" si="21"/>
        <v>0.14612856756614867</v>
      </c>
      <c r="AC150" s="1269">
        <f t="shared" si="22"/>
        <v>3.1690832818402033</v>
      </c>
      <c r="AD150" s="1270">
        <f t="shared" si="23"/>
        <v>0.23785268190819411</v>
      </c>
    </row>
    <row r="151" spans="2:30" ht="12" customHeight="1">
      <c r="B151" s="415" t="str">
        <f t="shared" si="15"/>
        <v/>
      </c>
      <c r="C151" s="449"/>
      <c r="D151" s="444"/>
      <c r="E151" s="415" t="str">
        <f t="shared" si="16"/>
        <v/>
      </c>
      <c r="F151" s="428"/>
      <c r="G151" s="417"/>
      <c r="H151" s="418"/>
      <c r="I151" s="415" t="str">
        <f t="shared" si="17"/>
        <v/>
      </c>
      <c r="J151" s="419"/>
      <c r="K151" s="409"/>
      <c r="L151" s="453"/>
      <c r="M151" s="167"/>
      <c r="N151" s="172"/>
      <c r="O151" s="453"/>
      <c r="P151" s="453"/>
      <c r="Q151" s="453"/>
      <c r="R151" s="453"/>
      <c r="T151" s="1266"/>
      <c r="U151" s="1266"/>
      <c r="V151" s="1266"/>
      <c r="W151" s="426"/>
      <c r="X151" s="1267">
        <v>24</v>
      </c>
      <c r="Y151" s="1269">
        <f t="shared" si="18"/>
        <v>1.0341068614718654</v>
      </c>
      <c r="Z151" s="1270">
        <f t="shared" si="19"/>
        <v>0.1135279180388265</v>
      </c>
      <c r="AA151" s="1269">
        <f t="shared" si="20"/>
        <v>1.7156421291008039</v>
      </c>
      <c r="AB151" s="1270">
        <f t="shared" si="21"/>
        <v>0.15211443034788097</v>
      </c>
      <c r="AC151" s="1269">
        <f t="shared" si="22"/>
        <v>3.1648468367833908</v>
      </c>
      <c r="AD151" s="1270">
        <f t="shared" si="23"/>
        <v>0.24759583849887903</v>
      </c>
    </row>
    <row r="152" spans="2:30" ht="12" customHeight="1">
      <c r="B152" s="415" t="str">
        <f t="shared" si="15"/>
        <v/>
      </c>
      <c r="C152" s="449"/>
      <c r="D152" s="454"/>
      <c r="E152" s="415" t="str">
        <f t="shared" si="16"/>
        <v/>
      </c>
      <c r="F152" s="428"/>
      <c r="G152" s="417"/>
      <c r="H152" s="418"/>
      <c r="I152" s="415" t="str">
        <f t="shared" si="17"/>
        <v/>
      </c>
      <c r="J152" s="419"/>
      <c r="K152" s="409"/>
      <c r="L152" s="453"/>
      <c r="M152" s="167"/>
      <c r="N152" s="172"/>
      <c r="O152" s="453"/>
      <c r="P152" s="453"/>
      <c r="Q152" s="453"/>
      <c r="R152" s="453"/>
      <c r="T152" s="1266"/>
      <c r="U152" s="1266"/>
      <c r="V152" s="1266"/>
      <c r="W152" s="426"/>
      <c r="X152" s="1267">
        <v>25</v>
      </c>
      <c r="Y152" s="1269">
        <f t="shared" si="18"/>
        <v>1.0320866902152734</v>
      </c>
      <c r="Z152" s="1270">
        <f t="shared" si="19"/>
        <v>0.1179607792840735</v>
      </c>
      <c r="AA152" s="1269">
        <f t="shared" si="20"/>
        <v>1.7129353305863051</v>
      </c>
      <c r="AB152" s="1270">
        <f t="shared" si="21"/>
        <v>0.15805395760056373</v>
      </c>
      <c r="AC152" s="1269">
        <f t="shared" si="22"/>
        <v>3.1604409954288784</v>
      </c>
      <c r="AD152" s="1270">
        <f t="shared" si="23"/>
        <v>0.2572635749986425</v>
      </c>
    </row>
    <row r="153" spans="2:30" ht="12" customHeight="1">
      <c r="B153" s="455" t="str">
        <f t="shared" si="15"/>
        <v/>
      </c>
      <c r="C153" s="456"/>
      <c r="D153" s="457"/>
      <c r="E153" s="455" t="str">
        <f t="shared" si="16"/>
        <v/>
      </c>
      <c r="F153" s="458"/>
      <c r="G153" s="459"/>
      <c r="H153" s="446"/>
      <c r="I153" s="455" t="str">
        <f t="shared" si="17"/>
        <v/>
      </c>
      <c r="J153" s="460"/>
      <c r="K153" s="461"/>
      <c r="L153" s="462"/>
      <c r="M153" s="342"/>
      <c r="N153" s="173"/>
      <c r="O153" s="462"/>
      <c r="P153" s="462"/>
      <c r="Q153" s="462"/>
      <c r="R153" s="462"/>
      <c r="T153" s="1266"/>
      <c r="U153" s="1266"/>
      <c r="V153" s="1266"/>
      <c r="W153" s="426"/>
      <c r="X153" s="1267">
        <v>26</v>
      </c>
      <c r="Y153" s="1269">
        <f t="shared" si="18"/>
        <v>1.0299894625444166</v>
      </c>
      <c r="Z153" s="1270">
        <f t="shared" si="19"/>
        <v>0.12235770853323885</v>
      </c>
      <c r="AA153" s="1269">
        <f t="shared" si="20"/>
        <v>1.7101252852866715</v>
      </c>
      <c r="AB153" s="1270">
        <f t="shared" si="21"/>
        <v>0.16394534008665831</v>
      </c>
      <c r="AC153" s="1269">
        <f t="shared" si="22"/>
        <v>3.1558670998386211</v>
      </c>
      <c r="AD153" s="1270">
        <f t="shared" si="23"/>
        <v>0.26685294652129316</v>
      </c>
    </row>
    <row r="154" spans="2:30" ht="12" customHeight="1">
      <c r="F154" s="463"/>
      <c r="G154" s="464"/>
      <c r="H154" s="464"/>
      <c r="X154" s="1267">
        <v>27</v>
      </c>
      <c r="Y154" s="1269">
        <f t="shared" si="18"/>
        <v>1.0278158172951599</v>
      </c>
      <c r="Z154" s="1270">
        <f t="shared" si="19"/>
        <v>0.12671736643907922</v>
      </c>
      <c r="AA154" s="1269">
        <f t="shared" si="20"/>
        <v>1.7072128491689231</v>
      </c>
      <c r="AB154" s="1270">
        <f t="shared" si="21"/>
        <v>0.1697867832339883</v>
      </c>
      <c r="AC154" s="1269">
        <f t="shared" si="22"/>
        <v>3.1511265432655255</v>
      </c>
      <c r="AD154" s="1270">
        <f t="shared" si="23"/>
        <v>0.27636103205137086</v>
      </c>
    </row>
    <row r="155" spans="2:30" ht="12" customHeight="1">
      <c r="F155" s="465"/>
      <c r="G155" s="466"/>
      <c r="H155" s="467"/>
      <c r="L155" s="468" t="s">
        <v>116</v>
      </c>
      <c r="M155" s="469"/>
      <c r="N155" s="470" t="s">
        <v>115</v>
      </c>
      <c r="O155" s="190" t="s">
        <v>114</v>
      </c>
      <c r="P155" s="471"/>
      <c r="Q155" s="190" t="s">
        <v>113</v>
      </c>
      <c r="R155" s="471"/>
      <c r="X155" s="1267">
        <v>28</v>
      </c>
      <c r="Y155" s="1269">
        <f t="shared" si="18"/>
        <v>1.0255664165809026</v>
      </c>
      <c r="Z155" s="1270">
        <f t="shared" si="19"/>
        <v>0.13103842500756357</v>
      </c>
      <c r="AA155" s="1269">
        <f t="shared" si="20"/>
        <v>1.7041989093893144</v>
      </c>
      <c r="AB155" s="1270">
        <f t="shared" si="21"/>
        <v>0.17557650768238375</v>
      </c>
      <c r="AC155" s="1269">
        <f t="shared" si="22"/>
        <v>3.1462207697290459</v>
      </c>
      <c r="AD155" s="1270">
        <f t="shared" si="23"/>
        <v>0.28578493533391636</v>
      </c>
    </row>
    <row r="156" spans="2:30" ht="12" customHeight="1">
      <c r="L156" s="472">
        <f>M156*L166</f>
        <v>0</v>
      </c>
      <c r="M156" s="473">
        <v>0</v>
      </c>
      <c r="N156" s="474">
        <f>(((L156-O157)*(R157-P157))/(Q157-O157))+P157</f>
        <v>0.13122991413231042</v>
      </c>
      <c r="O156" s="475" t="s">
        <v>112</v>
      </c>
      <c r="P156" s="476" t="s">
        <v>111</v>
      </c>
      <c r="Q156" s="475" t="s">
        <v>110</v>
      </c>
      <c r="R156" s="476" t="s">
        <v>109</v>
      </c>
      <c r="X156" s="1267">
        <v>29</v>
      </c>
      <c r="Y156" s="1269">
        <f t="shared" si="18"/>
        <v>1.0232419455908928</v>
      </c>
      <c r="Z156" s="1270">
        <f t="shared" si="19"/>
        <v>0.13531956800239289</v>
      </c>
      <c r="AA156" s="1269">
        <f t="shared" si="20"/>
        <v>1.7010843840230994</v>
      </c>
      <c r="AB156" s="1270">
        <f t="shared" si="21"/>
        <v>0.18131274982569132</v>
      </c>
      <c r="AC156" s="1269">
        <f t="shared" si="22"/>
        <v>3.1411512735753249</v>
      </c>
      <c r="AD156" s="1270">
        <f t="shared" si="23"/>
        <v>0.29512178575669823</v>
      </c>
    </row>
    <row r="157" spans="2:30" ht="12" customHeight="1">
      <c r="L157" s="472">
        <f>L166*M157</f>
        <v>0.32174749568985206</v>
      </c>
      <c r="M157" s="477">
        <v>0.1</v>
      </c>
      <c r="N157" s="478">
        <f>(((L157-O157)*(R157-P157))/(Q157-O157))+P157</f>
        <v>0.19083914787018003</v>
      </c>
      <c r="O157" s="479">
        <f>(P120+Q120)/2</f>
        <v>1.0765532536949252</v>
      </c>
      <c r="P157" s="480">
        <f>(P123+Q123)/2</f>
        <v>0.33067984114160659</v>
      </c>
      <c r="Q157" s="479">
        <f>(Q120+R120)/2</f>
        <v>1.9913625015736165</v>
      </c>
      <c r="R157" s="480">
        <f>(Q124+R124)/2</f>
        <v>0.50016392108897856</v>
      </c>
      <c r="X157" s="1267">
        <v>30</v>
      </c>
      <c r="Y157" s="1269">
        <f t="shared" si="18"/>
        <v>1.0208431123815118</v>
      </c>
      <c r="Z157" s="1270">
        <f t="shared" si="19"/>
        <v>0.13955949134593856</v>
      </c>
      <c r="AA157" s="1269">
        <f t="shared" si="20"/>
        <v>1.6978702217848756</v>
      </c>
      <c r="AB157" s="1270">
        <f t="shared" si="21"/>
        <v>0.18699376234898588</v>
      </c>
      <c r="AC157" s="1269">
        <f t="shared" si="22"/>
        <v>3.1359195990220003</v>
      </c>
      <c r="AD157" s="1270">
        <f t="shared" si="23"/>
        <v>0.30436873922462965</v>
      </c>
    </row>
    <row r="158" spans="2:30" ht="12" customHeight="1">
      <c r="L158" s="472">
        <f>L166*M158</f>
        <v>0.64349499137970412</v>
      </c>
      <c r="M158" s="477">
        <v>0.2</v>
      </c>
      <c r="N158" s="478">
        <f>(((L158-O157)*(R157-P157))/(Q157-O157))+P157</f>
        <v>0.25044838160804961</v>
      </c>
      <c r="O158" s="481" t="s">
        <v>108</v>
      </c>
      <c r="P158" s="482"/>
      <c r="Q158" s="482"/>
      <c r="R158" s="483"/>
      <c r="X158" s="1267">
        <v>31</v>
      </c>
      <c r="Y158" s="1269">
        <f t="shared" si="18"/>
        <v>1.0183706476605932</v>
      </c>
      <c r="Z158" s="1270">
        <f t="shared" si="19"/>
        <v>0.14375690351647716</v>
      </c>
      <c r="AA158" s="1269">
        <f t="shared" si="20"/>
        <v>1.6945574017395968</v>
      </c>
      <c r="AB158" s="1270">
        <f t="shared" si="21"/>
        <v>0.19261781476081974</v>
      </c>
      <c r="AC158" s="1269">
        <f t="shared" si="22"/>
        <v>3.1305273396878213</v>
      </c>
      <c r="AD158" s="1270">
        <f t="shared" si="23"/>
        <v>0.31352297902610715</v>
      </c>
    </row>
    <row r="159" spans="2:30" ht="12" customHeight="1">
      <c r="L159" s="472">
        <f>L166*M159</f>
        <v>0.96524248706955618</v>
      </c>
      <c r="M159" s="477">
        <v>0.3</v>
      </c>
      <c r="N159" s="478">
        <f>(((L159-O157)*(R157-P157))/(Q157-O157))+P157</f>
        <v>0.31005761534591925</v>
      </c>
      <c r="O159" s="484">
        <f>(ATAN((R157-P157)/(Q157-O157)))*60</f>
        <v>10.991402387102896</v>
      </c>
      <c r="P159" s="485"/>
      <c r="Q159" s="486"/>
      <c r="R159" s="487"/>
      <c r="X159" s="1267">
        <v>32</v>
      </c>
      <c r="Y159" s="1269">
        <f t="shared" si="18"/>
        <v>1.015825304564842</v>
      </c>
      <c r="Z159" s="1270">
        <f t="shared" si="19"/>
        <v>0.1479105259416002</v>
      </c>
      <c r="AA159" s="1269">
        <f t="shared" si="20"/>
        <v>1.6911469330043412</v>
      </c>
      <c r="AB159" s="1270">
        <f t="shared" si="21"/>
        <v>0.19818319392034678</v>
      </c>
      <c r="AC159" s="1269">
        <f t="shared" si="22"/>
        <v>3.1249761381072174</v>
      </c>
      <c r="AD159" s="1270">
        <f t="shared" si="23"/>
        <v>0.32258171669100799</v>
      </c>
    </row>
    <row r="160" spans="2:30" ht="12" customHeight="1">
      <c r="L160" s="472">
        <f>L166*M160</f>
        <v>1.2869899827594082</v>
      </c>
      <c r="M160" s="477">
        <v>0.4</v>
      </c>
      <c r="N160" s="478">
        <f>(((L160-O157)*(R157-P157))/(Q157-O157))+P157</f>
        <v>0.36966684908378883</v>
      </c>
      <c r="O160" s="210"/>
      <c r="P160" s="210"/>
      <c r="Q160" s="210"/>
      <c r="R160" s="210"/>
      <c r="X160" s="1267">
        <v>33</v>
      </c>
      <c r="Y160" s="1269">
        <f t="shared" si="18"/>
        <v>1.0132078584304227</v>
      </c>
      <c r="Z160" s="1270">
        <f t="shared" si="19"/>
        <v>0.15201909338768005</v>
      </c>
      <c r="AA160" s="1269">
        <f t="shared" si="20"/>
        <v>1.6876398544409232</v>
      </c>
      <c r="AB160" s="1270">
        <f t="shared" si="21"/>
        <v>0.20368820455916198</v>
      </c>
      <c r="AC160" s="1269">
        <f t="shared" si="22"/>
        <v>3.119267685229965</v>
      </c>
      <c r="AD160" s="1270">
        <f t="shared" si="23"/>
        <v>0.33154219284008551</v>
      </c>
    </row>
    <row r="161" spans="12:30" ht="12" customHeight="1">
      <c r="L161" s="472">
        <f>L166*M161</f>
        <v>1.6087374784492603</v>
      </c>
      <c r="M161" s="477">
        <v>0.5</v>
      </c>
      <c r="N161" s="478">
        <f>(((L161-O157)*(R157-P157))/(Q157-O157))+P157</f>
        <v>0.42927608282165841</v>
      </c>
      <c r="O161" s="210"/>
      <c r="P161" s="210"/>
      <c r="Q161" s="210"/>
      <c r="R161" s="210"/>
      <c r="X161" s="1267">
        <v>34</v>
      </c>
      <c r="Y161" s="1269">
        <f t="shared" si="18"/>
        <v>1.0105191065567838</v>
      </c>
      <c r="Z161" s="1270">
        <f t="shared" si="19"/>
        <v>0.15608135434527196</v>
      </c>
      <c r="AA161" s="1269">
        <f t="shared" si="20"/>
        <v>1.684037234339447</v>
      </c>
      <c r="AB161" s="1270">
        <f t="shared" si="21"/>
        <v>0.20913116979769653</v>
      </c>
      <c r="AC161" s="1269">
        <f t="shared" si="22"/>
        <v>3.1134037199061106</v>
      </c>
      <c r="AD161" s="1270">
        <f t="shared" si="23"/>
        <v>0.34040167802550259</v>
      </c>
    </row>
    <row r="162" spans="12:30" ht="12" customHeight="1">
      <c r="L162" s="472">
        <f>L166*M162</f>
        <v>1.9304849741391124</v>
      </c>
      <c r="M162" s="477">
        <v>0.6</v>
      </c>
      <c r="N162" s="478">
        <f>(((L162-O157)*(R157-P157))/(Q157-O157))+P157</f>
        <v>0.48888531655952805</v>
      </c>
      <c r="O162" s="210"/>
      <c r="P162" s="210"/>
      <c r="Q162" s="210"/>
      <c r="R162" s="210"/>
      <c r="X162" s="1267">
        <v>35</v>
      </c>
      <c r="Y162" s="1269">
        <f t="shared" si="18"/>
        <v>1.007759867963792</v>
      </c>
      <c r="Z162" s="1270">
        <f t="shared" si="19"/>
        <v>0.16009607141033622</v>
      </c>
      <c r="AA162" s="1269">
        <f t="shared" si="20"/>
        <v>1.6803401700928953</v>
      </c>
      <c r="AB162" s="1270">
        <f t="shared" si="21"/>
        <v>0.2145104316560115</v>
      </c>
      <c r="AC162" s="1269">
        <f t="shared" si="22"/>
        <v>3.1073860283562964</v>
      </c>
      <c r="AD162" s="1270">
        <f t="shared" si="23"/>
        <v>0.34915747356224791</v>
      </c>
    </row>
    <row r="163" spans="12:30" ht="12" customHeight="1">
      <c r="L163" s="472">
        <f>L166*M163</f>
        <v>2.2522324698289644</v>
      </c>
      <c r="M163" s="477">
        <v>0.7</v>
      </c>
      <c r="N163" s="478">
        <f>(((L163-O157)*(R157-P157))/(Q157-O157))+P157</f>
        <v>0.54849455029739769</v>
      </c>
      <c r="O163" s="210"/>
      <c r="P163" s="210"/>
      <c r="Q163" s="210"/>
      <c r="R163" s="210"/>
      <c r="X163" s="1267">
        <v>36</v>
      </c>
      <c r="Y163" s="1269">
        <f t="shared" si="18"/>
        <v>1.0049309831422526</v>
      </c>
      <c r="Z163" s="1270">
        <f t="shared" si="19"/>
        <v>0.16406202166116346</v>
      </c>
      <c r="AA163" s="1269">
        <f t="shared" si="20"/>
        <v>1.6765497878628515</v>
      </c>
      <c r="AB163" s="1270">
        <f t="shared" si="21"/>
        <v>0.2198243515588349</v>
      </c>
      <c r="AC163" s="1269">
        <f t="shared" si="22"/>
        <v>3.1012164436276635</v>
      </c>
      <c r="AD163" s="1270">
        <f t="shared" si="23"/>
        <v>0.35780691235018186</v>
      </c>
    </row>
    <row r="164" spans="12:30" ht="12" customHeight="1">
      <c r="L164" s="472">
        <f>L166*M164</f>
        <v>2.5739799655188165</v>
      </c>
      <c r="M164" s="477">
        <v>0.8</v>
      </c>
      <c r="N164" s="478">
        <f>(((L164-O157)*(R157-P157))/(Q157-O157))+P157</f>
        <v>0.60810378403526721</v>
      </c>
      <c r="O164" s="210"/>
      <c r="P164" s="210"/>
      <c r="Q164" s="210"/>
      <c r="R164" s="210"/>
      <c r="X164" s="1267">
        <v>37</v>
      </c>
      <c r="Y164" s="1269">
        <f t="shared" si="18"/>
        <v>1.0020333137978861</v>
      </c>
      <c r="Z164" s="1270">
        <f t="shared" si="19"/>
        <v>0.16797799703088823</v>
      </c>
      <c r="AA164" s="1269">
        <f t="shared" si="20"/>
        <v>1.672667242236461</v>
      </c>
      <c r="AB164" s="1270">
        <f t="shared" si="21"/>
        <v>0.22507131083468712</v>
      </c>
      <c r="AC164" s="1269">
        <f t="shared" si="22"/>
        <v>3.0948968450354868</v>
      </c>
      <c r="AD164" s="1270">
        <f t="shared" si="23"/>
        <v>0.36634735968646054</v>
      </c>
    </row>
    <row r="165" spans="12:30" ht="12" customHeight="1">
      <c r="L165" s="472">
        <f>L166*M165</f>
        <v>2.8957274612086685</v>
      </c>
      <c r="M165" s="477">
        <v>0.9</v>
      </c>
      <c r="N165" s="478">
        <f>(((L165-O157)*(R157-P157))/(Q157-O157))+P157</f>
        <v>0.66771301777313685</v>
      </c>
      <c r="O165" s="488"/>
      <c r="P165" s="488"/>
      <c r="Q165" s="210"/>
      <c r="R165" s="210"/>
      <c r="X165" s="1267">
        <v>38</v>
      </c>
      <c r="Y165" s="1269">
        <f t="shared" si="18"/>
        <v>0.9990677425888449</v>
      </c>
      <c r="Z165" s="1270">
        <f t="shared" si="19"/>
        <v>0.17184280467547799</v>
      </c>
      <c r="AA165" s="1269">
        <f t="shared" si="20"/>
        <v>1.668693715874733</v>
      </c>
      <c r="AB165" s="1270">
        <f t="shared" si="21"/>
        <v>0.23024971120894439</v>
      </c>
      <c r="AC165" s="1269">
        <f t="shared" si="22"/>
        <v>3.0884291575907161</v>
      </c>
      <c r="AD165" s="1270">
        <f t="shared" si="23"/>
        <v>0.37477621406809214</v>
      </c>
    </row>
    <row r="166" spans="12:30" ht="12" customHeight="1">
      <c r="L166" s="479">
        <f>R117</f>
        <v>3.2174749568985206</v>
      </c>
      <c r="M166" s="489"/>
      <c r="N166" s="480">
        <f>(((L166-O157)*(R157-P157))/(Q157-O157))+P157</f>
        <v>0.72732225151100649</v>
      </c>
      <c r="O166" s="488"/>
      <c r="P166" s="488"/>
      <c r="Q166" s="210"/>
      <c r="R166" s="210"/>
      <c r="X166" s="1267">
        <v>39</v>
      </c>
      <c r="Y166" s="1269">
        <f t="shared" si="18"/>
        <v>0.99603517285684773</v>
      </c>
      <c r="Z166" s="1270">
        <f t="shared" si="19"/>
        <v>0.17565526733708495</v>
      </c>
      <c r="AA166" s="1269">
        <f t="shared" si="20"/>
        <v>1.6646304191522898</v>
      </c>
      <c r="AB166" s="1270">
        <f t="shared" si="21"/>
        <v>0.23535797529068833</v>
      </c>
      <c r="AC166" s="1269">
        <f t="shared" si="22"/>
        <v>3.0818153514136011</v>
      </c>
      <c r="AD166" s="1270">
        <f t="shared" si="23"/>
        <v>0.38309090798437989</v>
      </c>
    </row>
    <row r="167" spans="12:30" ht="12" customHeight="1">
      <c r="L167" s="210"/>
      <c r="M167" s="210"/>
      <c r="N167" s="210"/>
      <c r="O167" s="210"/>
      <c r="P167" s="210"/>
      <c r="Q167" s="210"/>
      <c r="R167" s="210"/>
      <c r="X167" s="1267">
        <v>40</v>
      </c>
      <c r="Y167" s="1269">
        <f t="shared" si="18"/>
        <v>0.99293652835201196</v>
      </c>
      <c r="Z167" s="1270">
        <f t="shared" si="19"/>
        <v>0.17941422370265026</v>
      </c>
      <c r="AA167" s="1269">
        <f t="shared" si="20"/>
        <v>1.6604785897886747</v>
      </c>
      <c r="AB167" s="1270">
        <f t="shared" si="21"/>
        <v>0.24039454705319485</v>
      </c>
      <c r="AC167" s="1269">
        <f t="shared" si="22"/>
        <v>3.0750574411335734</v>
      </c>
      <c r="AD167" s="1270">
        <f t="shared" si="23"/>
        <v>0.39128890869901067</v>
      </c>
    </row>
    <row r="168" spans="12:30" ht="12" customHeight="1">
      <c r="L168" s="210"/>
      <c r="M168" s="210"/>
      <c r="N168" s="210"/>
      <c r="O168" s="210"/>
      <c r="P168" s="210"/>
      <c r="Q168" s="210"/>
      <c r="R168" s="210"/>
      <c r="X168" s="1267">
        <v>41</v>
      </c>
      <c r="Y168" s="1269">
        <f t="shared" si="18"/>
        <v>0.98977275295147105</v>
      </c>
      <c r="Z168" s="1270">
        <f t="shared" si="19"/>
        <v>0.18311852875765114</v>
      </c>
      <c r="AA168" s="1269">
        <f t="shared" si="20"/>
        <v>1.6562394924713317</v>
      </c>
      <c r="AB168" s="1270">
        <f t="shared" si="21"/>
        <v>0.24535789230791474</v>
      </c>
      <c r="AC168" s="1269">
        <f t="shared" si="22"/>
        <v>3.0681574852755689</v>
      </c>
      <c r="AD168" s="1270">
        <f t="shared" si="23"/>
        <v>0.39936771902155099</v>
      </c>
    </row>
    <row r="169" spans="12:30" ht="12" customHeight="1">
      <c r="L169" s="210"/>
      <c r="M169" s="210"/>
      <c r="N169" s="210"/>
      <c r="O169" s="210"/>
      <c r="P169" s="210"/>
      <c r="Q169" s="210"/>
      <c r="R169" s="210"/>
      <c r="X169" s="1267">
        <v>42</v>
      </c>
      <c r="Y169" s="1269">
        <f t="shared" si="18"/>
        <v>0.98654481037186004</v>
      </c>
      <c r="Z169" s="1270">
        <f t="shared" si="19"/>
        <v>0.18676705413488343</v>
      </c>
      <c r="AA169" s="1269">
        <f t="shared" si="20"/>
        <v>1.6519144184703687</v>
      </c>
      <c r="AB169" s="1270">
        <f t="shared" si="21"/>
        <v>0.25024649917180236</v>
      </c>
      <c r="AC169" s="1269">
        <f t="shared" si="22"/>
        <v>3.0611175856329833</v>
      </c>
      <c r="AD169" s="1270">
        <f t="shared" si="23"/>
        <v>0.40732487806811535</v>
      </c>
    </row>
    <row r="170" spans="12:30" ht="12" customHeight="1">
      <c r="L170" s="210"/>
      <c r="M170" s="210"/>
      <c r="N170" s="210"/>
      <c r="O170" s="210"/>
      <c r="P170" s="210"/>
      <c r="Q170" s="210"/>
      <c r="R170" s="210"/>
      <c r="X170" s="1267">
        <v>43</v>
      </c>
      <c r="Y170" s="1269">
        <f t="shared" si="18"/>
        <v>0.98325368387575873</v>
      </c>
      <c r="Z170" s="1270">
        <f t="shared" si="19"/>
        <v>0.19035868845817314</v>
      </c>
      <c r="AA170" s="1269">
        <f t="shared" si="20"/>
        <v>1.6475046852452244</v>
      </c>
      <c r="AB170" s="1270">
        <f t="shared" si="21"/>
        <v>0.25505887852784992</v>
      </c>
      <c r="AC170" s="1269">
        <f t="shared" si="22"/>
        <v>3.0539398866274454</v>
      </c>
      <c r="AD170" s="1270">
        <f t="shared" si="23"/>
        <v>0.41515796201097543</v>
      </c>
    </row>
    <row r="171" spans="12:30" ht="12" customHeight="1">
      <c r="L171" s="210"/>
      <c r="M171" s="210"/>
      <c r="N171" s="210"/>
      <c r="O171" s="210"/>
      <c r="P171" s="210"/>
      <c r="Q171" s="210"/>
      <c r="R171" s="210"/>
      <c r="X171" s="1267">
        <v>44</v>
      </c>
      <c r="Y171" s="1269">
        <f t="shared" si="18"/>
        <v>0.9799003759721796</v>
      </c>
      <c r="Z171" s="1270">
        <f t="shared" si="19"/>
        <v>0.19389233768091246</v>
      </c>
      <c r="AA171" s="1269">
        <f t="shared" si="20"/>
        <v>1.6430116360433571</v>
      </c>
      <c r="AB171" s="1270">
        <f t="shared" si="21"/>
        <v>0.25979356447868707</v>
      </c>
      <c r="AC171" s="1269">
        <f t="shared" si="22"/>
        <v>3.0466265746556038</v>
      </c>
      <c r="AD171" s="1270">
        <f t="shared" si="23"/>
        <v>0.42286458481688149</v>
      </c>
    </row>
    <row r="172" spans="12:30" ht="12" customHeight="1">
      <c r="L172" s="210"/>
      <c r="M172" s="210"/>
      <c r="N172" s="210"/>
      <c r="O172" s="210"/>
      <c r="P172" s="210"/>
      <c r="Q172" s="210"/>
      <c r="R172" s="210"/>
      <c r="X172" s="1267">
        <v>45</v>
      </c>
      <c r="Y172" s="1269">
        <f t="shared" si="18"/>
        <v>0.97648590811119418</v>
      </c>
      <c r="Z172" s="1270">
        <f t="shared" si="19"/>
        <v>0.19736692541931691</v>
      </c>
      <c r="AA172" s="1269">
        <f t="shared" si="20"/>
        <v>1.6384366394910792</v>
      </c>
      <c r="AB172" s="1270">
        <f t="shared" si="21"/>
        <v>0.26444911479310729</v>
      </c>
      <c r="AC172" s="1269">
        <f t="shared" si="22"/>
        <v>3.0391798774231304</v>
      </c>
      <c r="AD172" s="1270">
        <f t="shared" si="23"/>
        <v>0.4304423989738711</v>
      </c>
    </row>
    <row r="173" spans="12:30" ht="12" customHeight="1">
      <c r="L173" s="210"/>
      <c r="M173" s="210"/>
      <c r="N173" s="210"/>
      <c r="O173" s="210"/>
      <c r="P173" s="210"/>
      <c r="Q173" s="210"/>
      <c r="R173" s="210"/>
      <c r="X173" s="1267">
        <v>46</v>
      </c>
      <c r="Y173" s="1269">
        <f t="shared" si="18"/>
        <v>0.9730113203727897</v>
      </c>
      <c r="Z173" s="1270">
        <f t="shared" si="19"/>
        <v>0.20078139328030234</v>
      </c>
      <c r="AA173" s="1269">
        <f t="shared" si="20"/>
        <v>1.6337810891766589</v>
      </c>
      <c r="AB173" s="1270">
        <f t="shared" si="21"/>
        <v>0.2690241113453854</v>
      </c>
      <c r="AC173" s="1269">
        <f t="shared" si="22"/>
        <v>3.0316020632661411</v>
      </c>
      <c r="AD173" s="1270">
        <f t="shared" si="23"/>
        <v>0.4378890962063442</v>
      </c>
    </row>
    <row r="174" spans="12:30" ht="12" customHeight="1">
      <c r="L174" s="210"/>
      <c r="M174" s="210"/>
      <c r="N174" s="210"/>
      <c r="O174" s="210"/>
      <c r="P174" s="210"/>
      <c r="Q174" s="210"/>
      <c r="R174" s="210"/>
      <c r="X174" s="1267">
        <v>47</v>
      </c>
      <c r="Y174" s="1269">
        <f t="shared" si="18"/>
        <v>0.96947767115005035</v>
      </c>
      <c r="Z174" s="1270">
        <f t="shared" si="19"/>
        <v>0.20413470118388155</v>
      </c>
      <c r="AA174" s="1269">
        <f t="shared" si="20"/>
        <v>1.6290464032258218</v>
      </c>
      <c r="AB174" s="1270">
        <f t="shared" si="21"/>
        <v>0.27351716054725261</v>
      </c>
      <c r="AC174" s="1269">
        <f t="shared" si="22"/>
        <v>3.023895440460235</v>
      </c>
      <c r="AD174" s="1270">
        <f t="shared" si="23"/>
        <v>0.44520240817818585</v>
      </c>
    </row>
    <row r="175" spans="12:30" ht="12" customHeight="1">
      <c r="L175" s="210"/>
      <c r="M175" s="210"/>
      <c r="N175" s="210"/>
      <c r="O175" s="210"/>
      <c r="P175" s="210"/>
      <c r="Q175" s="210"/>
      <c r="R175" s="210"/>
      <c r="X175" s="1267">
        <v>48</v>
      </c>
      <c r="Y175" s="1269">
        <f t="shared" si="18"/>
        <v>0.96588603682676055</v>
      </c>
      <c r="Z175" s="1270">
        <f t="shared" si="19"/>
        <v>0.20742582767998288</v>
      </c>
      <c r="AA175" s="1269">
        <f t="shared" si="20"/>
        <v>1.6242340238697741</v>
      </c>
      <c r="AB175" s="1270">
        <f t="shared" si="21"/>
        <v>0.27792689377239693</v>
      </c>
      <c r="AC175" s="1269">
        <f t="shared" si="22"/>
        <v>3.0160623565173745</v>
      </c>
      <c r="AD175" s="1270">
        <f t="shared" si="23"/>
        <v>0.4523801071837239</v>
      </c>
    </row>
    <row r="176" spans="12:30" ht="12" customHeight="1">
      <c r="L176" s="210"/>
      <c r="M176" s="210"/>
      <c r="N176" s="210"/>
      <c r="O176" s="210"/>
      <c r="P176" s="210"/>
      <c r="Q176" s="210"/>
      <c r="R176" s="210"/>
      <c r="X176" s="1267">
        <v>49</v>
      </c>
      <c r="Y176" s="1269">
        <f t="shared" si="18"/>
        <v>0.96223751144952829</v>
      </c>
      <c r="Z176" s="1270">
        <f t="shared" si="19"/>
        <v>0.21065377025959381</v>
      </c>
      <c r="AA176" s="1269">
        <f t="shared" si="20"/>
        <v>1.6193454170058865</v>
      </c>
      <c r="AB176" s="1270">
        <f t="shared" si="21"/>
        <v>0.28225196777335987</v>
      </c>
      <c r="AC176" s="1269">
        <f t="shared" si="22"/>
        <v>3.0081051974708104</v>
      </c>
      <c r="AD176" s="1270">
        <f t="shared" si="23"/>
        <v>0.45942000682630929</v>
      </c>
    </row>
    <row r="177" spans="12:30" ht="12" customHeight="1">
      <c r="L177" s="210"/>
      <c r="M177" s="210"/>
      <c r="N177" s="210"/>
      <c r="O177" s="210"/>
      <c r="P177" s="210"/>
      <c r="Q177" s="210"/>
      <c r="R177" s="210"/>
      <c r="X177" s="1267">
        <v>50</v>
      </c>
      <c r="Y177" s="1269">
        <f t="shared" si="18"/>
        <v>0.95853320639452744</v>
      </c>
      <c r="Z177" s="1270">
        <f t="shared" si="19"/>
        <v>0.21381754566013472</v>
      </c>
      <c r="AA177" s="1269">
        <f t="shared" si="20"/>
        <v>1.6143820717511668</v>
      </c>
      <c r="AB177" s="1270">
        <f t="shared" si="21"/>
        <v>0.28649106509070282</v>
      </c>
      <c r="AC177" s="1269">
        <f t="shared" si="22"/>
        <v>3.00002638714827</v>
      </c>
      <c r="AD177" s="1270">
        <f t="shared" si="23"/>
        <v>0.4663199626843138</v>
      </c>
    </row>
    <row r="178" spans="12:30" ht="12" customHeight="1">
      <c r="L178" s="210"/>
      <c r="M178" s="210"/>
      <c r="N178" s="210"/>
      <c r="O178" s="210"/>
      <c r="P178" s="210"/>
      <c r="Q178" s="210"/>
      <c r="R178" s="210"/>
      <c r="X178" s="1267">
        <v>51</v>
      </c>
      <c r="Y178" s="1269">
        <f t="shared" si="18"/>
        <v>0.95477425002896221</v>
      </c>
      <c r="Z178" s="1270">
        <f t="shared" si="19"/>
        <v>0.21691619016497052</v>
      </c>
      <c r="AA178" s="1269">
        <f t="shared" si="20"/>
        <v>1.6093454999886603</v>
      </c>
      <c r="AB178" s="1270">
        <f t="shared" si="21"/>
        <v>0.29064289445431796</v>
      </c>
      <c r="AC178" s="1269">
        <f t="shared" si="22"/>
        <v>2.9918283864336392</v>
      </c>
      <c r="AD178" s="1270">
        <f t="shared" si="23"/>
        <v>0.47307787296434178</v>
      </c>
    </row>
    <row r="179" spans="12:30" ht="12" customHeight="1">
      <c r="L179" s="210"/>
      <c r="M179" s="210"/>
      <c r="N179" s="210"/>
      <c r="O179" s="210"/>
      <c r="P179" s="210"/>
      <c r="Q179" s="210"/>
      <c r="R179" s="210"/>
      <c r="X179" s="1267">
        <v>52</v>
      </c>
      <c r="Y179" s="1269">
        <f t="shared" si="18"/>
        <v>0.95096178736735515</v>
      </c>
      <c r="Z179" s="1270">
        <f t="shared" si="19"/>
        <v>0.21994875989696774</v>
      </c>
      <c r="AA179" s="1269">
        <f t="shared" si="20"/>
        <v>1.6042372359069161</v>
      </c>
      <c r="AB179" s="1270">
        <f t="shared" si="21"/>
        <v>0.29470619117676133</v>
      </c>
      <c r="AC179" s="1269">
        <f t="shared" si="22"/>
        <v>2.9835136925173513</v>
      </c>
      <c r="AD179" s="1270">
        <f t="shared" si="23"/>
        <v>0.47969167914145661</v>
      </c>
    </row>
    <row r="180" spans="12:30" ht="12" customHeight="1">
      <c r="L180" s="210"/>
      <c r="M180" s="210"/>
      <c r="N180" s="210"/>
      <c r="O180" s="210"/>
      <c r="P180" s="210"/>
      <c r="Q180" s="210"/>
      <c r="R180" s="210"/>
      <c r="X180" s="1267">
        <v>53</v>
      </c>
      <c r="Y180" s="1269">
        <f t="shared" si="18"/>
        <v>0.94709697972276541</v>
      </c>
      <c r="Z180" s="1270">
        <f t="shared" si="19"/>
        <v>0.22291433110600883</v>
      </c>
      <c r="AA180" s="1269">
        <f t="shared" si="20"/>
        <v>1.5990588355326589</v>
      </c>
      <c r="AB180" s="1270">
        <f t="shared" si="21"/>
        <v>0.29867971753848926</v>
      </c>
      <c r="AC180" s="1269">
        <f t="shared" si="22"/>
        <v>2.9750848381357198</v>
      </c>
      <c r="AD180" s="1270">
        <f t="shared" si="23"/>
        <v>0.48615936658622722</v>
      </c>
    </row>
    <row r="181" spans="12:30" ht="12" customHeight="1">
      <c r="L181" s="210"/>
      <c r="M181" s="210"/>
      <c r="N181" s="210"/>
      <c r="O181" s="210"/>
      <c r="P181" s="210"/>
      <c r="Q181" s="210"/>
      <c r="R181" s="210"/>
      <c r="X181" s="1267">
        <v>54</v>
      </c>
      <c r="Y181" s="1269">
        <f t="shared" si="18"/>
        <v>0.94318100435304064</v>
      </c>
      <c r="Z181" s="1270">
        <f t="shared" si="19"/>
        <v>0.22581200045037544</v>
      </c>
      <c r="AA181" s="1269">
        <f t="shared" si="20"/>
        <v>1.5938118762568068</v>
      </c>
      <c r="AB181" s="1270">
        <f t="shared" si="21"/>
        <v>0.30256226316487955</v>
      </c>
      <c r="AC181" s="1269">
        <f t="shared" si="22"/>
        <v>2.9665443907994411</v>
      </c>
      <c r="AD181" s="1270">
        <f t="shared" si="23"/>
        <v>0.49247896517840417</v>
      </c>
    </row>
    <row r="182" spans="12:30" ht="12" customHeight="1">
      <c r="L182" s="210"/>
      <c r="M182" s="210"/>
      <c r="N182" s="210"/>
      <c r="O182" s="210"/>
      <c r="P182" s="210"/>
      <c r="Q182" s="210"/>
      <c r="R182" s="210"/>
      <c r="X182" s="1267">
        <v>55</v>
      </c>
      <c r="Y182" s="1269">
        <f t="shared" si="18"/>
        <v>0.9392150541022134</v>
      </c>
      <c r="Z182" s="1270">
        <f t="shared" si="19"/>
        <v>0.22864088527191492</v>
      </c>
      <c r="AA182" s="1269">
        <f t="shared" si="20"/>
        <v>1.5884979563539834</v>
      </c>
      <c r="AB182" s="1270">
        <f t="shared" si="21"/>
        <v>0.30635264539492341</v>
      </c>
      <c r="AC182" s="1269">
        <f t="shared" si="22"/>
        <v>2.9578949520115074</v>
      </c>
      <c r="AD182" s="1270">
        <f t="shared" si="23"/>
        <v>0.49864854990703694</v>
      </c>
    </row>
    <row r="183" spans="12:30" ht="12" customHeight="1">
      <c r="L183" s="210"/>
      <c r="M183" s="210"/>
      <c r="N183" s="210"/>
      <c r="O183" s="210"/>
      <c r="P183" s="210"/>
      <c r="Q183" s="210"/>
      <c r="R183" s="210"/>
      <c r="X183" s="1267">
        <v>56</v>
      </c>
      <c r="Y183" s="1269">
        <f t="shared" si="18"/>
        <v>0.93520033703714911</v>
      </c>
      <c r="Z183" s="1270">
        <f t="shared" si="19"/>
        <v>0.23140012386490658</v>
      </c>
      <c r="AA183" s="1269">
        <f t="shared" si="20"/>
        <v>1.5831186944956683</v>
      </c>
      <c r="AB183" s="1270">
        <f t="shared" si="21"/>
        <v>0.31004970964147527</v>
      </c>
      <c r="AC183" s="1269">
        <f t="shared" si="22"/>
        <v>2.9491391564747618</v>
      </c>
      <c r="AD183" s="1270">
        <f t="shared" si="23"/>
        <v>0.50466624145685102</v>
      </c>
    </row>
    <row r="184" spans="12:30" ht="12" customHeight="1">
      <c r="L184" s="210"/>
      <c r="M184" s="210"/>
      <c r="N184" s="210"/>
      <c r="O184" s="210"/>
      <c r="P184" s="210"/>
      <c r="Q184" s="210"/>
      <c r="R184" s="210"/>
      <c r="X184" s="1267">
        <v>57</v>
      </c>
      <c r="Y184" s="1269">
        <f t="shared" si="18"/>
        <v>0.93113807607955723</v>
      </c>
      <c r="Z184" s="1270">
        <f t="shared" si="19"/>
        <v>0.23408887573854562</v>
      </c>
      <c r="AA184" s="1269">
        <f t="shared" si="20"/>
        <v>1.5776757292571337</v>
      </c>
      <c r="AB184" s="1270">
        <f t="shared" si="21"/>
        <v>0.31365232974295132</v>
      </c>
      <c r="AC184" s="1269">
        <f t="shared" si="22"/>
        <v>2.9402796712893449</v>
      </c>
      <c r="AD184" s="1270">
        <f t="shared" si="23"/>
        <v>0.51053020678070571</v>
      </c>
    </row>
    <row r="185" spans="12:30" ht="12" customHeight="1">
      <c r="L185" s="210"/>
      <c r="M185" s="210"/>
      <c r="N185" s="210"/>
      <c r="O185" s="210"/>
      <c r="P185" s="210"/>
      <c r="Q185" s="210"/>
      <c r="R185" s="210"/>
      <c r="X185" s="1267">
        <v>58</v>
      </c>
      <c r="Y185" s="1269">
        <f t="shared" si="18"/>
        <v>0.92702950863347744</v>
      </c>
      <c r="Z185" s="1270">
        <f t="shared" si="19"/>
        <v>0.23670632187296486</v>
      </c>
      <c r="AA185" s="1269">
        <f t="shared" si="20"/>
        <v>1.5721707186183185</v>
      </c>
      <c r="AB185" s="1270">
        <f t="shared" si="21"/>
        <v>0.31715940830636929</v>
      </c>
      <c r="AC185" s="1269">
        <f t="shared" si="22"/>
        <v>2.9313191951402673</v>
      </c>
      <c r="AD185" s="1270">
        <f t="shared" si="23"/>
        <v>0.51623865965795779</v>
      </c>
    </row>
    <row r="186" spans="12:30" ht="12" customHeight="1">
      <c r="L186" s="210"/>
      <c r="M186" s="210"/>
      <c r="N186" s="210"/>
      <c r="O186" s="210"/>
      <c r="P186" s="210"/>
      <c r="Q186" s="210"/>
      <c r="R186" s="210"/>
      <c r="X186" s="1267">
        <v>59</v>
      </c>
      <c r="Y186" s="1269">
        <f t="shared" si="18"/>
        <v>0.92287588620835437</v>
      </c>
      <c r="Z186" s="1270">
        <f t="shared" si="19"/>
        <v>0.23925166496871597</v>
      </c>
      <c r="AA186" s="1269">
        <f t="shared" si="20"/>
        <v>1.5666053394587915</v>
      </c>
      <c r="AB186" s="1270">
        <f t="shared" si="21"/>
        <v>0.32056987704162504</v>
      </c>
      <c r="AC186" s="1269">
        <f t="shared" si="22"/>
        <v>2.9222604574753666</v>
      </c>
      <c r="AD186" s="1270">
        <f t="shared" si="23"/>
        <v>0.52178986123856197</v>
      </c>
    </row>
    <row r="187" spans="12:30" ht="12" customHeight="1">
      <c r="L187" s="210"/>
      <c r="M187" s="210"/>
      <c r="N187" s="210"/>
      <c r="O187" s="210"/>
      <c r="P187" s="210"/>
      <c r="Q187" s="210"/>
      <c r="R187" s="210"/>
      <c r="X187" s="1267">
        <v>60</v>
      </c>
      <c r="Y187" s="1269">
        <f t="shared" si="18"/>
        <v>0.91867847403781577</v>
      </c>
      <c r="Z187" s="1270">
        <f t="shared" si="19"/>
        <v>0.24172412968963466</v>
      </c>
      <c r="AA187" s="1269">
        <f t="shared" si="20"/>
        <v>1.5609812870469577</v>
      </c>
      <c r="AB187" s="1270">
        <f t="shared" si="21"/>
        <v>0.32388269708690376</v>
      </c>
      <c r="AC187" s="1269">
        <f t="shared" si="22"/>
        <v>2.9131062176738891</v>
      </c>
      <c r="AD187" s="1270">
        <f t="shared" si="23"/>
        <v>0.52718212057274083</v>
      </c>
    </row>
    <row r="188" spans="12:30" ht="12" customHeight="1">
      <c r="L188" s="210"/>
      <c r="M188" s="210"/>
      <c r="N188" s="210"/>
      <c r="O188" s="210"/>
      <c r="P188" s="210"/>
      <c r="Q188" s="210"/>
      <c r="R188" s="210"/>
      <c r="X188" s="1267">
        <v>61</v>
      </c>
      <c r="Y188" s="1269">
        <f t="shared" si="18"/>
        <v>0.91443855069427005</v>
      </c>
      <c r="Z188" s="1270">
        <f t="shared" si="19"/>
        <v>0.24412296289901569</v>
      </c>
      <c r="AA188" s="1269">
        <f t="shared" si="20"/>
        <v>1.5553002745236633</v>
      </c>
      <c r="AB188" s="1270">
        <f t="shared" si="21"/>
        <v>0.32709685932512761</v>
      </c>
      <c r="AC188" s="1269">
        <f t="shared" si="22"/>
        <v>2.9038592642059577</v>
      </c>
      <c r="AD188" s="1270">
        <f t="shared" si="23"/>
        <v>0.53241379512606546</v>
      </c>
    </row>
    <row r="189" spans="12:30" ht="12" customHeight="1">
      <c r="L189" s="210"/>
      <c r="M189" s="210"/>
      <c r="N189" s="210"/>
      <c r="O189" s="210"/>
      <c r="P189" s="210"/>
      <c r="Q189" s="210"/>
      <c r="R189" s="210"/>
      <c r="X189" s="1267">
        <v>62</v>
      </c>
      <c r="Y189" s="1269">
        <f t="shared" si="18"/>
        <v>0.91015740769944076</v>
      </c>
      <c r="Z189" s="1270">
        <f t="shared" si="19"/>
        <v>0.24644743388902543</v>
      </c>
      <c r="AA189" s="1269">
        <f t="shared" si="20"/>
        <v>1.5495640323803557</v>
      </c>
      <c r="AB189" s="1270">
        <f t="shared" si="21"/>
        <v>0.33021138469134265</v>
      </c>
      <c r="AC189" s="1269">
        <f t="shared" si="22"/>
        <v>2.894522413783176</v>
      </c>
      <c r="AD189" s="1270">
        <f t="shared" si="23"/>
        <v>0.53748329127978645</v>
      </c>
    </row>
    <row r="190" spans="12:30" ht="12" customHeight="1">
      <c r="L190" s="210"/>
      <c r="M190" s="210"/>
      <c r="N190" s="210"/>
      <c r="O190" s="210"/>
      <c r="P190" s="210"/>
      <c r="Q190" s="210"/>
      <c r="R190" s="210"/>
      <c r="X190" s="1267">
        <v>63</v>
      </c>
      <c r="Y190" s="1269">
        <f t="shared" si="18"/>
        <v>0.90583634913095645</v>
      </c>
      <c r="Z190" s="1270">
        <f t="shared" si="19"/>
        <v>0.24869683460328268</v>
      </c>
      <c r="AA190" s="1269">
        <f t="shared" si="20"/>
        <v>1.5437743079319601</v>
      </c>
      <c r="AB190" s="1270">
        <f t="shared" si="21"/>
        <v>0.33322532447095121</v>
      </c>
      <c r="AC190" s="1269">
        <f t="shared" si="22"/>
        <v>2.8850985105006304</v>
      </c>
      <c r="AD190" s="1270">
        <f t="shared" si="23"/>
        <v>0.54238906481626603</v>
      </c>
    </row>
    <row r="191" spans="12:30" ht="12" customHeight="1">
      <c r="L191" s="210"/>
      <c r="M191" s="210"/>
      <c r="N191" s="210"/>
      <c r="O191" s="210"/>
      <c r="P191" s="210"/>
      <c r="Q191" s="210"/>
      <c r="R191" s="210"/>
      <c r="X191" s="1267">
        <v>64</v>
      </c>
      <c r="Y191" s="1269">
        <f t="shared" si="18"/>
        <v>0.90147669122511609</v>
      </c>
      <c r="Z191" s="1270">
        <f t="shared" si="19"/>
        <v>0.25087047985253946</v>
      </c>
      <c r="AA191" s="1269">
        <f t="shared" si="20"/>
        <v>1.5379328647846302</v>
      </c>
      <c r="AB191" s="1270">
        <f t="shared" si="21"/>
        <v>0.33613776058869976</v>
      </c>
      <c r="AC191" s="1269">
        <f t="shared" si="22"/>
        <v>2.8755904249705524</v>
      </c>
      <c r="AD191" s="1270">
        <f t="shared" si="23"/>
        <v>0.54712962138936183</v>
      </c>
    </row>
    <row r="192" spans="12:30" ht="12" customHeight="1">
      <c r="L192" s="210"/>
      <c r="M192" s="210"/>
      <c r="N192" s="210"/>
      <c r="O192" s="210"/>
      <c r="P192" s="210"/>
      <c r="Q192" s="210"/>
      <c r="R192" s="210"/>
      <c r="X192" s="1267">
        <v>65</v>
      </c>
      <c r="Y192" s="1269">
        <f t="shared" si="18"/>
        <v>0.89707976197595074</v>
      </c>
      <c r="Z192" s="1270">
        <f t="shared" si="19"/>
        <v>0.2529677075233962</v>
      </c>
      <c r="AA192" s="1269">
        <f t="shared" si="20"/>
        <v>1.5320414822985355</v>
      </c>
      <c r="AB192" s="1270">
        <f t="shared" si="21"/>
        <v>0.33894780588833329</v>
      </c>
      <c r="AC192" s="1269">
        <f t="shared" si="22"/>
        <v>2.8660010534479019</v>
      </c>
      <c r="AD192" s="1270">
        <f t="shared" si="23"/>
        <v>0.55170351697961872</v>
      </c>
    </row>
    <row r="193" spans="12:30" ht="12" customHeight="1">
      <c r="L193" s="210"/>
      <c r="M193" s="210"/>
      <c r="N193" s="210"/>
      <c r="O193" s="210"/>
      <c r="P193" s="210"/>
      <c r="Q193" s="210"/>
      <c r="R193" s="210"/>
      <c r="X193" s="1267">
        <v>66</v>
      </c>
      <c r="Y193" s="1269">
        <f t="shared" ref="Y193:Y256" si="24">($L$128+$L$148)/2 + (($L$148-$L$128)/2)*COS(RADIANS($X193))</f>
        <v>0.89264690073070363</v>
      </c>
      <c r="Z193" s="1270">
        <f t="shared" ref="Z193:Z256" si="25">(($L$148-$L$128)/2)*SIN(RADIANS($X193))</f>
        <v>0.25498787877998813</v>
      </c>
      <c r="AA193" s="1269">
        <f t="shared" ref="AA193:AA256" si="26">($N$128+$N$148)/2 + (($N$148-$N$128)/2)*COS(RADIANS($X193))</f>
        <v>1.5261019550458528</v>
      </c>
      <c r="AB193" s="1270">
        <f t="shared" ref="AB193:AB256" si="27">(($N$148-$N$128)/2)*SIN(RADIANS($X193))</f>
        <v>0.34165460440283213</v>
      </c>
      <c r="AC193" s="1269">
        <f t="shared" ref="AC193:AC256" si="28">($O$128+$O$148)/2 + (($O$148-$O$128)/2)*COS(RADIANS($X193))</f>
        <v>2.8563333169481386</v>
      </c>
      <c r="AD193" s="1270">
        <f t="shared" ref="AD193:AD256" si="29">(($O$148-$O$128)/2)*SIN(RADIANS($X193))</f>
        <v>0.55610935833413155</v>
      </c>
    </row>
    <row r="194" spans="12:30" ht="12" customHeight="1">
      <c r="L194" s="210"/>
      <c r="M194" s="210"/>
      <c r="N194" s="210"/>
      <c r="O194" s="210"/>
      <c r="P194" s="210"/>
      <c r="Q194" s="210"/>
      <c r="R194" s="210"/>
      <c r="X194" s="1267">
        <v>67</v>
      </c>
      <c r="Y194" s="1269">
        <f t="shared" si="24"/>
        <v>0.88817945778185237</v>
      </c>
      <c r="Z194" s="1270">
        <f t="shared" si="25"/>
        <v>0.25693037825858067</v>
      </c>
      <c r="AA194" s="1269">
        <f t="shared" si="26"/>
        <v>1.5201160922641204</v>
      </c>
      <c r="AB194" s="1270">
        <f t="shared" si="27"/>
        <v>0.34425733161514749</v>
      </c>
      <c r="AC194" s="1269">
        <f t="shared" si="28"/>
        <v>2.8465901603574535</v>
      </c>
      <c r="AD194" s="1270">
        <f t="shared" si="29"/>
        <v>0.56034580339094364</v>
      </c>
    </row>
    <row r="195" spans="12:30" ht="12" customHeight="1">
      <c r="L195" s="210"/>
      <c r="M195" s="210"/>
      <c r="N195" s="210"/>
      <c r="O195" s="210"/>
      <c r="P195" s="210"/>
      <c r="Q195" s="210"/>
      <c r="R195" s="210"/>
      <c r="X195" s="1267">
        <v>68</v>
      </c>
      <c r="Y195" s="1269">
        <f t="shared" si="24"/>
        <v>0.88367879395579618</v>
      </c>
      <c r="Z195" s="1270">
        <f t="shared" si="25"/>
        <v>0.2587946142550151</v>
      </c>
      <c r="AA195" s="1269">
        <f t="shared" si="26"/>
        <v>1.5140857173051283</v>
      </c>
      <c r="AB195" s="1270">
        <f t="shared" si="27"/>
        <v>0.34675519470935712</v>
      </c>
      <c r="AC195" s="1269">
        <f t="shared" si="28"/>
        <v>2.8367745515357288</v>
      </c>
      <c r="AD195" s="1270">
        <f t="shared" si="29"/>
        <v>0.564411561687851</v>
      </c>
    </row>
    <row r="196" spans="12:30" ht="12" customHeight="1">
      <c r="L196" s="210"/>
      <c r="M196" s="210"/>
      <c r="N196" s="210"/>
      <c r="O196" s="210"/>
      <c r="P196" s="210"/>
      <c r="Q196" s="210"/>
      <c r="R196" s="210"/>
      <c r="X196" s="1267">
        <v>69</v>
      </c>
      <c r="Y196" s="1269">
        <f t="shared" si="24"/>
        <v>0.87914628019833541</v>
      </c>
      <c r="Z196" s="1270">
        <f t="shared" si="25"/>
        <v>0.26058001890494775</v>
      </c>
      <c r="AA196" s="1269">
        <f t="shared" si="26"/>
        <v>1.5080126670795064</v>
      </c>
      <c r="AB196" s="1270">
        <f t="shared" si="27"/>
        <v>0.34914743281216531</v>
      </c>
      <c r="AC196" s="1269">
        <f t="shared" si="28"/>
        <v>2.8268894804124969</v>
      </c>
      <c r="AD196" s="1270">
        <f t="shared" si="29"/>
        <v>0.5683053947554908</v>
      </c>
    </row>
    <row r="197" spans="12:30" ht="12" customHeight="1">
      <c r="X197" s="1267">
        <v>70</v>
      </c>
      <c r="Y197" s="1269">
        <f t="shared" si="24"/>
        <v>0.87458329715706795</v>
      </c>
      <c r="Z197" s="1270">
        <f t="shared" si="25"/>
        <v>0.26228604835682667</v>
      </c>
      <c r="AA197" s="1269">
        <f t="shared" si="26"/>
        <v>1.5018987914971842</v>
      </c>
      <c r="AB197" s="1270">
        <f t="shared" si="27"/>
        <v>0.35143331722467175</v>
      </c>
      <c r="AC197" s="1269">
        <f t="shared" si="28"/>
        <v>2.8169379580761813</v>
      </c>
      <c r="AD197" s="1270">
        <f t="shared" si="29"/>
        <v>0.57202611649459001</v>
      </c>
    </row>
    <row r="198" spans="12:30" ht="12" customHeight="1">
      <c r="X198" s="1267">
        <v>71</v>
      </c>
      <c r="Y198" s="1269">
        <f t="shared" si="24"/>
        <v>0.86999123476083073</v>
      </c>
      <c r="Z198" s="1270">
        <f t="shared" si="25"/>
        <v>0.26391218293755403</v>
      </c>
      <c r="AA198" s="1269">
        <f t="shared" si="26"/>
        <v>1.4957459529038908</v>
      </c>
      <c r="AB198" s="1270">
        <f t="shared" si="27"/>
        <v>0.35361215164434057</v>
      </c>
      <c r="AC198" s="1269">
        <f t="shared" si="28"/>
        <v>2.8069230158568881</v>
      </c>
      <c r="AD198" s="1270">
        <f t="shared" si="29"/>
        <v>0.57557259353726353</v>
      </c>
    </row>
    <row r="199" spans="12:30" ht="12" customHeight="1">
      <c r="X199" s="1267">
        <v>72</v>
      </c>
      <c r="Y199" s="1269">
        <f t="shared" si="24"/>
        <v>0.86537149179631401</v>
      </c>
      <c r="Z199" s="1270">
        <f t="shared" si="25"/>
        <v>0.26545792731078399</v>
      </c>
      <c r="AA199" s="1269">
        <f t="shared" si="26"/>
        <v>1.4895560255138656</v>
      </c>
      <c r="AB199" s="1270">
        <f t="shared" si="27"/>
        <v>0.35568327237710073</v>
      </c>
      <c r="AC199" s="1269">
        <f t="shared" si="28"/>
        <v>2.7968477044030338</v>
      </c>
      <c r="AD199" s="1270">
        <f t="shared" si="29"/>
        <v>0.5789437455922487</v>
      </c>
    </row>
    <row r="200" spans="12:30" ht="12" customHeight="1">
      <c r="X200" s="1267">
        <v>73</v>
      </c>
      <c r="Y200" s="1269">
        <f t="shared" si="24"/>
        <v>0.86072547548197742</v>
      </c>
      <c r="Z200" s="1270">
        <f t="shared" si="25"/>
        <v>0.26692281062780632</v>
      </c>
      <c r="AA200" s="1269">
        <f t="shared" si="26"/>
        <v>1.4833308948389545</v>
      </c>
      <c r="AB200" s="1270">
        <f t="shared" si="27"/>
        <v>0.35764604853951359</v>
      </c>
      <c r="AC200" s="1269">
        <f t="shared" si="28"/>
        <v>2.7867150927520896</v>
      </c>
      <c r="AD200" s="1270">
        <f t="shared" si="29"/>
        <v>0.5821385457739725</v>
      </c>
    </row>
    <row r="201" spans="12:30" ht="12" customHeight="1">
      <c r="X201" s="1267">
        <v>74</v>
      </c>
      <c r="Y201" s="1269">
        <f t="shared" si="24"/>
        <v>0.85605460103939701</v>
      </c>
      <c r="Z201" s="1270">
        <f t="shared" si="25"/>
        <v>0.26830638667097212</v>
      </c>
      <c r="AA201" s="1269">
        <f t="shared" si="26"/>
        <v>1.4770724571142655</v>
      </c>
      <c r="AB201" s="1270">
        <f t="shared" si="27"/>
        <v>0.35949988225094631</v>
      </c>
      <c r="AC201" s="1269">
        <f t="shared" si="28"/>
        <v>2.7765282673957206</v>
      </c>
      <c r="AD201" s="1270">
        <f t="shared" si="29"/>
        <v>0.58515602091535091</v>
      </c>
    </row>
    <row r="202" spans="12:30" ht="12" customHeight="1">
      <c r="X202" s="1267">
        <v>75</v>
      </c>
      <c r="Y202" s="1269">
        <f t="shared" si="24"/>
        <v>0.85136029126217583</v>
      </c>
      <c r="Z202" s="1270">
        <f t="shared" si="25"/>
        <v>0.26960823398961564</v>
      </c>
      <c r="AA202" s="1269">
        <f t="shared" si="26"/>
        <v>1.4707826187205564</v>
      </c>
      <c r="AB202" s="1270">
        <f t="shared" si="27"/>
        <v>0.36124420881569175</v>
      </c>
      <c r="AC202" s="1269">
        <f t="shared" si="28"/>
        <v>2.7662903313396132</v>
      </c>
      <c r="AD202" s="1270">
        <f t="shared" si="29"/>
        <v>0.58799525186422485</v>
      </c>
    </row>
    <row r="203" spans="12:30" ht="12" customHeight="1">
      <c r="X203" s="1267">
        <v>76</v>
      </c>
      <c r="Y203" s="1269">
        <f t="shared" si="24"/>
        <v>0.84664397608254693</v>
      </c>
      <c r="Z203" s="1270">
        <f t="shared" si="25"/>
        <v>0.27082795602843224</v>
      </c>
      <c r="AA203" s="1269">
        <f t="shared" si="26"/>
        <v>1.4644632956035326</v>
      </c>
      <c r="AB203" s="1270">
        <f t="shared" si="27"/>
        <v>0.3628784968949807</v>
      </c>
      <c r="AC203" s="1269">
        <f t="shared" si="28"/>
        <v>2.7560044031582662</v>
      </c>
      <c r="AD203" s="1270">
        <f t="shared" si="29"/>
        <v>0.59065537376334287</v>
      </c>
    </row>
    <row r="204" spans="12:30" ht="12" customHeight="1">
      <c r="X204" s="1267">
        <v>77</v>
      </c>
      <c r="Y204" s="1269">
        <f t="shared" si="24"/>
        <v>0.84190709213580195</v>
      </c>
      <c r="Z204" s="1270">
        <f t="shared" si="25"/>
        <v>0.27196518124827335</v>
      </c>
      <c r="AA204" s="1269">
        <f t="shared" si="26"/>
        <v>1.4581164126902328</v>
      </c>
      <c r="AB204" s="1270">
        <f t="shared" si="27"/>
        <v>0.36440224866883253</v>
      </c>
      <c r="AC204" s="1269">
        <f t="shared" si="28"/>
        <v>2.7456736160450461</v>
      </c>
      <c r="AD204" s="1270">
        <f t="shared" si="29"/>
        <v>0.59313557631380565</v>
      </c>
    </row>
    <row r="205" spans="12:30" ht="12" customHeight="1">
      <c r="X205" s="1267">
        <v>78</v>
      </c>
      <c r="Y205" s="1269">
        <f t="shared" si="24"/>
        <v>0.83715108232267832</v>
      </c>
      <c r="Z205" s="1270">
        <f t="shared" si="25"/>
        <v>0.27301956323932025</v>
      </c>
      <c r="AA205" s="1269">
        <f t="shared" si="26"/>
        <v>1.4517439033026758</v>
      </c>
      <c r="AB205" s="1270">
        <f t="shared" si="27"/>
        <v>0.36581499998769595</v>
      </c>
      <c r="AC205" s="1269">
        <f t="shared" si="28"/>
        <v>2.7353011168577845</v>
      </c>
      <c r="AD205" s="1270">
        <f t="shared" si="29"/>
        <v>0.59543510402188982</v>
      </c>
    </row>
    <row r="206" spans="12:30" ht="12" customHeight="1">
      <c r="X206" s="1267">
        <v>79</v>
      </c>
      <c r="Y206" s="1269">
        <f t="shared" si="24"/>
        <v>0.83237739536983746</v>
      </c>
      <c r="Z206" s="1270">
        <f t="shared" si="25"/>
        <v>0.27399078082660466</v>
      </c>
      <c r="AA206" s="1269">
        <f t="shared" si="26"/>
        <v>1.4453477085689526</v>
      </c>
      <c r="AB206" s="1270">
        <f t="shared" si="27"/>
        <v>0.36711632051383375</v>
      </c>
      <c r="AC206" s="1269">
        <f t="shared" si="28"/>
        <v>2.7248900651602139</v>
      </c>
      <c r="AD206" s="1270">
        <f t="shared" si="29"/>
        <v>0.59755325642917956</v>
      </c>
    </row>
    <row r="207" spans="12:30" ht="12" customHeight="1">
      <c r="X207" s="1267">
        <v>80</v>
      </c>
      <c r="Y207" s="1269">
        <f t="shared" si="24"/>
        <v>0.82758748538856919</v>
      </c>
      <c r="Z207" s="1270">
        <f t="shared" si="25"/>
        <v>0.27487853816784097</v>
      </c>
      <c r="AA207" s="1269">
        <f t="shared" si="26"/>
        <v>1.4389297768319407</v>
      </c>
      <c r="AB207" s="1270">
        <f t="shared" si="27"/>
        <v>0.36830581385240729</v>
      </c>
      <c r="AC207" s="1269">
        <f t="shared" si="28"/>
        <v>2.7144436322595356</v>
      </c>
      <c r="AD207" s="1270">
        <f t="shared" si="29"/>
        <v>0.59948938832593257</v>
      </c>
    </row>
    <row r="208" spans="12:30" ht="12" customHeight="1">
      <c r="X208" s="1267">
        <v>81</v>
      </c>
      <c r="Y208" s="1269">
        <f t="shared" si="24"/>
        <v>0.8227828114318545</v>
      </c>
      <c r="Z208" s="1270">
        <f t="shared" si="25"/>
        <v>0.27568256484354314</v>
      </c>
      <c r="AA208" s="1269">
        <f t="shared" si="26"/>
        <v>1.4324920630558191</v>
      </c>
      <c r="AB208" s="1270">
        <f t="shared" si="27"/>
        <v>0.36938311767222287</v>
      </c>
      <c r="AC208" s="1269">
        <f t="shared" si="28"/>
        <v>2.7039650002404083</v>
      </c>
      <c r="AD208" s="1270">
        <f t="shared" si="29"/>
        <v>0.60124290994761742</v>
      </c>
    </row>
    <row r="209" spans="24:30" ht="12" customHeight="1">
      <c r="X209" s="1267">
        <v>82</v>
      </c>
      <c r="Y209" s="1269">
        <f t="shared" si="24"/>
        <v>0.81796483704992462</v>
      </c>
      <c r="Z209" s="1270">
        <f t="shared" si="25"/>
        <v>0.27640261593939702</v>
      </c>
      <c r="AA209" s="1269">
        <f t="shared" si="26"/>
        <v>1.4260365282305676</v>
      </c>
      <c r="AB209" s="1270">
        <f t="shared" si="27"/>
        <v>0.37034790381610089</v>
      </c>
      <c r="AC209" s="1269">
        <f t="shared" si="28"/>
        <v>2.6934573609956538</v>
      </c>
      <c r="AD209" s="1270">
        <f t="shared" si="29"/>
        <v>0.60281328715456139</v>
      </c>
    </row>
    <row r="210" spans="24:30" ht="12" customHeight="1">
      <c r="X210" s="1267">
        <v>83</v>
      </c>
      <c r="Y210" s="1269">
        <f t="shared" si="24"/>
        <v>0.81313502984444896</v>
      </c>
      <c r="Z210" s="1270">
        <f t="shared" si="25"/>
        <v>0.27703847212086347</v>
      </c>
      <c r="AA210" s="1269">
        <f t="shared" si="26"/>
        <v>1.41956513877463</v>
      </c>
      <c r="AB210" s="1270">
        <f t="shared" si="27"/>
        <v>0.37119987840083579</v>
      </c>
      <c r="AC210" s="1269">
        <f t="shared" si="28"/>
        <v>2.6829239152539759</v>
      </c>
      <c r="AD210" s="1270">
        <f t="shared" si="29"/>
        <v>0.60420004159465457</v>
      </c>
    </row>
    <row r="211" spans="24:30" ht="12" customHeight="1">
      <c r="X211" s="1267">
        <v>84</v>
      </c>
      <c r="Y211" s="1269">
        <f t="shared" si="24"/>
        <v>0.80829486102148984</v>
      </c>
      <c r="Z211" s="1270">
        <f t="shared" si="25"/>
        <v>0.27758993969998996</v>
      </c>
      <c r="AA211" s="1269">
        <f t="shared" si="26"/>
        <v>1.4130798659359245</v>
      </c>
      <c r="AB211" s="1270">
        <f t="shared" si="27"/>
        <v>0.37193878190671587</v>
      </c>
      <c r="AC211" s="1269">
        <f t="shared" si="28"/>
        <v>2.6723678716049868</v>
      </c>
      <c r="AD211" s="1270">
        <f t="shared" si="29"/>
        <v>0.60540275084906092</v>
      </c>
    </row>
    <row r="212" spans="24:30" ht="12" customHeight="1">
      <c r="X212" s="1267">
        <v>85</v>
      </c>
      <c r="Y212" s="1269">
        <f t="shared" si="24"/>
        <v>0.80344580494335849</v>
      </c>
      <c r="Z212" s="1270">
        <f t="shared" si="25"/>
        <v>0.27805685069440972</v>
      </c>
      <c r="AA212" s="1269">
        <f t="shared" si="26"/>
        <v>1.4065826851913816</v>
      </c>
      <c r="AB212" s="1270">
        <f t="shared" si="27"/>
        <v>0.37256438925657526</v>
      </c>
      <c r="AC212" s="1269">
        <f t="shared" si="28"/>
        <v>2.6617924455218414</v>
      </c>
      <c r="AD212" s="1270">
        <f t="shared" si="29"/>
        <v>0.60642104856089041</v>
      </c>
    </row>
    <row r="213" spans="24:30" ht="12" customHeight="1">
      <c r="X213" s="1267">
        <v>86</v>
      </c>
      <c r="Y213" s="1269">
        <f t="shared" si="24"/>
        <v>0.7985893386795101</v>
      </c>
      <c r="Z213" s="1270">
        <f t="shared" si="25"/>
        <v>0.27843906287851078</v>
      </c>
      <c r="AA213" s="1269">
        <f t="shared" si="26"/>
        <v>1.4000755756451964</v>
      </c>
      <c r="AB213" s="1270">
        <f t="shared" si="27"/>
        <v>0.37307650988435481</v>
      </c>
      <c r="AC213" s="1269">
        <f t="shared" si="28"/>
        <v>2.6512008583817703</v>
      </c>
      <c r="AD213" s="1270">
        <f t="shared" si="29"/>
        <v>0.60725462454679568</v>
      </c>
    </row>
    <row r="214" spans="24:30" ht="12" customHeight="1">
      <c r="X214" s="1267">
        <v>87</v>
      </c>
      <c r="Y214" s="1269">
        <f t="shared" si="24"/>
        <v>0.79372694155661427</v>
      </c>
      <c r="Z214" s="1270">
        <f t="shared" si="25"/>
        <v>0.27873645982675926</v>
      </c>
      <c r="AA214" s="1269">
        <f t="shared" si="26"/>
        <v>1.3935605194259717</v>
      </c>
      <c r="AB214" s="1270">
        <f t="shared" si="27"/>
        <v>0.3734749877931503</v>
      </c>
      <c r="AC214" s="1269">
        <f t="shared" si="28"/>
        <v>2.64059633648482</v>
      </c>
      <c r="AD214" s="1270">
        <f t="shared" si="29"/>
        <v>0.60790322489145632</v>
      </c>
    </row>
    <row r="215" spans="24:30" ht="12" customHeight="1">
      <c r="X215" s="1267">
        <v>88</v>
      </c>
      <c r="Y215" s="1269">
        <f t="shared" si="24"/>
        <v>0.78886009470793783</v>
      </c>
      <c r="Z215" s="1270">
        <f t="shared" si="25"/>
        <v>0.27894895094916383</v>
      </c>
      <c r="AA215" s="1269">
        <f t="shared" si="26"/>
        <v>1.3870395010829453</v>
      </c>
      <c r="AB215" s="1270">
        <f t="shared" si="27"/>
        <v>0.37375970160273053</v>
      </c>
      <c r="AC215" s="1269">
        <f t="shared" si="28"/>
        <v>2.6299821100710883</v>
      </c>
      <c r="AD215" s="1270">
        <f t="shared" si="29"/>
        <v>0.60836665202492435</v>
      </c>
    </row>
    <row r="216" spans="24:30" ht="12" customHeight="1">
      <c r="X216" s="1267">
        <v>89</v>
      </c>
      <c r="Y216" s="1269">
        <f t="shared" si="24"/>
        <v>0.7839902806221769</v>
      </c>
      <c r="Z216" s="1270">
        <f t="shared" si="25"/>
        <v>0.27907647151887005</v>
      </c>
      <c r="AA216" s="1269">
        <f t="shared" si="26"/>
        <v>1.3805145069814744</v>
      </c>
      <c r="AB216" s="1270">
        <f t="shared" si="27"/>
        <v>0.37393056458651108</v>
      </c>
      <c r="AC216" s="1269">
        <f t="shared" si="28"/>
        <v>2.619361412336763</v>
      </c>
      <c r="AD216" s="1270">
        <f t="shared" si="29"/>
        <v>0.60864476478280538</v>
      </c>
    </row>
    <row r="217" spans="24:30" ht="12" customHeight="1">
      <c r="X217" s="1267">
        <v>90</v>
      </c>
      <c r="Y217" s="1269">
        <f t="shared" si="24"/>
        <v>0.77911898269187718</v>
      </c>
      <c r="Z217" s="1270">
        <f t="shared" si="25"/>
        <v>0.27911898269187718</v>
      </c>
      <c r="AA217" s="1269">
        <f t="shared" si="26"/>
        <v>1.3739875246979718</v>
      </c>
      <c r="AB217" s="1270">
        <f t="shared" si="27"/>
        <v>0.37398752469797181</v>
      </c>
      <c r="AC217" s="1269">
        <f t="shared" si="28"/>
        <v>2.6087374784492594</v>
      </c>
      <c r="AD217" s="1270">
        <f t="shared" si="29"/>
        <v>0.60873747844925941</v>
      </c>
    </row>
    <row r="218" spans="24:30" ht="12" customHeight="1">
      <c r="X218" s="1267">
        <v>91</v>
      </c>
      <c r="Y218" s="1269">
        <f t="shared" si="24"/>
        <v>0.77424768476157746</v>
      </c>
      <c r="Z218" s="1270">
        <f t="shared" si="25"/>
        <v>0.27907647151887005</v>
      </c>
      <c r="AA218" s="1269">
        <f t="shared" si="26"/>
        <v>1.3674605424144692</v>
      </c>
      <c r="AB218" s="1270">
        <f t="shared" si="27"/>
        <v>0.37393056458651108</v>
      </c>
      <c r="AC218" s="1269">
        <f t="shared" si="28"/>
        <v>2.5981135445617558</v>
      </c>
      <c r="AD218" s="1270">
        <f t="shared" si="29"/>
        <v>0.60864476478280538</v>
      </c>
    </row>
    <row r="219" spans="24:30" ht="12" customHeight="1">
      <c r="X219" s="1267">
        <v>92</v>
      </c>
      <c r="Y219" s="1269">
        <f t="shared" si="24"/>
        <v>0.76937787067581664</v>
      </c>
      <c r="Z219" s="1270">
        <f t="shared" si="25"/>
        <v>0.27894895094916383</v>
      </c>
      <c r="AA219" s="1269">
        <f t="shared" si="26"/>
        <v>1.3609355483129983</v>
      </c>
      <c r="AB219" s="1270">
        <f t="shared" si="27"/>
        <v>0.37375970160273053</v>
      </c>
      <c r="AC219" s="1269">
        <f t="shared" si="28"/>
        <v>2.5874928468274305</v>
      </c>
      <c r="AD219" s="1270">
        <f t="shared" si="29"/>
        <v>0.60836665202492435</v>
      </c>
    </row>
    <row r="220" spans="24:30" ht="12" customHeight="1">
      <c r="X220" s="1267">
        <v>93</v>
      </c>
      <c r="Y220" s="1269">
        <f t="shared" si="24"/>
        <v>0.76451102382714009</v>
      </c>
      <c r="Z220" s="1270">
        <f t="shared" si="25"/>
        <v>0.27873645982675926</v>
      </c>
      <c r="AA220" s="1269">
        <f t="shared" si="26"/>
        <v>1.3544145299699719</v>
      </c>
      <c r="AB220" s="1270">
        <f t="shared" si="27"/>
        <v>0.3734749877931503</v>
      </c>
      <c r="AC220" s="1269">
        <f t="shared" si="28"/>
        <v>2.5768786204136989</v>
      </c>
      <c r="AD220" s="1270">
        <f t="shared" si="29"/>
        <v>0.60790322489145632</v>
      </c>
    </row>
    <row r="221" spans="24:30" ht="12" customHeight="1">
      <c r="X221" s="1267">
        <v>94</v>
      </c>
      <c r="Y221" s="1269">
        <f t="shared" si="24"/>
        <v>0.75964862670424427</v>
      </c>
      <c r="Z221" s="1270">
        <f t="shared" si="25"/>
        <v>0.27843906287851078</v>
      </c>
      <c r="AA221" s="1269">
        <f t="shared" si="26"/>
        <v>1.3478994737507473</v>
      </c>
      <c r="AB221" s="1270">
        <f t="shared" si="27"/>
        <v>0.37307650988435481</v>
      </c>
      <c r="AC221" s="1269">
        <f t="shared" si="28"/>
        <v>2.5662740985167485</v>
      </c>
      <c r="AD221" s="1270">
        <f t="shared" si="29"/>
        <v>0.60725462454679568</v>
      </c>
    </row>
    <row r="222" spans="24:30" ht="12" customHeight="1">
      <c r="X222" s="1267">
        <v>95</v>
      </c>
      <c r="Y222" s="1269">
        <f t="shared" si="24"/>
        <v>0.75479216044039588</v>
      </c>
      <c r="Z222" s="1270">
        <f t="shared" si="25"/>
        <v>0.27805685069440972</v>
      </c>
      <c r="AA222" s="1269">
        <f t="shared" si="26"/>
        <v>1.341392364204562</v>
      </c>
      <c r="AB222" s="1270">
        <f t="shared" si="27"/>
        <v>0.37256438925657526</v>
      </c>
      <c r="AC222" s="1269">
        <f t="shared" si="28"/>
        <v>2.5556825113766775</v>
      </c>
      <c r="AD222" s="1270">
        <f t="shared" si="29"/>
        <v>0.60642104856089041</v>
      </c>
    </row>
    <row r="223" spans="24:30" ht="12" customHeight="1">
      <c r="X223" s="1267">
        <v>96</v>
      </c>
      <c r="Y223" s="1269">
        <f t="shared" si="24"/>
        <v>0.74994310436226452</v>
      </c>
      <c r="Z223" s="1270">
        <f t="shared" si="25"/>
        <v>0.27758993969998996</v>
      </c>
      <c r="AA223" s="1269">
        <f t="shared" si="26"/>
        <v>1.3348951834600191</v>
      </c>
      <c r="AB223" s="1270">
        <f t="shared" si="27"/>
        <v>0.37193878190671587</v>
      </c>
      <c r="AC223" s="1269">
        <f t="shared" si="28"/>
        <v>2.545107085293532</v>
      </c>
      <c r="AD223" s="1270">
        <f t="shared" si="29"/>
        <v>0.60540275084906092</v>
      </c>
    </row>
    <row r="224" spans="24:30" ht="12" customHeight="1">
      <c r="X224" s="1267">
        <v>97</v>
      </c>
      <c r="Y224" s="1269">
        <f t="shared" si="24"/>
        <v>0.7451029355393054</v>
      </c>
      <c r="Z224" s="1270">
        <f t="shared" si="25"/>
        <v>0.27703847212086347</v>
      </c>
      <c r="AA224" s="1269">
        <f t="shared" si="26"/>
        <v>1.3284099106213136</v>
      </c>
      <c r="AB224" s="1270">
        <f t="shared" si="27"/>
        <v>0.37119987840083579</v>
      </c>
      <c r="AC224" s="1269">
        <f t="shared" si="28"/>
        <v>2.5345510416445429</v>
      </c>
      <c r="AD224" s="1270">
        <f t="shared" si="29"/>
        <v>0.60420004159465468</v>
      </c>
    </row>
    <row r="225" spans="24:30" ht="12" customHeight="1">
      <c r="X225" s="1267">
        <v>98</v>
      </c>
      <c r="Y225" s="1269">
        <f t="shared" si="24"/>
        <v>0.74027312833382986</v>
      </c>
      <c r="Z225" s="1270">
        <f t="shared" si="25"/>
        <v>0.27640261593939702</v>
      </c>
      <c r="AA225" s="1269">
        <f t="shared" si="26"/>
        <v>1.321938521165376</v>
      </c>
      <c r="AB225" s="1270">
        <f t="shared" si="27"/>
        <v>0.37034790381610089</v>
      </c>
      <c r="AC225" s="1269">
        <f t="shared" si="28"/>
        <v>2.524017595902865</v>
      </c>
      <c r="AD225" s="1270">
        <f t="shared" si="29"/>
        <v>0.60281328715456139</v>
      </c>
    </row>
    <row r="226" spans="24:30" ht="12" customHeight="1">
      <c r="X226" s="1267">
        <v>99</v>
      </c>
      <c r="Y226" s="1269">
        <f t="shared" si="24"/>
        <v>0.73545515395189998</v>
      </c>
      <c r="Z226" s="1270">
        <f t="shared" si="25"/>
        <v>0.27568256484354314</v>
      </c>
      <c r="AA226" s="1269">
        <f t="shared" si="26"/>
        <v>1.3154829863401245</v>
      </c>
      <c r="AB226" s="1270">
        <f t="shared" si="27"/>
        <v>0.36938311767222287</v>
      </c>
      <c r="AC226" s="1269">
        <f t="shared" si="28"/>
        <v>2.5135099566581105</v>
      </c>
      <c r="AD226" s="1270">
        <f t="shared" si="29"/>
        <v>0.60124290994761742</v>
      </c>
    </row>
    <row r="227" spans="24:30" ht="12" customHeight="1">
      <c r="X227" s="1267">
        <v>100</v>
      </c>
      <c r="Y227" s="1269">
        <f t="shared" si="24"/>
        <v>0.73065047999518529</v>
      </c>
      <c r="Z227" s="1270">
        <f t="shared" si="25"/>
        <v>0.27487853816784097</v>
      </c>
      <c r="AA227" s="1269">
        <f t="shared" si="26"/>
        <v>1.3090452725640029</v>
      </c>
      <c r="AB227" s="1270">
        <f t="shared" si="27"/>
        <v>0.36830581385240729</v>
      </c>
      <c r="AC227" s="1269">
        <f t="shared" si="28"/>
        <v>2.5030313246389833</v>
      </c>
      <c r="AD227" s="1270">
        <f t="shared" si="29"/>
        <v>0.59948938832593257</v>
      </c>
    </row>
    <row r="228" spans="24:30" ht="12" customHeight="1">
      <c r="X228" s="1267">
        <v>101</v>
      </c>
      <c r="Y228" s="1269">
        <f t="shared" si="24"/>
        <v>0.72586057001391691</v>
      </c>
      <c r="Z228" s="1270">
        <f t="shared" si="25"/>
        <v>0.27399078082660466</v>
      </c>
      <c r="AA228" s="1269">
        <f t="shared" si="26"/>
        <v>1.3026273408269911</v>
      </c>
      <c r="AB228" s="1270">
        <f t="shared" si="27"/>
        <v>0.36711632051383375</v>
      </c>
      <c r="AC228" s="1269">
        <f t="shared" si="28"/>
        <v>2.4925848917383053</v>
      </c>
      <c r="AD228" s="1270">
        <f t="shared" si="29"/>
        <v>0.59755325642917956</v>
      </c>
    </row>
    <row r="229" spans="24:30" ht="12" customHeight="1">
      <c r="X229" s="1267">
        <v>102</v>
      </c>
      <c r="Y229" s="1269">
        <f t="shared" si="24"/>
        <v>0.72108688306107604</v>
      </c>
      <c r="Z229" s="1270">
        <f t="shared" si="25"/>
        <v>0.27301956323932031</v>
      </c>
      <c r="AA229" s="1269">
        <f t="shared" si="26"/>
        <v>1.2962311460932681</v>
      </c>
      <c r="AB229" s="1270">
        <f t="shared" si="27"/>
        <v>0.36581499998769601</v>
      </c>
      <c r="AC229" s="1269">
        <f t="shared" si="28"/>
        <v>2.4821738400407347</v>
      </c>
      <c r="AD229" s="1270">
        <f t="shared" si="29"/>
        <v>0.59543510402188982</v>
      </c>
    </row>
    <row r="230" spans="24:30" ht="12" customHeight="1">
      <c r="X230" s="1267">
        <v>103</v>
      </c>
      <c r="Y230" s="1269">
        <f t="shared" si="24"/>
        <v>0.71633087324795242</v>
      </c>
      <c r="Z230" s="1270">
        <f t="shared" si="25"/>
        <v>0.27196518124827335</v>
      </c>
      <c r="AA230" s="1269">
        <f t="shared" si="26"/>
        <v>1.2898586367057108</v>
      </c>
      <c r="AB230" s="1270">
        <f t="shared" si="27"/>
        <v>0.36440224866883253</v>
      </c>
      <c r="AC230" s="1269">
        <f t="shared" si="28"/>
        <v>2.4718013408534727</v>
      </c>
      <c r="AD230" s="1270">
        <f t="shared" si="29"/>
        <v>0.59313557631380565</v>
      </c>
    </row>
    <row r="231" spans="24:30" ht="12" customHeight="1">
      <c r="X231" s="1267">
        <v>104</v>
      </c>
      <c r="Y231" s="1269">
        <f t="shared" si="24"/>
        <v>0.71159398930120743</v>
      </c>
      <c r="Z231" s="1270">
        <f t="shared" si="25"/>
        <v>0.27082795602843224</v>
      </c>
      <c r="AA231" s="1269">
        <f t="shared" si="26"/>
        <v>1.283511753792411</v>
      </c>
      <c r="AB231" s="1270">
        <f t="shared" si="27"/>
        <v>0.3628784968949807</v>
      </c>
      <c r="AC231" s="1269">
        <f t="shared" si="28"/>
        <v>2.4614705537402526</v>
      </c>
      <c r="AD231" s="1270">
        <f t="shared" si="29"/>
        <v>0.59065537376334287</v>
      </c>
    </row>
    <row r="232" spans="24:30" ht="12" customHeight="1">
      <c r="X232" s="1267">
        <v>105</v>
      </c>
      <c r="Y232" s="1269">
        <f t="shared" si="24"/>
        <v>0.70687767412157854</v>
      </c>
      <c r="Z232" s="1270">
        <f t="shared" si="25"/>
        <v>0.26960823398961564</v>
      </c>
      <c r="AA232" s="1269">
        <f t="shared" si="26"/>
        <v>1.2771924306753872</v>
      </c>
      <c r="AB232" s="1270">
        <f t="shared" si="27"/>
        <v>0.36124420881569175</v>
      </c>
      <c r="AC232" s="1269">
        <f t="shared" si="28"/>
        <v>2.4511846255589056</v>
      </c>
      <c r="AD232" s="1270">
        <f t="shared" si="29"/>
        <v>0.58799525186422485</v>
      </c>
    </row>
    <row r="233" spans="24:30" ht="12" customHeight="1">
      <c r="X233" s="1267">
        <v>106</v>
      </c>
      <c r="Y233" s="1269">
        <f t="shared" si="24"/>
        <v>0.70218336434435746</v>
      </c>
      <c r="Z233" s="1270">
        <f t="shared" si="25"/>
        <v>0.26830638667097212</v>
      </c>
      <c r="AA233" s="1269">
        <f t="shared" si="26"/>
        <v>1.2709025922816783</v>
      </c>
      <c r="AB233" s="1270">
        <f t="shared" si="27"/>
        <v>0.35949988225094631</v>
      </c>
      <c r="AC233" s="1269">
        <f t="shared" si="28"/>
        <v>2.4409466895027983</v>
      </c>
      <c r="AD233" s="1270">
        <f t="shared" si="29"/>
        <v>0.58515602091535091</v>
      </c>
    </row>
    <row r="234" spans="24:30" ht="12" customHeight="1">
      <c r="X234" s="1267">
        <v>107</v>
      </c>
      <c r="Y234" s="1269">
        <f t="shared" si="24"/>
        <v>0.69751248990177706</v>
      </c>
      <c r="Z234" s="1270">
        <f t="shared" si="25"/>
        <v>0.26692281062780637</v>
      </c>
      <c r="AA234" s="1269">
        <f t="shared" si="26"/>
        <v>1.2646441545569893</v>
      </c>
      <c r="AB234" s="1270">
        <f t="shared" si="27"/>
        <v>0.35764604853951365</v>
      </c>
      <c r="AC234" s="1269">
        <f t="shared" si="28"/>
        <v>2.4307598641464292</v>
      </c>
      <c r="AD234" s="1270">
        <f t="shared" si="29"/>
        <v>0.58213854577397262</v>
      </c>
    </row>
    <row r="235" spans="24:30" ht="12" customHeight="1">
      <c r="X235" s="1267">
        <v>108</v>
      </c>
      <c r="Y235" s="1269">
        <f t="shared" si="24"/>
        <v>0.69286647358744036</v>
      </c>
      <c r="Z235" s="1270">
        <f t="shared" si="25"/>
        <v>0.26545792731078399</v>
      </c>
      <c r="AA235" s="1269">
        <f t="shared" si="26"/>
        <v>1.2584190238820783</v>
      </c>
      <c r="AB235" s="1270">
        <f t="shared" si="27"/>
        <v>0.35568327237710079</v>
      </c>
      <c r="AC235" s="1269">
        <f t="shared" si="28"/>
        <v>2.420627252495485</v>
      </c>
      <c r="AD235" s="1270">
        <f t="shared" si="29"/>
        <v>0.57894374559224882</v>
      </c>
    </row>
    <row r="236" spans="24:30" ht="12" customHeight="1">
      <c r="X236" s="1267">
        <v>109</v>
      </c>
      <c r="Y236" s="1269">
        <f t="shared" si="24"/>
        <v>0.68824673062292363</v>
      </c>
      <c r="Z236" s="1270">
        <f t="shared" si="25"/>
        <v>0.26391218293755409</v>
      </c>
      <c r="AA236" s="1269">
        <f t="shared" si="26"/>
        <v>1.2522290964920528</v>
      </c>
      <c r="AB236" s="1270">
        <f t="shared" si="27"/>
        <v>0.35361215164434062</v>
      </c>
      <c r="AC236" s="1269">
        <f t="shared" si="28"/>
        <v>2.4105519410416307</v>
      </c>
      <c r="AD236" s="1270">
        <f t="shared" si="29"/>
        <v>0.57557259353726364</v>
      </c>
    </row>
    <row r="237" spans="24:30" ht="12" customHeight="1">
      <c r="X237" s="1267">
        <v>110</v>
      </c>
      <c r="Y237" s="1269">
        <f t="shared" si="24"/>
        <v>0.68365466822668652</v>
      </c>
      <c r="Z237" s="1270">
        <f t="shared" si="25"/>
        <v>0.26228604835682667</v>
      </c>
      <c r="AA237" s="1269">
        <f t="shared" si="26"/>
        <v>1.2460762578987594</v>
      </c>
      <c r="AB237" s="1270">
        <f t="shared" si="27"/>
        <v>0.3514333172246718</v>
      </c>
      <c r="AC237" s="1269">
        <f t="shared" si="28"/>
        <v>2.4005369988223375</v>
      </c>
      <c r="AD237" s="1270">
        <f t="shared" si="29"/>
        <v>0.57202611649459001</v>
      </c>
    </row>
    <row r="238" spans="24:30" ht="12" customHeight="1">
      <c r="X238" s="1267">
        <v>111</v>
      </c>
      <c r="Y238" s="1269">
        <f t="shared" si="24"/>
        <v>0.67909168518541896</v>
      </c>
      <c r="Z238" s="1270">
        <f t="shared" si="25"/>
        <v>0.26058001890494775</v>
      </c>
      <c r="AA238" s="1269">
        <f t="shared" si="26"/>
        <v>1.2399623823164374</v>
      </c>
      <c r="AB238" s="1270">
        <f t="shared" si="27"/>
        <v>0.34914743281216531</v>
      </c>
      <c r="AC238" s="1269">
        <f t="shared" si="28"/>
        <v>2.3905854764860219</v>
      </c>
      <c r="AD238" s="1270">
        <f t="shared" si="29"/>
        <v>0.5683053947554908</v>
      </c>
    </row>
    <row r="239" spans="24:30" ht="12" customHeight="1">
      <c r="X239" s="1267">
        <v>112</v>
      </c>
      <c r="Y239" s="1269">
        <f t="shared" si="24"/>
        <v>0.67455917142795818</v>
      </c>
      <c r="Z239" s="1270">
        <f t="shared" si="25"/>
        <v>0.2587946142550151</v>
      </c>
      <c r="AA239" s="1269">
        <f t="shared" si="26"/>
        <v>1.2338893320908153</v>
      </c>
      <c r="AB239" s="1270">
        <f t="shared" si="27"/>
        <v>0.34675519470935712</v>
      </c>
      <c r="AC239" s="1269">
        <f t="shared" si="28"/>
        <v>2.38070040536279</v>
      </c>
      <c r="AD239" s="1270">
        <f t="shared" si="29"/>
        <v>0.564411561687851</v>
      </c>
    </row>
    <row r="240" spans="24:30" ht="12" customHeight="1">
      <c r="X240" s="1267">
        <v>113</v>
      </c>
      <c r="Y240" s="1269">
        <f t="shared" si="24"/>
        <v>0.67005850760190189</v>
      </c>
      <c r="Z240" s="1270">
        <f t="shared" si="25"/>
        <v>0.25693037825858062</v>
      </c>
      <c r="AA240" s="1269">
        <f t="shared" si="26"/>
        <v>1.227858957131823</v>
      </c>
      <c r="AB240" s="1270">
        <f t="shared" si="27"/>
        <v>0.34425733161514743</v>
      </c>
      <c r="AC240" s="1269">
        <f t="shared" si="28"/>
        <v>2.3708847965410653</v>
      </c>
      <c r="AD240" s="1270">
        <f t="shared" si="29"/>
        <v>0.56034580339094353</v>
      </c>
    </row>
    <row r="241" spans="24:30" ht="12" customHeight="1">
      <c r="X241" s="1267">
        <v>114</v>
      </c>
      <c r="Y241" s="1269">
        <f t="shared" si="24"/>
        <v>0.66559106465305062</v>
      </c>
      <c r="Z241" s="1270">
        <f t="shared" si="25"/>
        <v>0.25498787877998813</v>
      </c>
      <c r="AA241" s="1269">
        <f t="shared" si="26"/>
        <v>1.2218730943500908</v>
      </c>
      <c r="AB241" s="1270">
        <f t="shared" si="27"/>
        <v>0.34165460440283213</v>
      </c>
      <c r="AC241" s="1269">
        <f t="shared" si="28"/>
        <v>2.3611416399503802</v>
      </c>
      <c r="AD241" s="1270">
        <f t="shared" si="29"/>
        <v>0.55610935833413155</v>
      </c>
    </row>
    <row r="242" spans="24:30" ht="12" customHeight="1">
      <c r="X242" s="1267">
        <v>115</v>
      </c>
      <c r="Y242" s="1269">
        <f t="shared" si="24"/>
        <v>0.66115820340780374</v>
      </c>
      <c r="Z242" s="1270">
        <f t="shared" si="25"/>
        <v>0.25296770752339626</v>
      </c>
      <c r="AA242" s="1269">
        <f t="shared" si="26"/>
        <v>1.2159335670974081</v>
      </c>
      <c r="AB242" s="1270">
        <f t="shared" si="27"/>
        <v>0.33894780588833334</v>
      </c>
      <c r="AC242" s="1269">
        <f t="shared" si="28"/>
        <v>2.3514739034506169</v>
      </c>
      <c r="AD242" s="1270">
        <f t="shared" si="29"/>
        <v>0.55170351697961872</v>
      </c>
    </row>
    <row r="243" spans="24:30" ht="12" customHeight="1">
      <c r="X243" s="1267">
        <v>116</v>
      </c>
      <c r="Y243" s="1269">
        <f t="shared" si="24"/>
        <v>0.65676127415863828</v>
      </c>
      <c r="Z243" s="1270">
        <f t="shared" si="25"/>
        <v>0.25087047985253941</v>
      </c>
      <c r="AA243" s="1269">
        <f t="shared" si="26"/>
        <v>1.2100421846113134</v>
      </c>
      <c r="AB243" s="1270">
        <f t="shared" si="27"/>
        <v>0.33613776058869971</v>
      </c>
      <c r="AC243" s="1269">
        <f t="shared" si="28"/>
        <v>2.341884531927966</v>
      </c>
      <c r="AD243" s="1270">
        <f t="shared" si="29"/>
        <v>0.54712962138936183</v>
      </c>
    </row>
    <row r="244" spans="24:30" ht="12" customHeight="1">
      <c r="X244" s="1267">
        <v>117</v>
      </c>
      <c r="Y244" s="1269">
        <f t="shared" si="24"/>
        <v>0.65240161625279791</v>
      </c>
      <c r="Z244" s="1270">
        <f t="shared" si="25"/>
        <v>0.24869683460328271</v>
      </c>
      <c r="AA244" s="1269">
        <f t="shared" si="26"/>
        <v>1.2042007414639835</v>
      </c>
      <c r="AB244" s="1270">
        <f t="shared" si="27"/>
        <v>0.33322532447095127</v>
      </c>
      <c r="AC244" s="1269">
        <f t="shared" si="28"/>
        <v>2.3323764463978884</v>
      </c>
      <c r="AD244" s="1270">
        <f t="shared" si="29"/>
        <v>0.54238906481626614</v>
      </c>
    </row>
    <row r="245" spans="24:30" ht="12" customHeight="1">
      <c r="X245" s="1267">
        <v>118</v>
      </c>
      <c r="Y245" s="1269">
        <f t="shared" si="24"/>
        <v>0.64808055768431361</v>
      </c>
      <c r="Z245" s="1270">
        <f t="shared" si="25"/>
        <v>0.24644743388902543</v>
      </c>
      <c r="AA245" s="1269">
        <f t="shared" si="26"/>
        <v>1.1984110170155879</v>
      </c>
      <c r="AB245" s="1270">
        <f t="shared" si="27"/>
        <v>0.33021138469134265</v>
      </c>
      <c r="AC245" s="1269">
        <f t="shared" si="28"/>
        <v>2.3229525431153428</v>
      </c>
      <c r="AD245" s="1270">
        <f t="shared" si="29"/>
        <v>0.53748329127978645</v>
      </c>
    </row>
    <row r="246" spans="24:30" ht="12" customHeight="1">
      <c r="X246" s="1267">
        <v>119</v>
      </c>
      <c r="Y246" s="1269">
        <f t="shared" si="24"/>
        <v>0.64379941468948432</v>
      </c>
      <c r="Z246" s="1270">
        <f t="shared" si="25"/>
        <v>0.24412296289901572</v>
      </c>
      <c r="AA246" s="1269">
        <f t="shared" si="26"/>
        <v>1.1926747748722806</v>
      </c>
      <c r="AB246" s="1270">
        <f t="shared" si="27"/>
        <v>0.32709685932512766</v>
      </c>
      <c r="AC246" s="1269">
        <f t="shared" si="28"/>
        <v>2.3136156926925611</v>
      </c>
      <c r="AD246" s="1270">
        <f t="shared" si="29"/>
        <v>0.53241379512606557</v>
      </c>
    </row>
    <row r="247" spans="24:30" ht="12" customHeight="1">
      <c r="X247" s="1267">
        <v>120</v>
      </c>
      <c r="Y247" s="1269">
        <f t="shared" si="24"/>
        <v>0.63955949134593859</v>
      </c>
      <c r="Z247" s="1270">
        <f t="shared" si="25"/>
        <v>0.24172412968963469</v>
      </c>
      <c r="AA247" s="1269">
        <f t="shared" si="26"/>
        <v>1.1869937623489859</v>
      </c>
      <c r="AB247" s="1270">
        <f t="shared" si="27"/>
        <v>0.32388269708690376</v>
      </c>
      <c r="AC247" s="1269">
        <f t="shared" si="28"/>
        <v>2.3043687392246297</v>
      </c>
      <c r="AD247" s="1270">
        <f t="shared" si="29"/>
        <v>0.52718212057274094</v>
      </c>
    </row>
    <row r="248" spans="24:30" ht="12" customHeight="1">
      <c r="X248" s="1267">
        <v>121</v>
      </c>
      <c r="Y248" s="1269">
        <f t="shared" si="24"/>
        <v>0.6353620791754</v>
      </c>
      <c r="Z248" s="1270">
        <f t="shared" si="25"/>
        <v>0.23925166496871597</v>
      </c>
      <c r="AA248" s="1269">
        <f t="shared" si="26"/>
        <v>1.1813697099371521</v>
      </c>
      <c r="AB248" s="1270">
        <f t="shared" si="27"/>
        <v>0.32056987704162504</v>
      </c>
      <c r="AC248" s="1269">
        <f t="shared" si="28"/>
        <v>2.2952144994231523</v>
      </c>
      <c r="AD248" s="1270">
        <f t="shared" si="29"/>
        <v>0.52178986123856197</v>
      </c>
    </row>
    <row r="249" spans="24:30" ht="12" customHeight="1">
      <c r="X249" s="1267">
        <v>122</v>
      </c>
      <c r="Y249" s="1269">
        <f t="shared" si="24"/>
        <v>0.63120845675027704</v>
      </c>
      <c r="Z249" s="1270">
        <f t="shared" si="25"/>
        <v>0.23670632187296489</v>
      </c>
      <c r="AA249" s="1269">
        <f t="shared" si="26"/>
        <v>1.1758043307776251</v>
      </c>
      <c r="AB249" s="1270">
        <f t="shared" si="27"/>
        <v>0.31715940830636935</v>
      </c>
      <c r="AC249" s="1269">
        <f t="shared" si="28"/>
        <v>2.2861557617582515</v>
      </c>
      <c r="AD249" s="1270">
        <f t="shared" si="29"/>
        <v>0.5162386596579579</v>
      </c>
    </row>
    <row r="250" spans="24:30" ht="12" customHeight="1">
      <c r="X250" s="1267">
        <v>123</v>
      </c>
      <c r="Y250" s="1269">
        <f t="shared" si="24"/>
        <v>0.62709988930419713</v>
      </c>
      <c r="Z250" s="1270">
        <f t="shared" si="25"/>
        <v>0.23408887573854559</v>
      </c>
      <c r="AA250" s="1269">
        <f t="shared" si="26"/>
        <v>1.1702993201388099</v>
      </c>
      <c r="AB250" s="1270">
        <f t="shared" si="27"/>
        <v>0.31365232974295126</v>
      </c>
      <c r="AC250" s="1269">
        <f t="shared" si="28"/>
        <v>2.2771952856091739</v>
      </c>
      <c r="AD250" s="1270">
        <f t="shared" si="29"/>
        <v>0.5105302067807056</v>
      </c>
    </row>
    <row r="251" spans="24:30" ht="12" customHeight="1">
      <c r="X251" s="1267">
        <v>124</v>
      </c>
      <c r="Y251" s="1269">
        <f t="shared" si="24"/>
        <v>0.62303762834660525</v>
      </c>
      <c r="Z251" s="1270">
        <f t="shared" si="25"/>
        <v>0.23140012386490658</v>
      </c>
      <c r="AA251" s="1269">
        <f t="shared" si="26"/>
        <v>1.1648563549002753</v>
      </c>
      <c r="AB251" s="1270">
        <f t="shared" si="27"/>
        <v>0.31004970964147527</v>
      </c>
      <c r="AC251" s="1269">
        <f t="shared" si="28"/>
        <v>2.268335800423757</v>
      </c>
      <c r="AD251" s="1270">
        <f t="shared" si="29"/>
        <v>0.50466624145685102</v>
      </c>
    </row>
    <row r="252" spans="24:30" ht="12" customHeight="1">
      <c r="X252" s="1267">
        <v>125</v>
      </c>
      <c r="Y252" s="1269">
        <f t="shared" si="24"/>
        <v>0.61902291128154097</v>
      </c>
      <c r="Z252" s="1270">
        <f t="shared" si="25"/>
        <v>0.2286408852719149</v>
      </c>
      <c r="AA252" s="1269">
        <f t="shared" si="26"/>
        <v>1.1594770930419602</v>
      </c>
      <c r="AB252" s="1270">
        <f t="shared" si="27"/>
        <v>0.30635264539492335</v>
      </c>
      <c r="AC252" s="1269">
        <f t="shared" si="28"/>
        <v>2.2595800048870114</v>
      </c>
      <c r="AD252" s="1270">
        <f t="shared" si="29"/>
        <v>0.49864854990703689</v>
      </c>
    </row>
    <row r="253" spans="24:30" ht="12" customHeight="1">
      <c r="X253" s="1267">
        <v>126</v>
      </c>
      <c r="Y253" s="1269">
        <f t="shared" si="24"/>
        <v>0.61505696103071372</v>
      </c>
      <c r="Z253" s="1270">
        <f t="shared" si="25"/>
        <v>0.22581200045037544</v>
      </c>
      <c r="AA253" s="1269">
        <f t="shared" si="26"/>
        <v>1.1541631731391369</v>
      </c>
      <c r="AB253" s="1270">
        <f t="shared" si="27"/>
        <v>0.30256226316487955</v>
      </c>
      <c r="AC253" s="1269">
        <f t="shared" si="28"/>
        <v>2.2509305660990777</v>
      </c>
      <c r="AD253" s="1270">
        <f t="shared" si="29"/>
        <v>0.49247896517840417</v>
      </c>
    </row>
    <row r="254" spans="24:30" ht="12" customHeight="1">
      <c r="X254" s="1267">
        <v>127</v>
      </c>
      <c r="Y254" s="1269">
        <f t="shared" si="24"/>
        <v>0.61114098566098896</v>
      </c>
      <c r="Z254" s="1270">
        <f t="shared" si="25"/>
        <v>0.22291433110600881</v>
      </c>
      <c r="AA254" s="1269">
        <f t="shared" si="26"/>
        <v>1.1489162138632847</v>
      </c>
      <c r="AB254" s="1270">
        <f t="shared" si="27"/>
        <v>0.29867971753848921</v>
      </c>
      <c r="AC254" s="1269">
        <f t="shared" si="28"/>
        <v>2.242390118762799</v>
      </c>
      <c r="AD254" s="1270">
        <f t="shared" si="29"/>
        <v>0.48615936658622716</v>
      </c>
    </row>
    <row r="255" spans="24:30" ht="12" customHeight="1">
      <c r="X255" s="1267">
        <v>128</v>
      </c>
      <c r="Y255" s="1269">
        <f t="shared" si="24"/>
        <v>0.60727617801639922</v>
      </c>
      <c r="Z255" s="1270">
        <f t="shared" si="25"/>
        <v>0.21994875989696774</v>
      </c>
      <c r="AA255" s="1269">
        <f t="shared" si="26"/>
        <v>1.1437378134890275</v>
      </c>
      <c r="AB255" s="1270">
        <f t="shared" si="27"/>
        <v>0.29470619117676133</v>
      </c>
      <c r="AC255" s="1269">
        <f t="shared" si="28"/>
        <v>2.2339612643811675</v>
      </c>
      <c r="AD255" s="1270">
        <f t="shared" si="29"/>
        <v>0.47969167914145661</v>
      </c>
    </row>
    <row r="256" spans="24:30" ht="12" customHeight="1">
      <c r="X256" s="1267">
        <v>129</v>
      </c>
      <c r="Y256" s="1269">
        <f t="shared" si="24"/>
        <v>0.60346371535479226</v>
      </c>
      <c r="Z256" s="1270">
        <f t="shared" si="25"/>
        <v>0.21691619016497055</v>
      </c>
      <c r="AA256" s="1269">
        <f t="shared" si="26"/>
        <v>1.1386295494072836</v>
      </c>
      <c r="AB256" s="1270">
        <f t="shared" si="27"/>
        <v>0.29064289445431801</v>
      </c>
      <c r="AC256" s="1269">
        <f t="shared" si="28"/>
        <v>2.2256465704648796</v>
      </c>
      <c r="AD256" s="1270">
        <f t="shared" si="29"/>
        <v>0.47307787296434189</v>
      </c>
    </row>
    <row r="257" spans="24:30" ht="12" customHeight="1">
      <c r="X257" s="1267">
        <v>130</v>
      </c>
      <c r="Y257" s="1269">
        <f t="shared" ref="Y257:Y307" si="30">($L$128+$L$148)/2 + (($L$148-$L$128)/2)*COS(RADIANS($X257))</f>
        <v>0.59970475898922693</v>
      </c>
      <c r="Z257" s="1270">
        <f t="shared" ref="Z257:Z307" si="31">(($L$148-$L$128)/2)*SIN(RADIANS($X257))</f>
        <v>0.21381754566013472</v>
      </c>
      <c r="AA257" s="1269">
        <f t="shared" ref="AA257:AA307" si="32">($N$128+$N$148)/2 + (($N$148-$N$128)/2)*COS(RADIANS($X257))</f>
        <v>1.1335929776447768</v>
      </c>
      <c r="AB257" s="1270">
        <f t="shared" ref="AB257:AB307" si="33">(($N$148-$N$128)/2)*SIN(RADIANS($X257))</f>
        <v>0.28649106509070282</v>
      </c>
      <c r="AC257" s="1269">
        <f t="shared" ref="AC257:AC307" si="34">($O$128+$O$148)/2 + (($O$148-$O$128)/2)*COS(RADIANS($X257))</f>
        <v>2.2174485697502488</v>
      </c>
      <c r="AD257" s="1270">
        <f t="shared" ref="AD257:AD307" si="35">(($O$148-$O$128)/2)*SIN(RADIANS($X257))</f>
        <v>0.4663199626843138</v>
      </c>
    </row>
    <row r="258" spans="24:30" ht="12" customHeight="1">
      <c r="X258" s="1267">
        <v>131</v>
      </c>
      <c r="Y258" s="1269">
        <f t="shared" si="30"/>
        <v>0.59600045393422607</v>
      </c>
      <c r="Z258" s="1270">
        <f t="shared" si="31"/>
        <v>0.21065377025959384</v>
      </c>
      <c r="AA258" s="1269">
        <f t="shared" si="32"/>
        <v>1.1286296323900571</v>
      </c>
      <c r="AB258" s="1270">
        <f t="shared" si="33"/>
        <v>0.28225196777335992</v>
      </c>
      <c r="AC258" s="1269">
        <f t="shared" si="34"/>
        <v>2.2093697594277084</v>
      </c>
      <c r="AD258" s="1270">
        <f t="shared" si="35"/>
        <v>0.45942000682630935</v>
      </c>
    </row>
    <row r="259" spans="24:30" ht="12" customHeight="1">
      <c r="X259" s="1267">
        <v>132</v>
      </c>
      <c r="Y259" s="1269">
        <f t="shared" si="30"/>
        <v>0.59235192855699381</v>
      </c>
      <c r="Z259" s="1270">
        <f t="shared" si="31"/>
        <v>0.20742582767998288</v>
      </c>
      <c r="AA259" s="1269">
        <f t="shared" si="32"/>
        <v>1.1237410255261695</v>
      </c>
      <c r="AB259" s="1270">
        <f t="shared" si="33"/>
        <v>0.27792689377239693</v>
      </c>
      <c r="AC259" s="1269">
        <f t="shared" si="34"/>
        <v>2.2014126003811443</v>
      </c>
      <c r="AD259" s="1270">
        <f t="shared" si="35"/>
        <v>0.4523801071837239</v>
      </c>
    </row>
    <row r="260" spans="24:30" ht="12" customHeight="1">
      <c r="X260" s="1267">
        <v>133</v>
      </c>
      <c r="Y260" s="1269">
        <f t="shared" si="30"/>
        <v>0.58876029423370402</v>
      </c>
      <c r="Z260" s="1270">
        <f t="shared" si="31"/>
        <v>0.20413470118388158</v>
      </c>
      <c r="AA260" s="1269">
        <f t="shared" si="32"/>
        <v>1.118928646170122</v>
      </c>
      <c r="AB260" s="1270">
        <f t="shared" si="33"/>
        <v>0.27351716054725267</v>
      </c>
      <c r="AC260" s="1269">
        <f t="shared" si="34"/>
        <v>2.1935795164382839</v>
      </c>
      <c r="AD260" s="1270">
        <f t="shared" si="35"/>
        <v>0.44520240817818596</v>
      </c>
    </row>
    <row r="261" spans="24:30" ht="12" customHeight="1">
      <c r="X261" s="1267">
        <v>134</v>
      </c>
      <c r="Y261" s="1269">
        <f t="shared" si="30"/>
        <v>0.58522664501096466</v>
      </c>
      <c r="Z261" s="1270">
        <f t="shared" si="31"/>
        <v>0.20078139328030234</v>
      </c>
      <c r="AA261" s="1269">
        <f t="shared" si="32"/>
        <v>1.1141939602192847</v>
      </c>
      <c r="AB261" s="1270">
        <f t="shared" si="33"/>
        <v>0.2690241113453854</v>
      </c>
      <c r="AC261" s="1269">
        <f t="shared" si="34"/>
        <v>2.1858728936323777</v>
      </c>
      <c r="AD261" s="1270">
        <f t="shared" si="35"/>
        <v>0.4378890962063442</v>
      </c>
    </row>
    <row r="262" spans="24:30" ht="12" customHeight="1">
      <c r="X262" s="1267">
        <v>135</v>
      </c>
      <c r="Y262" s="1269">
        <f t="shared" si="30"/>
        <v>0.5817520572725603</v>
      </c>
      <c r="Z262" s="1270">
        <f t="shared" si="31"/>
        <v>0.19736692541931697</v>
      </c>
      <c r="AA262" s="1269">
        <f t="shared" si="32"/>
        <v>1.1095384099048644</v>
      </c>
      <c r="AB262" s="1270">
        <f t="shared" si="33"/>
        <v>0.26444911479310729</v>
      </c>
      <c r="AC262" s="1269">
        <f t="shared" si="34"/>
        <v>2.1782950794753884</v>
      </c>
      <c r="AD262" s="1270">
        <f t="shared" si="35"/>
        <v>0.43044239897387121</v>
      </c>
    </row>
    <row r="263" spans="24:30" ht="12" customHeight="1">
      <c r="X263" s="1267">
        <v>136</v>
      </c>
      <c r="Y263" s="1269">
        <f t="shared" si="30"/>
        <v>0.57833758941157476</v>
      </c>
      <c r="Z263" s="1270">
        <f t="shared" si="31"/>
        <v>0.19389233768091244</v>
      </c>
      <c r="AA263" s="1269">
        <f t="shared" si="32"/>
        <v>1.1049634133525865</v>
      </c>
      <c r="AB263" s="1270">
        <f t="shared" si="33"/>
        <v>0.25979356447868707</v>
      </c>
      <c r="AC263" s="1269">
        <f t="shared" si="34"/>
        <v>2.170848382242915</v>
      </c>
      <c r="AD263" s="1270">
        <f t="shared" si="35"/>
        <v>0.42286458481688144</v>
      </c>
    </row>
    <row r="264" spans="24:30" ht="12" customHeight="1">
      <c r="X264" s="1267">
        <v>137</v>
      </c>
      <c r="Y264" s="1269">
        <f t="shared" si="30"/>
        <v>0.57498428150799563</v>
      </c>
      <c r="Z264" s="1270">
        <f t="shared" si="31"/>
        <v>0.19035868845817316</v>
      </c>
      <c r="AA264" s="1269">
        <f t="shared" si="32"/>
        <v>1.1004703641507192</v>
      </c>
      <c r="AB264" s="1270">
        <f t="shared" si="33"/>
        <v>0.25505887852784997</v>
      </c>
      <c r="AC264" s="1269">
        <f t="shared" si="34"/>
        <v>2.1635350702710734</v>
      </c>
      <c r="AD264" s="1270">
        <f t="shared" si="35"/>
        <v>0.41515796201097549</v>
      </c>
    </row>
    <row r="265" spans="24:30" ht="12" customHeight="1">
      <c r="X265" s="1267">
        <v>138</v>
      </c>
      <c r="Y265" s="1269">
        <f t="shared" si="30"/>
        <v>0.57169315501189433</v>
      </c>
      <c r="Z265" s="1270">
        <f t="shared" si="31"/>
        <v>0.18676705413488348</v>
      </c>
      <c r="AA265" s="1269">
        <f t="shared" si="32"/>
        <v>1.0960606309255749</v>
      </c>
      <c r="AB265" s="1270">
        <f t="shared" si="33"/>
        <v>0.25024649917180236</v>
      </c>
      <c r="AC265" s="1269">
        <f t="shared" si="34"/>
        <v>2.1563573712655355</v>
      </c>
      <c r="AD265" s="1270">
        <f t="shared" si="35"/>
        <v>0.4073248780681154</v>
      </c>
    </row>
    <row r="266" spans="24:30" ht="12" customHeight="1">
      <c r="X266" s="1267">
        <v>139</v>
      </c>
      <c r="Y266" s="1269">
        <f t="shared" si="30"/>
        <v>0.56846521243228332</v>
      </c>
      <c r="Z266" s="1270">
        <f t="shared" si="31"/>
        <v>0.18311852875765114</v>
      </c>
      <c r="AA266" s="1269">
        <f t="shared" si="32"/>
        <v>1.0917355569246119</v>
      </c>
      <c r="AB266" s="1270">
        <f t="shared" si="33"/>
        <v>0.24535789230791474</v>
      </c>
      <c r="AC266" s="1269">
        <f t="shared" si="34"/>
        <v>2.1493174716229499</v>
      </c>
      <c r="AD266" s="1270">
        <f t="shared" si="35"/>
        <v>0.39936771902155099</v>
      </c>
    </row>
    <row r="267" spans="24:30" ht="12" customHeight="1">
      <c r="X267" s="1267">
        <v>140</v>
      </c>
      <c r="Y267" s="1269">
        <f t="shared" si="30"/>
        <v>0.56530143703174252</v>
      </c>
      <c r="Z267" s="1270">
        <f t="shared" si="31"/>
        <v>0.17941422370265031</v>
      </c>
      <c r="AA267" s="1269">
        <f t="shared" si="32"/>
        <v>1.0874964596072689</v>
      </c>
      <c r="AB267" s="1270">
        <f t="shared" si="33"/>
        <v>0.24039454705319493</v>
      </c>
      <c r="AC267" s="1269">
        <f t="shared" si="34"/>
        <v>2.1424175157649454</v>
      </c>
      <c r="AD267" s="1270">
        <f t="shared" si="35"/>
        <v>0.39128890869901078</v>
      </c>
    </row>
    <row r="268" spans="24:30" ht="12" customHeight="1">
      <c r="X268" s="1267">
        <v>141</v>
      </c>
      <c r="Y268" s="1269">
        <f t="shared" si="30"/>
        <v>0.56220279252690664</v>
      </c>
      <c r="Z268" s="1270">
        <f t="shared" si="31"/>
        <v>0.17565526733708495</v>
      </c>
      <c r="AA268" s="1269">
        <f t="shared" si="32"/>
        <v>1.0833446302436538</v>
      </c>
      <c r="AB268" s="1270">
        <f t="shared" si="33"/>
        <v>0.23535797529068833</v>
      </c>
      <c r="AC268" s="1269">
        <f t="shared" si="34"/>
        <v>2.1356596054849177</v>
      </c>
      <c r="AD268" s="1270">
        <f t="shared" si="35"/>
        <v>0.38309090798437989</v>
      </c>
    </row>
    <row r="269" spans="24:30" ht="12" customHeight="1">
      <c r="X269" s="1267">
        <v>142</v>
      </c>
      <c r="Y269" s="1269">
        <f t="shared" si="30"/>
        <v>0.55917022279490947</v>
      </c>
      <c r="Z269" s="1270">
        <f t="shared" si="31"/>
        <v>0.17184280467547802</v>
      </c>
      <c r="AA269" s="1269">
        <f t="shared" si="32"/>
        <v>1.0792813335212106</v>
      </c>
      <c r="AB269" s="1270">
        <f t="shared" si="33"/>
        <v>0.23024971120894444</v>
      </c>
      <c r="AC269" s="1269">
        <f t="shared" si="34"/>
        <v>2.1290457993078027</v>
      </c>
      <c r="AD269" s="1270">
        <f t="shared" si="35"/>
        <v>0.37477621406809225</v>
      </c>
    </row>
    <row r="270" spans="24:30" ht="12" customHeight="1">
      <c r="X270" s="1267">
        <v>143</v>
      </c>
      <c r="Y270" s="1269">
        <f t="shared" si="30"/>
        <v>0.55620465158586829</v>
      </c>
      <c r="Z270" s="1270">
        <f t="shared" si="31"/>
        <v>0.1679779970308882</v>
      </c>
      <c r="AA270" s="1269">
        <f t="shared" si="32"/>
        <v>1.0753078071594826</v>
      </c>
      <c r="AB270" s="1270">
        <f t="shared" si="33"/>
        <v>0.22507131083468709</v>
      </c>
      <c r="AC270" s="1269">
        <f t="shared" si="34"/>
        <v>2.122578111863032</v>
      </c>
      <c r="AD270" s="1270">
        <f t="shared" si="35"/>
        <v>0.36634735968646048</v>
      </c>
    </row>
    <row r="271" spans="24:30" ht="12" customHeight="1">
      <c r="X271" s="1267">
        <v>144</v>
      </c>
      <c r="Y271" s="1269">
        <f t="shared" si="30"/>
        <v>0.55330698224150177</v>
      </c>
      <c r="Z271" s="1270">
        <f t="shared" si="31"/>
        <v>0.16406202166116352</v>
      </c>
      <c r="AA271" s="1269">
        <f t="shared" si="32"/>
        <v>1.0714252615330921</v>
      </c>
      <c r="AB271" s="1270">
        <f t="shared" si="33"/>
        <v>0.21982435155883492</v>
      </c>
      <c r="AC271" s="1269">
        <f t="shared" si="34"/>
        <v>2.1162585132708553</v>
      </c>
      <c r="AD271" s="1270">
        <f t="shared" si="35"/>
        <v>0.35780691235018192</v>
      </c>
    </row>
    <row r="272" spans="24:30" ht="12" customHeight="1">
      <c r="X272" s="1267">
        <v>145</v>
      </c>
      <c r="Y272" s="1269">
        <f t="shared" si="30"/>
        <v>0.55047809741996223</v>
      </c>
      <c r="Z272" s="1270">
        <f t="shared" si="31"/>
        <v>0.16009607141033619</v>
      </c>
      <c r="AA272" s="1269">
        <f t="shared" si="32"/>
        <v>1.0676348793030483</v>
      </c>
      <c r="AB272" s="1270">
        <f t="shared" si="33"/>
        <v>0.21451043165601144</v>
      </c>
      <c r="AC272" s="1269">
        <f t="shared" si="34"/>
        <v>2.1100889285422224</v>
      </c>
      <c r="AD272" s="1270">
        <f t="shared" si="35"/>
        <v>0.34915747356224786</v>
      </c>
    </row>
    <row r="273" spans="24:30" ht="12" customHeight="1">
      <c r="X273" s="1267">
        <v>146</v>
      </c>
      <c r="Y273" s="1269">
        <f t="shared" si="30"/>
        <v>0.54771885882697058</v>
      </c>
      <c r="Z273" s="1270">
        <f t="shared" si="31"/>
        <v>0.15608135434527196</v>
      </c>
      <c r="AA273" s="1269">
        <f t="shared" si="32"/>
        <v>1.0639378150564966</v>
      </c>
      <c r="AB273" s="1270">
        <f t="shared" si="33"/>
        <v>0.20913116979769653</v>
      </c>
      <c r="AC273" s="1269">
        <f t="shared" si="34"/>
        <v>2.1040712369924082</v>
      </c>
      <c r="AD273" s="1270">
        <f t="shared" si="35"/>
        <v>0.34040167802550259</v>
      </c>
    </row>
    <row r="274" spans="24:30" ht="12" customHeight="1">
      <c r="X274" s="1267">
        <v>147</v>
      </c>
      <c r="Y274" s="1269">
        <f t="shared" si="30"/>
        <v>0.54503010695333165</v>
      </c>
      <c r="Z274" s="1270">
        <f t="shared" si="31"/>
        <v>0.1520190933876801</v>
      </c>
      <c r="AA274" s="1269">
        <f t="shared" si="32"/>
        <v>1.0603351949550206</v>
      </c>
      <c r="AB274" s="1270">
        <f t="shared" si="33"/>
        <v>0.20368820455916206</v>
      </c>
      <c r="AC274" s="1269">
        <f t="shared" si="34"/>
        <v>2.0982072716685538</v>
      </c>
      <c r="AD274" s="1270">
        <f t="shared" si="35"/>
        <v>0.33154219284008563</v>
      </c>
    </row>
    <row r="275" spans="24:30" ht="12" customHeight="1">
      <c r="X275" s="1267">
        <v>148</v>
      </c>
      <c r="Y275" s="1269">
        <f t="shared" si="30"/>
        <v>0.54241266081891237</v>
      </c>
      <c r="Z275" s="1270">
        <f t="shared" si="31"/>
        <v>0.1479105259416002</v>
      </c>
      <c r="AA275" s="1269">
        <f t="shared" si="32"/>
        <v>1.0568281163916025</v>
      </c>
      <c r="AB275" s="1270">
        <f t="shared" si="33"/>
        <v>0.19818319392034678</v>
      </c>
      <c r="AC275" s="1269">
        <f t="shared" si="34"/>
        <v>2.0924988187913014</v>
      </c>
      <c r="AD275" s="1270">
        <f t="shared" si="35"/>
        <v>0.32258171669100799</v>
      </c>
    </row>
    <row r="276" spans="24:30" ht="12" customHeight="1">
      <c r="X276" s="1267">
        <v>149</v>
      </c>
      <c r="Y276" s="1269">
        <f t="shared" si="30"/>
        <v>0.53986731772316121</v>
      </c>
      <c r="Z276" s="1270">
        <f t="shared" si="31"/>
        <v>0.14375690351647721</v>
      </c>
      <c r="AA276" s="1269">
        <f t="shared" si="32"/>
        <v>1.0534176476563468</v>
      </c>
      <c r="AB276" s="1270">
        <f t="shared" si="33"/>
        <v>0.19261781476081982</v>
      </c>
      <c r="AC276" s="1269">
        <f t="shared" si="34"/>
        <v>2.0869476172106975</v>
      </c>
      <c r="AD276" s="1270">
        <f t="shared" si="35"/>
        <v>0.31352297902610726</v>
      </c>
    </row>
    <row r="277" spans="24:30" ht="12" customHeight="1">
      <c r="X277" s="1267">
        <v>150</v>
      </c>
      <c r="Y277" s="1269">
        <f t="shared" si="30"/>
        <v>0.53739485300224255</v>
      </c>
      <c r="Z277" s="1270">
        <f t="shared" si="31"/>
        <v>0.13955949134593856</v>
      </c>
      <c r="AA277" s="1269">
        <f t="shared" si="32"/>
        <v>1.050104827611068</v>
      </c>
      <c r="AB277" s="1270">
        <f t="shared" si="33"/>
        <v>0.18699376234898588</v>
      </c>
      <c r="AC277" s="1269">
        <f t="shared" si="34"/>
        <v>2.0815553578765185</v>
      </c>
      <c r="AD277" s="1270">
        <f t="shared" si="35"/>
        <v>0.30436873922462965</v>
      </c>
    </row>
    <row r="278" spans="24:30" ht="12" customHeight="1">
      <c r="X278" s="1267">
        <v>151</v>
      </c>
      <c r="Y278" s="1269">
        <f t="shared" si="30"/>
        <v>0.53499601979286149</v>
      </c>
      <c r="Z278" s="1270">
        <f t="shared" si="31"/>
        <v>0.13531956800239292</v>
      </c>
      <c r="AA278" s="1269">
        <f t="shared" si="32"/>
        <v>1.0468906653728443</v>
      </c>
      <c r="AB278" s="1270">
        <f t="shared" si="33"/>
        <v>0.18131274982569134</v>
      </c>
      <c r="AC278" s="1269">
        <f t="shared" si="34"/>
        <v>2.0763236833231939</v>
      </c>
      <c r="AD278" s="1270">
        <f t="shared" si="35"/>
        <v>0.29512178575669828</v>
      </c>
    </row>
    <row r="279" spans="24:30" ht="12" customHeight="1">
      <c r="X279" s="1267">
        <v>152</v>
      </c>
      <c r="Y279" s="1269">
        <f t="shared" si="30"/>
        <v>0.53267154880285172</v>
      </c>
      <c r="Z279" s="1270">
        <f t="shared" si="31"/>
        <v>0.13103842500756355</v>
      </c>
      <c r="AA279" s="1269">
        <f t="shared" si="32"/>
        <v>1.0437761400066292</v>
      </c>
      <c r="AB279" s="1270">
        <f t="shared" si="33"/>
        <v>0.17557650768238373</v>
      </c>
      <c r="AC279" s="1269">
        <f t="shared" si="34"/>
        <v>2.071254187169473</v>
      </c>
      <c r="AD279" s="1270">
        <f t="shared" si="35"/>
        <v>0.28578493533391625</v>
      </c>
    </row>
    <row r="280" spans="24:30" ht="12" customHeight="1">
      <c r="X280" s="1267">
        <v>153</v>
      </c>
      <c r="Y280" s="1269">
        <f t="shared" si="30"/>
        <v>0.53042214808859445</v>
      </c>
      <c r="Z280" s="1270">
        <f t="shared" si="31"/>
        <v>0.12671736643907924</v>
      </c>
      <c r="AA280" s="1269">
        <f t="shared" si="32"/>
        <v>1.0407622002270207</v>
      </c>
      <c r="AB280" s="1270">
        <f t="shared" si="33"/>
        <v>0.16978678323398835</v>
      </c>
      <c r="AC280" s="1269">
        <f t="shared" si="34"/>
        <v>2.0663484136329933</v>
      </c>
      <c r="AD280" s="1270">
        <f t="shared" si="35"/>
        <v>0.27636103205137091</v>
      </c>
    </row>
    <row r="281" spans="24:30" ht="12" customHeight="1">
      <c r="X281" s="1267">
        <v>154</v>
      </c>
      <c r="Y281" s="1269">
        <f t="shared" si="30"/>
        <v>0.52824850283933777</v>
      </c>
      <c r="Z281" s="1270">
        <f t="shared" si="31"/>
        <v>0.12235770853323881</v>
      </c>
      <c r="AA281" s="1269">
        <f t="shared" si="32"/>
        <v>1.0378497641092721</v>
      </c>
      <c r="AB281" s="1270">
        <f t="shared" si="33"/>
        <v>0.16394534008665826</v>
      </c>
      <c r="AC281" s="1269">
        <f t="shared" si="34"/>
        <v>2.0616078570598977</v>
      </c>
      <c r="AD281" s="1270">
        <f t="shared" si="35"/>
        <v>0.26685294652129304</v>
      </c>
    </row>
    <row r="282" spans="24:30" ht="12" customHeight="1">
      <c r="X282" s="1267">
        <v>155</v>
      </c>
      <c r="Y282" s="1269">
        <f t="shared" si="30"/>
        <v>0.52615127516848093</v>
      </c>
      <c r="Z282" s="1270">
        <f t="shared" si="31"/>
        <v>0.11796077928407353</v>
      </c>
      <c r="AA282" s="1269">
        <f t="shared" si="32"/>
        <v>1.0350397188096385</v>
      </c>
      <c r="AB282" s="1270">
        <f t="shared" si="33"/>
        <v>0.15805395760056376</v>
      </c>
      <c r="AC282" s="1269">
        <f t="shared" si="34"/>
        <v>2.0570339614696405</v>
      </c>
      <c r="AD282" s="1270">
        <f t="shared" si="35"/>
        <v>0.25726357499864255</v>
      </c>
    </row>
    <row r="283" spans="24:30" ht="12" customHeight="1">
      <c r="X283" s="1267">
        <v>156</v>
      </c>
      <c r="Y283" s="1269">
        <f t="shared" si="30"/>
        <v>0.52413110391188911</v>
      </c>
      <c r="Z283" s="1270">
        <f t="shared" si="31"/>
        <v>0.11352791803882657</v>
      </c>
      <c r="AA283" s="1269">
        <f t="shared" si="32"/>
        <v>1.0323329202951397</v>
      </c>
      <c r="AB283" s="1270">
        <f t="shared" si="33"/>
        <v>0.15211443034788105</v>
      </c>
      <c r="AC283" s="1269">
        <f t="shared" si="34"/>
        <v>2.052628120115128</v>
      </c>
      <c r="AD283" s="1270">
        <f t="shared" si="35"/>
        <v>0.24759583849887917</v>
      </c>
    </row>
    <row r="284" spans="24:30" ht="12" customHeight="1">
      <c r="X284" s="1267">
        <v>157</v>
      </c>
      <c r="Y284" s="1269">
        <f t="shared" si="30"/>
        <v>0.52218860443329651</v>
      </c>
      <c r="Z284" s="1270">
        <f t="shared" si="31"/>
        <v>0.10906047508997524</v>
      </c>
      <c r="AA284" s="1269">
        <f t="shared" si="32"/>
        <v>1.0297301930828242</v>
      </c>
      <c r="AB284" s="1270">
        <f t="shared" si="33"/>
        <v>0.14612856756614867</v>
      </c>
      <c r="AC284" s="1269">
        <f t="shared" si="34"/>
        <v>2.0483916750583155</v>
      </c>
      <c r="AD284" s="1270">
        <f t="shared" si="35"/>
        <v>0.23785268190819411</v>
      </c>
    </row>
    <row r="285" spans="24:30" ht="12" customHeight="1">
      <c r="X285" s="1267">
        <v>158</v>
      </c>
      <c r="Y285" s="1269">
        <f t="shared" si="30"/>
        <v>0.52032436843686214</v>
      </c>
      <c r="Z285" s="1270">
        <f t="shared" si="31"/>
        <v>0.10455981126391908</v>
      </c>
      <c r="AA285" s="1269">
        <f t="shared" si="32"/>
        <v>1.0272323299886148</v>
      </c>
      <c r="AB285" s="1270">
        <f t="shared" si="33"/>
        <v>0.14009819260715656</v>
      </c>
      <c r="AC285" s="1269">
        <f t="shared" si="34"/>
        <v>2.0443259167614083</v>
      </c>
      <c r="AD285" s="1270">
        <f t="shared" si="35"/>
        <v>0.22803707308646937</v>
      </c>
    </row>
    <row r="286" spans="24:30" ht="12" customHeight="1">
      <c r="X286" s="1267">
        <v>159</v>
      </c>
      <c r="Y286" s="1269">
        <f t="shared" si="30"/>
        <v>0.51853896378692943</v>
      </c>
      <c r="Z286" s="1270">
        <f t="shared" si="31"/>
        <v>0.10002729750645817</v>
      </c>
      <c r="AA286" s="1269">
        <f t="shared" si="32"/>
        <v>1.0248400918858065</v>
      </c>
      <c r="AB286" s="1270">
        <f t="shared" si="33"/>
        <v>0.13402514238153448</v>
      </c>
      <c r="AC286" s="1269">
        <f t="shared" si="34"/>
        <v>2.0404320836937684</v>
      </c>
      <c r="AD286" s="1270">
        <f t="shared" si="35"/>
        <v>0.21815200196323747</v>
      </c>
    </row>
    <row r="287" spans="24:30" ht="12" customHeight="1">
      <c r="X287" s="1267">
        <v>160</v>
      </c>
      <c r="Y287" s="1269">
        <f t="shared" si="30"/>
        <v>0.51683293433505051</v>
      </c>
      <c r="Z287" s="1270">
        <f t="shared" si="31"/>
        <v>9.5464314465190728E-2</v>
      </c>
      <c r="AA287" s="1269">
        <f t="shared" si="32"/>
        <v>1.0225542074733001</v>
      </c>
      <c r="AB287" s="1270">
        <f t="shared" si="33"/>
        <v>0.12791126679921244</v>
      </c>
      <c r="AC287" s="1269">
        <f t="shared" si="34"/>
        <v>2.0367113619546693</v>
      </c>
      <c r="AD287" s="1270">
        <f t="shared" si="35"/>
        <v>0.20820047962692198</v>
      </c>
    </row>
    <row r="288" spans="24:30" ht="12" customHeight="1">
      <c r="X288" s="1267">
        <v>161</v>
      </c>
      <c r="Y288" s="1269">
        <f t="shared" si="30"/>
        <v>0.51520679975432304</v>
      </c>
      <c r="Z288" s="1270">
        <f t="shared" si="31"/>
        <v>9.0872252068953482E-2</v>
      </c>
      <c r="AA288" s="1269">
        <f t="shared" si="32"/>
        <v>1.0203753730536311</v>
      </c>
      <c r="AB288" s="1270">
        <f t="shared" si="33"/>
        <v>0.12175842820591895</v>
      </c>
      <c r="AC288" s="1269">
        <f t="shared" si="34"/>
        <v>2.0331648849119959</v>
      </c>
      <c r="AD288" s="1270">
        <f t="shared" si="35"/>
        <v>0.19818553740762851</v>
      </c>
    </row>
    <row r="289" spans="24:30" ht="12" customHeight="1">
      <c r="X289" s="1267">
        <v>162</v>
      </c>
      <c r="Y289" s="1269">
        <f t="shared" si="30"/>
        <v>0.51366105538109319</v>
      </c>
      <c r="Z289" s="1270">
        <f t="shared" si="31"/>
        <v>8.6252509104436881E-2</v>
      </c>
      <c r="AA289" s="1269">
        <f t="shared" si="32"/>
        <v>1.018304252320871</v>
      </c>
      <c r="AB289" s="1270">
        <f t="shared" si="33"/>
        <v>0.11556850081589369</v>
      </c>
      <c r="AC289" s="1269">
        <f t="shared" si="34"/>
        <v>2.0297937328570108</v>
      </c>
      <c r="AD289" s="1270">
        <f t="shared" si="35"/>
        <v>0.18811022595377452</v>
      </c>
    </row>
    <row r="290" spans="24:30" ht="12" customHeight="1">
      <c r="X290" s="1267">
        <v>163</v>
      </c>
      <c r="Y290" s="1269">
        <f t="shared" si="30"/>
        <v>0.51219617206407086</v>
      </c>
      <c r="Z290" s="1270">
        <f t="shared" si="31"/>
        <v>8.1606492790100141E-2</v>
      </c>
      <c r="AA290" s="1269">
        <f t="shared" si="32"/>
        <v>1.0163414761584582</v>
      </c>
      <c r="AB290" s="1270">
        <f t="shared" si="33"/>
        <v>0.10934337014098258</v>
      </c>
      <c r="AC290" s="1269">
        <f t="shared" si="34"/>
        <v>2.0265989326752867</v>
      </c>
      <c r="AD290" s="1270">
        <f t="shared" si="35"/>
        <v>0.1779776143028301</v>
      </c>
    </row>
    <row r="291" spans="24:30" ht="12" customHeight="1">
      <c r="X291" s="1267">
        <v>164</v>
      </c>
      <c r="Y291" s="1269">
        <f t="shared" si="30"/>
        <v>0.51081259602090512</v>
      </c>
      <c r="Z291" s="1270">
        <f t="shared" si="31"/>
        <v>7.6935618347519802E-2</v>
      </c>
      <c r="AA291" s="1269">
        <f t="shared" si="32"/>
        <v>1.0144876424470255</v>
      </c>
      <c r="AB291" s="1270">
        <f t="shared" si="33"/>
        <v>0.10308493241629364</v>
      </c>
      <c r="AC291" s="1269">
        <f t="shared" si="34"/>
        <v>2.0235814575339086</v>
      </c>
      <c r="AD291" s="1270">
        <f t="shared" si="35"/>
        <v>0.16779078894646141</v>
      </c>
    </row>
    <row r="292" spans="24:30" ht="12" customHeight="1">
      <c r="X292" s="1267">
        <v>165</v>
      </c>
      <c r="Y292" s="1269">
        <f t="shared" si="30"/>
        <v>0.50951074870226165</v>
      </c>
      <c r="Z292" s="1270">
        <f t="shared" si="31"/>
        <v>7.2241308570298743E-2</v>
      </c>
      <c r="AA292" s="1269">
        <f t="shared" si="32"/>
        <v>1.0127433158822801</v>
      </c>
      <c r="AB292" s="1270">
        <f t="shared" si="33"/>
        <v>9.6795094022584557E-2</v>
      </c>
      <c r="AC292" s="1269">
        <f t="shared" si="34"/>
        <v>2.0207422265850346</v>
      </c>
      <c r="AD292" s="1270">
        <f t="shared" si="35"/>
        <v>0.15755285289035378</v>
      </c>
    </row>
    <row r="293" spans="24:30" ht="12" customHeight="1">
      <c r="X293" s="1267">
        <v>166</v>
      </c>
      <c r="Y293" s="1269">
        <f t="shared" si="30"/>
        <v>0.50829102666344494</v>
      </c>
      <c r="Z293" s="1270">
        <f t="shared" si="31"/>
        <v>6.752499339066978E-2</v>
      </c>
      <c r="AA293" s="1269">
        <f t="shared" si="32"/>
        <v>1.0111090278029911</v>
      </c>
      <c r="AB293" s="1270">
        <f t="shared" si="33"/>
        <v>9.0475770905560887E-2</v>
      </c>
      <c r="AC293" s="1269">
        <f t="shared" si="34"/>
        <v>2.0180821046859165</v>
      </c>
      <c r="AD293" s="1270">
        <f t="shared" si="35"/>
        <v>0.14726692470900671</v>
      </c>
    </row>
    <row r="294" spans="24:30" ht="12" customHeight="1">
      <c r="X294" s="1267">
        <v>167</v>
      </c>
      <c r="Y294" s="1269">
        <f t="shared" si="30"/>
        <v>0.50715380144360389</v>
      </c>
      <c r="Z294" s="1270">
        <f t="shared" si="31"/>
        <v>6.2788109443924836E-2</v>
      </c>
      <c r="AA294" s="1269">
        <f t="shared" si="32"/>
        <v>1.0095852760291393</v>
      </c>
      <c r="AB294" s="1270">
        <f t="shared" si="33"/>
        <v>8.4128887992261078E-2</v>
      </c>
      <c r="AC294" s="1269">
        <f t="shared" si="34"/>
        <v>2.0156019021354536</v>
      </c>
      <c r="AD294" s="1270">
        <f t="shared" si="35"/>
        <v>0.13693613759578682</v>
      </c>
    </row>
    <row r="295" spans="24:30" ht="12" customHeight="1">
      <c r="X295" s="1267">
        <v>168</v>
      </c>
      <c r="Y295" s="1269">
        <f t="shared" si="30"/>
        <v>0.50609941945255688</v>
      </c>
      <c r="Z295" s="1270">
        <f t="shared" si="31"/>
        <v>5.8032099630801082E-2</v>
      </c>
      <c r="AA295" s="1269">
        <f t="shared" si="32"/>
        <v>1.0081725247102757</v>
      </c>
      <c r="AB295" s="1270">
        <f t="shared" si="33"/>
        <v>7.7756378604703844E-2</v>
      </c>
      <c r="AC295" s="1269">
        <f t="shared" si="34"/>
        <v>2.0133023744273695</v>
      </c>
      <c r="AD295" s="1270">
        <f t="shared" si="35"/>
        <v>0.12656363840852486</v>
      </c>
    </row>
    <row r="296" spans="24:30" ht="12" customHeight="1">
      <c r="X296" s="1267">
        <v>169</v>
      </c>
      <c r="Y296" s="1269">
        <f t="shared" si="30"/>
        <v>0.50512820186527252</v>
      </c>
      <c r="Z296" s="1270">
        <f t="shared" si="31"/>
        <v>5.3258412677960332E-2</v>
      </c>
      <c r="AA296" s="1269">
        <f t="shared" si="32"/>
        <v>1.0068712041841381</v>
      </c>
      <c r="AB296" s="1270">
        <f t="shared" si="33"/>
        <v>7.1360183870980795E-2</v>
      </c>
      <c r="AC296" s="1269">
        <f t="shared" si="34"/>
        <v>2.0111842220200797</v>
      </c>
      <c r="AD296" s="1270">
        <f t="shared" si="35"/>
        <v>0.11615258671095438</v>
      </c>
    </row>
    <row r="297" spans="24:30" ht="12" customHeight="1">
      <c r="X297" s="1267">
        <v>170</v>
      </c>
      <c r="Y297" s="1269">
        <f t="shared" si="30"/>
        <v>0.50424044452403627</v>
      </c>
      <c r="Z297" s="1270">
        <f t="shared" si="31"/>
        <v>4.8468502696691923E-2</v>
      </c>
      <c r="AA297" s="1269">
        <f t="shared" si="32"/>
        <v>1.0056817108455645</v>
      </c>
      <c r="AB297" s="1270">
        <f t="shared" si="33"/>
        <v>6.4942252133968884E-2</v>
      </c>
      <c r="AC297" s="1269">
        <f t="shared" si="34"/>
        <v>2.0092480901233269</v>
      </c>
      <c r="AD297" s="1270">
        <f t="shared" si="35"/>
        <v>0.10570615381027613</v>
      </c>
    </row>
    <row r="298" spans="24:30" ht="12" customHeight="1">
      <c r="X298" s="1267">
        <v>171</v>
      </c>
      <c r="Y298" s="1269">
        <f t="shared" si="30"/>
        <v>0.50343641784833404</v>
      </c>
      <c r="Z298" s="1270">
        <f t="shared" si="31"/>
        <v>4.3663828739977296E-2</v>
      </c>
      <c r="AA298" s="1269">
        <f t="shared" si="32"/>
        <v>1.0046044070257489</v>
      </c>
      <c r="AB298" s="1270">
        <f t="shared" si="33"/>
        <v>5.8504538357847392E-2</v>
      </c>
      <c r="AC298" s="1269">
        <f t="shared" si="34"/>
        <v>2.0074945685016421</v>
      </c>
      <c r="AD298" s="1270">
        <f t="shared" si="35"/>
        <v>9.5227521791149031E-2</v>
      </c>
    </row>
    <row r="299" spans="24:30" ht="12" customHeight="1">
      <c r="X299" s="1267">
        <v>172</v>
      </c>
      <c r="Y299" s="1269">
        <f t="shared" si="30"/>
        <v>0.5027163667524801</v>
      </c>
      <c r="Z299" s="1270">
        <f t="shared" si="31"/>
        <v>3.8845854358047348E-2</v>
      </c>
      <c r="AA299" s="1269">
        <f t="shared" si="32"/>
        <v>1.003639620881871</v>
      </c>
      <c r="AB299" s="1270">
        <f t="shared" si="33"/>
        <v>5.2049003532595756E-2</v>
      </c>
      <c r="AC299" s="1269">
        <f t="shared" si="34"/>
        <v>2.0059241912946981</v>
      </c>
      <c r="AD299" s="1270">
        <f t="shared" si="35"/>
        <v>8.4719882546394371E-2</v>
      </c>
    </row>
    <row r="300" spans="24:30" ht="12" customHeight="1">
      <c r="X300" s="1267">
        <v>173</v>
      </c>
      <c r="Y300" s="1269">
        <f t="shared" si="30"/>
        <v>0.50208051057101377</v>
      </c>
      <c r="Z300" s="1270">
        <f t="shared" si="31"/>
        <v>3.4016047152571817E-2</v>
      </c>
      <c r="AA300" s="1269">
        <f t="shared" si="32"/>
        <v>1.0027876462971359</v>
      </c>
      <c r="AB300" s="1270">
        <f t="shared" si="33"/>
        <v>4.5577614076658224E-2</v>
      </c>
      <c r="AC300" s="1269">
        <f t="shared" si="34"/>
        <v>2.0045374368546049</v>
      </c>
      <c r="AD300" s="1270">
        <f t="shared" si="35"/>
        <v>7.4186436804716399E-2</v>
      </c>
    </row>
    <row r="301" spans="24:30" ht="12" customHeight="1">
      <c r="X301" s="1267">
        <v>174</v>
      </c>
      <c r="Y301" s="1269">
        <f t="shared" si="30"/>
        <v>0.50152904299188727</v>
      </c>
      <c r="Z301" s="1270">
        <f t="shared" si="31"/>
        <v>2.9175878329612763E-2</v>
      </c>
      <c r="AA301" s="1269">
        <f t="shared" si="32"/>
        <v>1.0020487427912559</v>
      </c>
      <c r="AB301" s="1270">
        <f t="shared" si="33"/>
        <v>3.9092341237952688E-2</v>
      </c>
      <c r="AC301" s="1269">
        <f t="shared" si="34"/>
        <v>2.0033347276001985</v>
      </c>
      <c r="AD301" s="1270">
        <f t="shared" si="35"/>
        <v>6.3630393155727563E-2</v>
      </c>
    </row>
    <row r="302" spans="24:30" ht="12" customHeight="1">
      <c r="X302" s="1267">
        <v>175</v>
      </c>
      <c r="Y302" s="1269">
        <f t="shared" si="30"/>
        <v>0.50106213199746752</v>
      </c>
      <c r="Z302" s="1270">
        <f t="shared" si="31"/>
        <v>2.4326822251481306E-2</v>
      </c>
      <c r="AA302" s="1269">
        <f t="shared" si="32"/>
        <v>1.0014231354413965</v>
      </c>
      <c r="AB302" s="1270">
        <f t="shared" si="33"/>
        <v>3.2595160493409894E-2</v>
      </c>
      <c r="AC302" s="1269">
        <f t="shared" si="34"/>
        <v>2.0023164298883689</v>
      </c>
      <c r="AD302" s="1270">
        <f t="shared" si="35"/>
        <v>5.3054967072581775E-2</v>
      </c>
    </row>
    <row r="303" spans="24:30" ht="12" customHeight="1">
      <c r="X303" s="1267">
        <v>176</v>
      </c>
      <c r="Y303" s="1269">
        <f t="shared" si="30"/>
        <v>0.50067991981336646</v>
      </c>
      <c r="Z303" s="1270">
        <f t="shared" si="31"/>
        <v>1.9470355987632956E-2</v>
      </c>
      <c r="AA303" s="1269">
        <f t="shared" si="32"/>
        <v>1.0009110148136169</v>
      </c>
      <c r="AB303" s="1270">
        <f t="shared" si="33"/>
        <v>2.6088050947224568E-2</v>
      </c>
      <c r="AC303" s="1269">
        <f t="shared" si="34"/>
        <v>2.0014828539024636</v>
      </c>
      <c r="AD303" s="1270">
        <f t="shared" si="35"/>
        <v>4.2463379932510939E-2</v>
      </c>
    </row>
    <row r="304" spans="24:30" ht="12" customHeight="1">
      <c r="X304" s="1267">
        <v>177</v>
      </c>
      <c r="Y304" s="1269">
        <f t="shared" si="30"/>
        <v>0.50038252286511797</v>
      </c>
      <c r="Z304" s="1270">
        <f t="shared" si="31"/>
        <v>1.4607958864737074E-2</v>
      </c>
      <c r="AA304" s="1269">
        <f t="shared" si="32"/>
        <v>1.0005125369048216</v>
      </c>
      <c r="AB304" s="1270">
        <f t="shared" si="33"/>
        <v>1.9572994727999917E-2</v>
      </c>
      <c r="AC304" s="1269">
        <f t="shared" si="34"/>
        <v>2.000834253557803</v>
      </c>
      <c r="AD304" s="1270">
        <f t="shared" si="35"/>
        <v>3.1858858035560392E-2</v>
      </c>
    </row>
    <row r="305" spans="24:30" ht="12" customHeight="1">
      <c r="X305" s="1267">
        <v>178</v>
      </c>
      <c r="Y305" s="1269">
        <f t="shared" si="30"/>
        <v>0.50017003174271335</v>
      </c>
      <c r="Z305" s="1270">
        <f t="shared" si="31"/>
        <v>9.7411120160606421E-3</v>
      </c>
      <c r="AA305" s="1269">
        <f t="shared" si="32"/>
        <v>1.0002278230952413</v>
      </c>
      <c r="AB305" s="1270">
        <f t="shared" si="33"/>
        <v>1.3051976384973431E-2</v>
      </c>
      <c r="AC305" s="1269">
        <f t="shared" si="34"/>
        <v>2.0003708264243349</v>
      </c>
      <c r="AD305" s="1270">
        <f t="shared" si="35"/>
        <v>2.124463162182879E-2</v>
      </c>
    </row>
    <row r="306" spans="24:30" ht="12" customHeight="1">
      <c r="X306" s="1267">
        <v>179</v>
      </c>
      <c r="Y306" s="1269">
        <f t="shared" si="30"/>
        <v>0.50004251117300713</v>
      </c>
      <c r="Z306" s="1270">
        <f t="shared" si="31"/>
        <v>4.8712979302997219E-3</v>
      </c>
      <c r="AA306" s="1269">
        <f t="shared" si="32"/>
        <v>1.0000569601114608</v>
      </c>
      <c r="AB306" s="1270">
        <f t="shared" si="33"/>
        <v>6.5269822835025823E-3</v>
      </c>
      <c r="AC306" s="1269">
        <f t="shared" si="34"/>
        <v>2.0000927136664539</v>
      </c>
      <c r="AD306" s="1270">
        <f t="shared" si="35"/>
        <v>1.0623933887503543E-2</v>
      </c>
    </row>
    <row r="307" spans="24:30" ht="12" customHeight="1">
      <c r="X307" s="1267">
        <v>180</v>
      </c>
      <c r="Y307" s="1269">
        <f t="shared" si="30"/>
        <v>0.5</v>
      </c>
      <c r="Z307" s="1270">
        <f t="shared" si="31"/>
        <v>3.4196219038061918E-17</v>
      </c>
      <c r="AA307" s="1269">
        <f t="shared" si="32"/>
        <v>1</v>
      </c>
      <c r="AB307" s="1270">
        <f t="shared" si="33"/>
        <v>4.581902380388195E-17</v>
      </c>
      <c r="AC307" s="1269">
        <f t="shared" si="34"/>
        <v>2</v>
      </c>
      <c r="AD307" s="1270">
        <f t="shared" si="35"/>
        <v>7.4579378116707947E-17</v>
      </c>
    </row>
    <row r="308" spans="24:30" ht="12" customHeight="1"/>
    <row r="309" spans="24:30" ht="12" customHeight="1"/>
    <row r="310" spans="24:30" ht="12" customHeight="1"/>
    <row r="311" spans="24:30" ht="12" customHeight="1"/>
    <row r="312" spans="24:30" ht="12" customHeight="1"/>
    <row r="313" spans="24:30" ht="12" customHeight="1"/>
    <row r="314" spans="24:30" ht="12" customHeight="1"/>
    <row r="315" spans="24:30" ht="12" customHeight="1"/>
    <row r="316" spans="24:30" ht="12" customHeight="1"/>
    <row r="317" spans="24:30" ht="12" customHeight="1"/>
    <row r="318" spans="24:30" ht="12" customHeight="1"/>
    <row r="319" spans="24:30" ht="12" customHeight="1"/>
    <row r="320" spans="24:3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</sheetData>
  <mergeCells count="16">
    <mergeCell ref="L23:R25"/>
    <mergeCell ref="K3:R4"/>
    <mergeCell ref="L5:Q5"/>
    <mergeCell ref="N11:P11"/>
    <mergeCell ref="L15:R16"/>
    <mergeCell ref="L18:R19"/>
    <mergeCell ref="L123:O124"/>
    <mergeCell ref="Y125:Z125"/>
    <mergeCell ref="AA125:AB125"/>
    <mergeCell ref="AC125:AD125"/>
    <mergeCell ref="B92:R92"/>
    <mergeCell ref="N95:P95"/>
    <mergeCell ref="N96:P96"/>
    <mergeCell ref="I104:J104"/>
    <mergeCell ref="K104:M104"/>
    <mergeCell ref="N104:O104"/>
  </mergeCells>
  <printOptions horizontalCentered="1" verticalCentered="1"/>
  <pageMargins left="0.19685039370078741" right="0.11811023622047245" top="0" bottom="0" header="0" footer="0"/>
  <pageSetup paperSize="9" scale="9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4AE4-6076-BC4A-8CEB-7E0FB06EF246}">
  <sheetPr codeName="Sheet9">
    <tabColor theme="6" tint="-0.499984740745262"/>
    <pageSetUpPr fitToPage="1"/>
  </sheetPr>
  <dimension ref="C2:AB82"/>
  <sheetViews>
    <sheetView showGridLines="0" topLeftCell="A19" zoomScaleNormal="100" zoomScaleSheetLayoutView="115" workbookViewId="0">
      <selection activeCell="Q23" sqref="Q23:R23"/>
    </sheetView>
  </sheetViews>
  <sheetFormatPr defaultColWidth="11" defaultRowHeight="15.75"/>
  <cols>
    <col min="1" max="1" width="3.125" style="12" customWidth="1"/>
    <col min="2" max="2" width="2.5" style="12" customWidth="1"/>
    <col min="3" max="3" width="1.375" style="12" customWidth="1"/>
    <col min="4" max="4" width="0.625" style="12" customWidth="1"/>
    <col min="5" max="5" width="13.125" style="12" customWidth="1"/>
    <col min="6" max="6" width="9.375" style="12" customWidth="1"/>
    <col min="7" max="7" width="1.375" style="12" customWidth="1"/>
    <col min="8" max="8" width="9.125" style="12" customWidth="1"/>
    <col min="9" max="11" width="9.5" style="12" customWidth="1"/>
    <col min="12" max="12" width="7.375" style="12" customWidth="1"/>
    <col min="13" max="13" width="9.875" style="12" customWidth="1"/>
    <col min="14" max="14" width="6.875" style="12" customWidth="1"/>
    <col min="15" max="15" width="3.75" style="12" bestFit="1" customWidth="1"/>
    <col min="16" max="16" width="1.125" style="12" customWidth="1"/>
    <col min="17" max="19" width="5" style="12" customWidth="1"/>
    <col min="20" max="20" width="7.25" style="12" customWidth="1"/>
    <col min="21" max="21" width="1.375" style="12" customWidth="1"/>
    <col min="22" max="22" width="1.875" style="12" customWidth="1"/>
    <col min="23" max="27" width="11" style="12"/>
    <col min="28" max="28" width="17" style="12" bestFit="1" customWidth="1"/>
    <col min="29" max="16384" width="11" style="12"/>
  </cols>
  <sheetData>
    <row r="2" spans="3:28" ht="9" customHeight="1">
      <c r="C2" s="9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1"/>
    </row>
    <row r="3" spans="3:28" ht="3" customHeight="1">
      <c r="C3" s="13"/>
      <c r="D3" s="9"/>
      <c r="E3" s="11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1"/>
      <c r="U3" s="14"/>
    </row>
    <row r="4" spans="3:28" ht="15.75" customHeight="1">
      <c r="C4" s="13"/>
      <c r="D4" s="13"/>
      <c r="E4" s="14"/>
      <c r="F4" s="4300" t="s">
        <v>821</v>
      </c>
      <c r="G4" s="4300"/>
      <c r="H4" s="4300"/>
      <c r="I4" s="4300"/>
      <c r="J4" s="4300"/>
      <c r="K4" s="4300"/>
      <c r="L4" s="4300"/>
      <c r="M4" s="4300"/>
      <c r="N4" s="4300"/>
      <c r="O4" s="4300"/>
      <c r="P4" s="4300"/>
      <c r="Q4" s="4300"/>
      <c r="R4" s="4300"/>
      <c r="S4" s="4300"/>
      <c r="T4" s="4399"/>
      <c r="U4" s="1193"/>
      <c r="V4" s="1191"/>
      <c r="W4" s="1191"/>
      <c r="X4" s="1191"/>
      <c r="Y4" s="1191"/>
      <c r="Z4" s="1191"/>
      <c r="AA4" s="1191"/>
      <c r="AB4" s="1191"/>
    </row>
    <row r="5" spans="3:28">
      <c r="C5" s="13"/>
      <c r="D5" s="13"/>
      <c r="E5" s="14"/>
      <c r="F5" s="4110" t="s">
        <v>819</v>
      </c>
      <c r="G5" s="4110"/>
      <c r="H5" s="4110"/>
      <c r="I5" s="4110"/>
      <c r="J5" s="4110"/>
      <c r="K5" s="4110"/>
      <c r="L5" s="4110"/>
      <c r="M5" s="4110"/>
      <c r="N5" s="4110"/>
      <c r="O5" s="4110"/>
      <c r="P5" s="4110"/>
      <c r="Q5" s="4110"/>
      <c r="R5" s="4110"/>
      <c r="S5" s="4110"/>
      <c r="T5" s="4111"/>
      <c r="U5" s="679"/>
      <c r="V5" s="673"/>
      <c r="W5" s="673"/>
      <c r="X5" s="673"/>
      <c r="Y5" s="673"/>
      <c r="Z5" s="673"/>
      <c r="AA5" s="673"/>
      <c r="AB5" s="673"/>
    </row>
    <row r="6" spans="3:28" ht="15.75" customHeight="1">
      <c r="C6" s="13"/>
      <c r="D6" s="13"/>
      <c r="E6" s="14"/>
      <c r="F6" s="4110" t="s">
        <v>820</v>
      </c>
      <c r="G6" s="4110"/>
      <c r="H6" s="4110"/>
      <c r="I6" s="4110"/>
      <c r="J6" s="4110"/>
      <c r="K6" s="4110"/>
      <c r="L6" s="4110"/>
      <c r="M6" s="4110"/>
      <c r="N6" s="4110"/>
      <c r="O6" s="4110"/>
      <c r="P6" s="4110"/>
      <c r="Q6" s="4110"/>
      <c r="R6" s="4110"/>
      <c r="S6" s="4110"/>
      <c r="T6" s="4111"/>
      <c r="U6" s="679"/>
      <c r="V6" s="673"/>
      <c r="W6" s="673"/>
      <c r="X6" s="673"/>
      <c r="Y6" s="673"/>
      <c r="Z6" s="673"/>
      <c r="AA6" s="673"/>
      <c r="AB6" s="673"/>
    </row>
    <row r="7" spans="3:28" ht="15.75" customHeight="1">
      <c r="C7" s="13"/>
      <c r="D7" s="13"/>
      <c r="E7" s="14"/>
      <c r="F7" s="4110" t="s">
        <v>830</v>
      </c>
      <c r="G7" s="4110"/>
      <c r="H7" s="4110"/>
      <c r="I7" s="4110"/>
      <c r="J7" s="4110"/>
      <c r="K7" s="4110"/>
      <c r="L7" s="4110"/>
      <c r="M7" s="4110"/>
      <c r="N7" s="4110"/>
      <c r="O7" s="4110"/>
      <c r="P7" s="4110"/>
      <c r="Q7" s="4110"/>
      <c r="R7" s="4110"/>
      <c r="S7" s="4110"/>
      <c r="T7" s="4111"/>
      <c r="U7" s="679"/>
      <c r="V7" s="673"/>
      <c r="W7" s="673"/>
      <c r="X7" s="673"/>
      <c r="Y7" s="673"/>
      <c r="Z7" s="673"/>
      <c r="AA7" s="673"/>
      <c r="AB7" s="673"/>
    </row>
    <row r="8" spans="3:28" s="19" customFormat="1" ht="15.75" customHeight="1">
      <c r="C8" s="17"/>
      <c r="D8" s="38"/>
      <c r="E8" s="40"/>
      <c r="F8" s="4113" t="s">
        <v>827</v>
      </c>
      <c r="G8" s="4113"/>
      <c r="H8" s="4113"/>
      <c r="I8" s="4113"/>
      <c r="J8" s="4113"/>
      <c r="K8" s="4113"/>
      <c r="L8" s="4113"/>
      <c r="M8" s="4113"/>
      <c r="N8" s="4113"/>
      <c r="O8" s="4113"/>
      <c r="P8" s="4113"/>
      <c r="Q8" s="4113"/>
      <c r="R8" s="4113"/>
      <c r="S8" s="4113"/>
      <c r="T8" s="4114"/>
      <c r="U8" s="679"/>
      <c r="V8" s="673"/>
      <c r="W8" s="673"/>
      <c r="X8" s="673"/>
      <c r="Y8" s="673"/>
      <c r="Z8" s="673"/>
      <c r="AA8" s="673"/>
      <c r="AB8" s="673"/>
    </row>
    <row r="9" spans="3:28" s="19" customFormat="1" ht="7.5" customHeight="1">
      <c r="C9" s="17"/>
      <c r="E9" s="20"/>
      <c r="F9" s="20"/>
      <c r="G9" s="20"/>
      <c r="H9" s="20"/>
      <c r="I9" s="20"/>
      <c r="J9" s="21"/>
      <c r="K9" s="21"/>
      <c r="L9" s="21"/>
      <c r="M9" s="21"/>
      <c r="N9" s="21"/>
      <c r="O9" s="22"/>
      <c r="P9" s="23"/>
      <c r="Q9" s="23"/>
      <c r="R9" s="23"/>
      <c r="S9" s="23"/>
      <c r="T9" s="23"/>
      <c r="U9" s="18"/>
    </row>
    <row r="10" spans="3:28">
      <c r="C10" s="13"/>
      <c r="D10" s="4116" t="s">
        <v>192</v>
      </c>
      <c r="E10" s="4117"/>
      <c r="F10" s="4117"/>
      <c r="G10" s="4117"/>
      <c r="H10" s="4117"/>
      <c r="I10" s="4117"/>
      <c r="J10" s="4117"/>
      <c r="K10" s="4117"/>
      <c r="L10" s="4117"/>
      <c r="M10" s="4117"/>
      <c r="N10" s="4117"/>
      <c r="O10" s="4117"/>
      <c r="P10" s="4117"/>
      <c r="Q10" s="4117"/>
      <c r="R10" s="4117"/>
      <c r="S10" s="4117"/>
      <c r="T10" s="4118"/>
      <c r="U10" s="14"/>
    </row>
    <row r="11" spans="3:28">
      <c r="C11" s="13"/>
      <c r="D11" s="4119" t="s">
        <v>339</v>
      </c>
      <c r="E11" s="4120"/>
      <c r="F11" s="4120"/>
      <c r="G11" s="4120"/>
      <c r="H11" s="4120"/>
      <c r="I11" s="4120"/>
      <c r="J11" s="4120"/>
      <c r="K11" s="4120"/>
      <c r="L11" s="4120"/>
      <c r="M11" s="4120"/>
      <c r="N11" s="4120"/>
      <c r="O11" s="4120"/>
      <c r="P11" s="4120"/>
      <c r="Q11" s="4120"/>
      <c r="R11" s="4120"/>
      <c r="S11" s="4120"/>
      <c r="T11" s="4121"/>
      <c r="U11" s="14"/>
    </row>
    <row r="12" spans="3:28" s="25" customFormat="1" ht="13.5">
      <c r="C12" s="24"/>
      <c r="U12" s="26"/>
    </row>
    <row r="13" spans="3:28" s="28" customFormat="1" ht="15.75" customHeight="1">
      <c r="C13" s="27"/>
      <c r="E13" s="41" t="s">
        <v>845</v>
      </c>
      <c r="F13" s="41"/>
      <c r="G13" s="41"/>
      <c r="H13" s="41"/>
      <c r="I13" s="41"/>
      <c r="J13" s="41"/>
      <c r="K13" s="41"/>
      <c r="L13" s="41"/>
      <c r="M13" s="16" t="s">
        <v>394</v>
      </c>
      <c r="N13" s="41"/>
      <c r="O13" s="1374" t="s">
        <v>27</v>
      </c>
      <c r="Q13" s="4125" t="s">
        <v>823</v>
      </c>
      <c r="R13" s="4125"/>
      <c r="S13" s="4125"/>
      <c r="T13" s="4125"/>
      <c r="U13" s="29"/>
    </row>
    <row r="14" spans="3:28" s="33" customFormat="1" ht="18" customHeight="1">
      <c r="C14" s="32"/>
      <c r="E14" s="33" t="s">
        <v>600</v>
      </c>
      <c r="G14" s="33" t="s">
        <v>27</v>
      </c>
      <c r="H14" s="4124" t="str">
        <f>Details!B4</f>
        <v xml:space="preserve">PT Itamatra Nusantara </v>
      </c>
      <c r="I14" s="4124"/>
      <c r="J14" s="4124"/>
      <c r="K14" s="4124"/>
      <c r="L14" s="4124"/>
      <c r="M14" s="33" t="s">
        <v>822</v>
      </c>
      <c r="O14" s="1375" t="s">
        <v>27</v>
      </c>
      <c r="Q14" s="4129" t="s">
        <v>824</v>
      </c>
      <c r="R14" s="4129"/>
      <c r="S14" s="4129"/>
      <c r="T14" s="4129"/>
      <c r="U14" s="35"/>
    </row>
    <row r="15" spans="3:28" s="33" customFormat="1" ht="18" customHeight="1">
      <c r="C15" s="32"/>
      <c r="E15" s="33" t="s">
        <v>842</v>
      </c>
      <c r="G15" s="34" t="s">
        <v>27</v>
      </c>
      <c r="H15" s="4124" t="str">
        <f>Details!B8</f>
        <v>hidroplogi</v>
      </c>
      <c r="I15" s="4124"/>
      <c r="J15" s="4124"/>
      <c r="K15" s="4124"/>
      <c r="L15" s="4124"/>
      <c r="M15" s="33" t="s">
        <v>395</v>
      </c>
      <c r="O15" s="1375" t="s">
        <v>27</v>
      </c>
      <c r="Q15" s="4129">
        <f>Details!B32</f>
        <v>46218</v>
      </c>
      <c r="R15" s="4129"/>
      <c r="S15" s="4129"/>
      <c r="T15" s="4129"/>
      <c r="U15" s="35"/>
    </row>
    <row r="16" spans="3:28" s="33" customFormat="1" ht="18" customHeight="1">
      <c r="C16" s="2744"/>
      <c r="E16" s="33" t="s">
        <v>1312</v>
      </c>
      <c r="G16" s="34" t="s">
        <v>27</v>
      </c>
      <c r="H16" s="4124" t="str">
        <f>Details!B7</f>
        <v>23-GQT--19-UDS-1-BH-05-0,00-0,50-100726-001</v>
      </c>
      <c r="I16" s="4124"/>
      <c r="J16" s="4124"/>
      <c r="K16" s="4124"/>
      <c r="L16" s="4124"/>
      <c r="M16" s="33" t="s">
        <v>396</v>
      </c>
      <c r="O16" s="1375" t="s">
        <v>27</v>
      </c>
      <c r="Q16" s="34" t="str">
        <f>Details!B22</f>
        <v>AS Sumartadji</v>
      </c>
      <c r="R16" s="34"/>
      <c r="S16" s="34"/>
      <c r="T16" s="34"/>
      <c r="U16" s="35"/>
    </row>
    <row r="17" spans="3:21" s="33" customFormat="1" ht="18" customHeight="1">
      <c r="C17" s="32"/>
      <c r="E17" s="33" t="s">
        <v>601</v>
      </c>
      <c r="G17" s="34" t="s">
        <v>27</v>
      </c>
      <c r="H17" s="4125" t="str">
        <f>Details!B1</f>
        <v>BH-05_UDS-01</v>
      </c>
      <c r="I17" s="4125"/>
      <c r="J17" s="4125"/>
      <c r="K17" s="4125"/>
      <c r="L17" s="4125"/>
      <c r="M17" s="33" t="s">
        <v>186</v>
      </c>
      <c r="O17" s="1375" t="s">
        <v>27</v>
      </c>
      <c r="Q17" s="4125" t="str">
        <f>Details!B2</f>
        <v>MGS/02/VI/2026</v>
      </c>
      <c r="R17" s="4125"/>
      <c r="S17" s="4125"/>
      <c r="T17" s="4125"/>
      <c r="U17" s="35"/>
    </row>
    <row r="18" spans="3:21" s="33" customFormat="1" ht="18" customHeight="1">
      <c r="C18" s="32"/>
      <c r="E18" s="33" t="s">
        <v>602</v>
      </c>
      <c r="G18" s="34" t="s">
        <v>27</v>
      </c>
      <c r="H18" s="4126" t="str">
        <f>Details!B13&amp;" m"</f>
        <v>0,00-0,50 m</v>
      </c>
      <c r="I18" s="4126"/>
      <c r="J18" s="4126"/>
      <c r="K18" s="4126"/>
      <c r="L18" s="4126"/>
      <c r="U18" s="35"/>
    </row>
    <row r="19" spans="3:21" s="33" customFormat="1" ht="18" customHeight="1">
      <c r="C19" s="32"/>
      <c r="E19" s="33" t="s">
        <v>843</v>
      </c>
      <c r="G19" s="34" t="s">
        <v>27</v>
      </c>
      <c r="H19" s="4126" t="str">
        <f>Details!B14</f>
        <v>silty CLAY with sand</v>
      </c>
      <c r="I19" s="4126"/>
      <c r="J19" s="4126"/>
      <c r="K19" s="4126"/>
      <c r="L19" s="4126"/>
      <c r="M19" s="1377" t="s">
        <v>221</v>
      </c>
      <c r="N19" s="1377"/>
      <c r="O19" s="1377"/>
      <c r="P19" s="41"/>
      <c r="Q19" s="41"/>
      <c r="R19" s="41"/>
      <c r="U19" s="35"/>
    </row>
    <row r="20" spans="3:21" s="33" customFormat="1" ht="18" customHeight="1">
      <c r="C20" s="32"/>
      <c r="E20" s="33" t="s">
        <v>603</v>
      </c>
      <c r="G20" s="34" t="s">
        <v>27</v>
      </c>
      <c r="H20" s="4126" t="str">
        <f>Details!B15</f>
        <v>Abu-abu / Gray</v>
      </c>
      <c r="I20" s="4126"/>
      <c r="J20" s="4126"/>
      <c r="K20" s="4126"/>
      <c r="L20" s="4126"/>
      <c r="M20" s="34" t="s">
        <v>222</v>
      </c>
      <c r="N20" s="34"/>
      <c r="O20" s="33" t="s">
        <v>226</v>
      </c>
      <c r="P20" s="33" t="s">
        <v>27</v>
      </c>
      <c r="Q20" s="1378">
        <f>PP!J33</f>
        <v>44.621388989430798</v>
      </c>
      <c r="R20" s="1378"/>
      <c r="S20" s="33" t="s">
        <v>1</v>
      </c>
      <c r="U20" s="35"/>
    </row>
    <row r="21" spans="3:21" s="33" customFormat="1" ht="18" customHeight="1">
      <c r="C21" s="32"/>
      <c r="E21" s="33" t="s">
        <v>844</v>
      </c>
      <c r="G21" s="34" t="s">
        <v>27</v>
      </c>
      <c r="H21" s="4126" t="str">
        <f>Details!B16</f>
        <v>Undisturbed Sample / UDS</v>
      </c>
      <c r="I21" s="4126"/>
      <c r="J21" s="4126"/>
      <c r="K21" s="4126"/>
      <c r="L21" s="4126"/>
      <c r="M21" s="34" t="s">
        <v>223</v>
      </c>
      <c r="N21" s="34"/>
      <c r="O21" s="33" t="s">
        <v>227</v>
      </c>
      <c r="P21" s="33" t="s">
        <v>27</v>
      </c>
      <c r="Q21" s="1378">
        <f>PP!J24</f>
        <v>2.6497359418773012</v>
      </c>
      <c r="R21" s="1378"/>
      <c r="U21" s="35"/>
    </row>
    <row r="22" spans="3:21" s="33" customFormat="1" ht="18" customHeight="1">
      <c r="C22" s="32"/>
      <c r="E22" s="1205" t="str">
        <f>Details!C15</f>
        <v>Disclaimer :</v>
      </c>
      <c r="F22" s="4405" t="str">
        <f>Details!C16</f>
        <v>The samples were received as Undisturbed Sample / UDS and the validity of the sampling process was not verified by the laboratory.</v>
      </c>
      <c r="G22" s="4405"/>
      <c r="H22" s="4405"/>
      <c r="I22" s="4405"/>
      <c r="J22" s="4405"/>
      <c r="M22" s="34" t="s">
        <v>224</v>
      </c>
      <c r="N22" s="34"/>
      <c r="O22" s="33" t="s">
        <v>229</v>
      </c>
      <c r="P22" s="33" t="s">
        <v>27</v>
      </c>
      <c r="Q22" s="1378">
        <f>PP!J39</f>
        <v>1.684979787857789</v>
      </c>
      <c r="R22" s="1378"/>
      <c r="S22" s="33" t="s">
        <v>230</v>
      </c>
      <c r="U22" s="35"/>
    </row>
    <row r="23" spans="3:21" s="33" customFormat="1" ht="18" customHeight="1">
      <c r="C23" s="32"/>
      <c r="E23" s="1441"/>
      <c r="F23" s="4405"/>
      <c r="G23" s="4405"/>
      <c r="H23" s="4405"/>
      <c r="I23" s="4405"/>
      <c r="J23" s="4405"/>
      <c r="M23" s="34" t="s">
        <v>225</v>
      </c>
      <c r="N23" s="34"/>
      <c r="O23" s="33" t="s">
        <v>228</v>
      </c>
      <c r="P23" s="33" t="s">
        <v>27</v>
      </c>
      <c r="Q23" s="4330">
        <f>PP!J44</f>
        <v>92.786985756071715</v>
      </c>
      <c r="R23" s="4330"/>
      <c r="S23" s="33" t="s">
        <v>1</v>
      </c>
      <c r="U23" s="35"/>
    </row>
    <row r="24" spans="3:21" s="16" customFormat="1" ht="12">
      <c r="C24" s="15"/>
      <c r="U24" s="36"/>
    </row>
    <row r="25" spans="3:21" s="16" customFormat="1" ht="12">
      <c r="C25" s="15"/>
      <c r="E25" s="1379"/>
      <c r="F25" s="1380"/>
      <c r="U25" s="36"/>
    </row>
    <row r="26" spans="3:21" s="16" customFormat="1" ht="12">
      <c r="C26" s="15"/>
      <c r="E26" s="4407" t="s">
        <v>149</v>
      </c>
      <c r="F26" s="4407"/>
      <c r="G26" s="4407"/>
      <c r="H26" s="4407"/>
      <c r="I26" s="4407"/>
      <c r="J26" s="4407"/>
      <c r="K26" s="4407"/>
      <c r="L26" s="1381"/>
      <c r="M26" s="1381"/>
      <c r="N26" s="1381"/>
      <c r="U26" s="36"/>
    </row>
    <row r="27" spans="3:21" s="16" customFormat="1" ht="12">
      <c r="C27" s="15"/>
      <c r="E27" s="4406" t="s">
        <v>148</v>
      </c>
      <c r="F27" s="4406"/>
      <c r="G27" s="4406"/>
      <c r="H27" s="4406"/>
      <c r="I27" s="778">
        <v>1</v>
      </c>
      <c r="J27" s="778">
        <v>2</v>
      </c>
      <c r="K27" s="778">
        <v>3</v>
      </c>
      <c r="U27" s="36"/>
    </row>
    <row r="28" spans="3:21" s="16" customFormat="1" ht="6.95" customHeight="1">
      <c r="C28" s="15"/>
      <c r="E28" s="1389"/>
      <c r="F28" s="1390"/>
      <c r="G28" s="1391"/>
      <c r="H28" s="1175"/>
      <c r="I28" s="1175"/>
      <c r="J28" s="1175"/>
      <c r="K28" s="1175"/>
      <c r="L28" s="1382"/>
      <c r="M28" s="4400" t="s">
        <v>846</v>
      </c>
      <c r="N28" s="4400"/>
      <c r="O28" s="4400"/>
      <c r="P28" s="4400"/>
      <c r="Q28" s="4400"/>
      <c r="R28" s="4400"/>
      <c r="S28" s="1383"/>
      <c r="U28" s="36"/>
    </row>
    <row r="29" spans="3:21" s="16" customFormat="1" ht="13.5" customHeight="1">
      <c r="C29" s="15"/>
      <c r="E29" s="4401" t="s">
        <v>147</v>
      </c>
      <c r="F29" s="4401"/>
      <c r="G29" s="4401"/>
      <c r="H29" s="62" t="s">
        <v>2</v>
      </c>
      <c r="I29" s="63">
        <f>UU!I18</f>
        <v>3.8</v>
      </c>
      <c r="J29" s="63">
        <f>UU!J18</f>
        <v>3.8</v>
      </c>
      <c r="K29" s="63">
        <f>UU!K18</f>
        <v>3.8</v>
      </c>
      <c r="L29" s="1385"/>
      <c r="M29" s="4400"/>
      <c r="N29" s="4400"/>
      <c r="O29" s="4400"/>
      <c r="P29" s="4400"/>
      <c r="Q29" s="4400"/>
      <c r="R29" s="4400"/>
      <c r="S29" s="1383"/>
      <c r="U29" s="36"/>
    </row>
    <row r="30" spans="3:21" s="16" customFormat="1" ht="13.5" customHeight="1">
      <c r="C30" s="15"/>
      <c r="E30" s="4401" t="s">
        <v>146</v>
      </c>
      <c r="F30" s="4401"/>
      <c r="G30" s="4401"/>
      <c r="H30" s="62" t="s">
        <v>2</v>
      </c>
      <c r="I30" s="63">
        <f>UU!I19</f>
        <v>7.6</v>
      </c>
      <c r="J30" s="63">
        <f>UU!J19</f>
        <v>7.6</v>
      </c>
      <c r="K30" s="63">
        <f>UU!K19</f>
        <v>7.6</v>
      </c>
      <c r="L30" s="1385"/>
      <c r="M30" s="56" t="s">
        <v>189</v>
      </c>
      <c r="N30" s="4325">
        <f>UU!O20</f>
        <v>10.991402387102896</v>
      </c>
      <c r="O30" s="4325"/>
      <c r="P30" s="4403" t="s">
        <v>188</v>
      </c>
      <c r="Q30" s="4403"/>
      <c r="R30" s="4403"/>
      <c r="U30" s="36"/>
    </row>
    <row r="31" spans="3:21" s="16" customFormat="1" ht="13.5" customHeight="1">
      <c r="C31" s="15"/>
      <c r="E31" s="4401" t="s">
        <v>145</v>
      </c>
      <c r="F31" s="4401"/>
      <c r="G31" s="4401"/>
      <c r="H31" s="62" t="s">
        <v>201</v>
      </c>
      <c r="I31" s="63">
        <f>UU!I20</f>
        <v>11.341149479459153</v>
      </c>
      <c r="J31" s="63">
        <f>UU!J20</f>
        <v>11.341149479459153</v>
      </c>
      <c r="K31" s="63">
        <f>UU!K20</f>
        <v>11.341149479459153</v>
      </c>
      <c r="L31" s="1384"/>
      <c r="M31" s="1384"/>
      <c r="N31" s="1384"/>
      <c r="U31" s="36"/>
    </row>
    <row r="32" spans="3:21" s="16" customFormat="1" ht="12">
      <c r="C32" s="15"/>
      <c r="E32" s="1389"/>
      <c r="F32" s="1390"/>
      <c r="G32" s="1391"/>
      <c r="H32" s="62"/>
      <c r="I32" s="63"/>
      <c r="J32" s="60"/>
      <c r="K32" s="63"/>
      <c r="L32" s="1384"/>
      <c r="M32" s="1384"/>
      <c r="N32" s="1384"/>
      <c r="U32" s="36"/>
    </row>
    <row r="33" spans="3:21" s="16" customFormat="1" ht="13.5" customHeight="1">
      <c r="C33" s="15"/>
      <c r="E33" s="4401" t="s">
        <v>144</v>
      </c>
      <c r="F33" s="4401"/>
      <c r="G33" s="4401"/>
      <c r="H33" s="62" t="s">
        <v>143</v>
      </c>
      <c r="I33" s="63">
        <f>UU!I22</f>
        <v>2E-3</v>
      </c>
      <c r="J33" s="63">
        <f>UU!J22</f>
        <v>2E-3</v>
      </c>
      <c r="K33" s="63">
        <f>UU!K22</f>
        <v>2E-3</v>
      </c>
      <c r="L33" s="1384"/>
      <c r="M33" s="4402" t="s">
        <v>190</v>
      </c>
      <c r="N33" s="4402"/>
      <c r="O33" s="4402"/>
      <c r="P33" s="4402"/>
      <c r="Q33" s="4402"/>
      <c r="R33" s="4402"/>
      <c r="S33" s="1386"/>
      <c r="U33" s="36"/>
    </row>
    <row r="34" spans="3:21" s="16" customFormat="1" ht="13.5" customHeight="1">
      <c r="C34" s="15"/>
      <c r="E34" s="4401" t="s">
        <v>142</v>
      </c>
      <c r="F34" s="4401"/>
      <c r="G34" s="4401"/>
      <c r="H34" s="62" t="s">
        <v>141</v>
      </c>
      <c r="I34" s="63">
        <f>UU!I23</f>
        <v>0.14000000000000001</v>
      </c>
      <c r="J34" s="63">
        <f>UU!J23</f>
        <v>0.14000000000000001</v>
      </c>
      <c r="K34" s="63">
        <f>UU!K23</f>
        <v>0.14000000000000001</v>
      </c>
      <c r="L34" s="1384"/>
      <c r="M34" s="4402"/>
      <c r="N34" s="4402"/>
      <c r="O34" s="4402"/>
      <c r="P34" s="4402"/>
      <c r="Q34" s="4402"/>
      <c r="R34" s="4402"/>
      <c r="S34" s="1386"/>
      <c r="U34" s="36"/>
    </row>
    <row r="35" spans="3:21" s="16" customFormat="1" ht="13.5" customHeight="1">
      <c r="C35" s="15"/>
      <c r="E35" s="4401" t="s">
        <v>140</v>
      </c>
      <c r="F35" s="4401"/>
      <c r="G35" s="4401"/>
      <c r="H35" s="62" t="s">
        <v>105</v>
      </c>
      <c r="I35" s="63">
        <f>UU!I24</f>
        <v>0.12064</v>
      </c>
      <c r="J35" s="63">
        <f>UU!J24</f>
        <v>0.12064</v>
      </c>
      <c r="K35" s="63">
        <f>UU!K24</f>
        <v>0.12064</v>
      </c>
      <c r="L35" s="1384"/>
      <c r="M35" s="1046" t="s">
        <v>191</v>
      </c>
      <c r="N35" s="4325">
        <f>UU!O27</f>
        <v>0.13122991413231042</v>
      </c>
      <c r="O35" s="4325"/>
      <c r="P35" s="4404" t="s">
        <v>1342</v>
      </c>
      <c r="Q35" s="4404"/>
      <c r="R35" s="4404"/>
      <c r="U35" s="36"/>
    </row>
    <row r="36" spans="3:21" s="16" customFormat="1" ht="12">
      <c r="C36" s="15"/>
      <c r="E36" s="1389"/>
      <c r="F36" s="1390"/>
      <c r="G36" s="1391"/>
      <c r="H36" s="62"/>
      <c r="I36" s="63"/>
      <c r="J36" s="60"/>
      <c r="K36" s="63"/>
      <c r="L36" s="1384"/>
      <c r="M36" s="1384"/>
      <c r="N36" s="1384"/>
      <c r="U36" s="36"/>
    </row>
    <row r="37" spans="3:21" s="16" customFormat="1" ht="13.5" customHeight="1">
      <c r="C37" s="15"/>
      <c r="E37" s="4401" t="s">
        <v>127</v>
      </c>
      <c r="F37" s="4401"/>
      <c r="G37" s="4401"/>
      <c r="H37" s="62" t="s">
        <v>202</v>
      </c>
      <c r="I37" s="63">
        <f>UU!I26</f>
        <v>0.5</v>
      </c>
      <c r="J37" s="63">
        <f>UU!J26</f>
        <v>1</v>
      </c>
      <c r="K37" s="63">
        <f>UU!K26</f>
        <v>2</v>
      </c>
      <c r="L37" s="1384"/>
      <c r="M37" s="1384"/>
      <c r="N37" s="1384"/>
      <c r="U37" s="36"/>
    </row>
    <row r="38" spans="3:21" s="16" customFormat="1" ht="13.5" customHeight="1">
      <c r="C38" s="15"/>
      <c r="E38" s="4401" t="s">
        <v>139</v>
      </c>
      <c r="F38" s="4401"/>
      <c r="G38" s="4401"/>
      <c r="H38" s="62" t="s">
        <v>202</v>
      </c>
      <c r="I38" s="63">
        <f>UU!I27</f>
        <v>0.55823796538375547</v>
      </c>
      <c r="J38" s="63">
        <f>UU!J27</f>
        <v>0.74797504939594561</v>
      </c>
      <c r="K38" s="63">
        <f>UU!K27</f>
        <v>1.2174749568985204</v>
      </c>
      <c r="L38" s="1384"/>
      <c r="M38" s="1384"/>
      <c r="N38" s="1384"/>
      <c r="U38" s="36"/>
    </row>
    <row r="39" spans="3:21" s="16" customFormat="1" ht="13.5" customHeight="1">
      <c r="C39" s="15"/>
      <c r="E39" s="4401" t="s">
        <v>138</v>
      </c>
      <c r="F39" s="4401"/>
      <c r="G39" s="4401"/>
      <c r="H39" s="62" t="s">
        <v>202</v>
      </c>
      <c r="I39" s="63">
        <f>UU!I28</f>
        <v>1.0582379653837555</v>
      </c>
      <c r="J39" s="63">
        <f>UU!J28</f>
        <v>1.7479750493959456</v>
      </c>
      <c r="K39" s="63">
        <f>UU!K28</f>
        <v>3.2174749568985206</v>
      </c>
      <c r="L39" s="1384"/>
      <c r="M39" s="1384"/>
      <c r="N39" s="1384"/>
      <c r="U39" s="36"/>
    </row>
    <row r="40" spans="3:21" s="16" customFormat="1" ht="12">
      <c r="C40" s="15"/>
      <c r="E40" s="42"/>
      <c r="F40" s="43"/>
      <c r="U40" s="36"/>
    </row>
    <row r="41" spans="3:21" s="16" customFormat="1" ht="12">
      <c r="C41" s="15"/>
      <c r="E41" s="37"/>
      <c r="F41" s="37"/>
      <c r="K41" s="898" t="s">
        <v>795</v>
      </c>
      <c r="U41" s="36"/>
    </row>
    <row r="42" spans="3:21" s="16" customFormat="1" ht="12">
      <c r="C42" s="15"/>
      <c r="E42" s="37"/>
      <c r="F42" s="37"/>
      <c r="U42" s="36"/>
    </row>
    <row r="43" spans="3:21" s="16" customFormat="1" ht="12">
      <c r="C43" s="15"/>
      <c r="E43" s="37"/>
      <c r="F43" s="37"/>
      <c r="K43" s="1795"/>
      <c r="L43" s="1795"/>
      <c r="M43" s="1795"/>
      <c r="U43" s="36"/>
    </row>
    <row r="44" spans="3:21" s="16" customFormat="1" ht="12">
      <c r="C44" s="15"/>
      <c r="E44" s="37"/>
      <c r="F44" s="37"/>
      <c r="U44" s="36"/>
    </row>
    <row r="45" spans="3:21" s="16" customFormat="1" ht="12">
      <c r="C45" s="15"/>
      <c r="E45" s="37"/>
      <c r="F45" s="37"/>
      <c r="K45" s="1795"/>
      <c r="L45" s="1795"/>
      <c r="M45" s="1795"/>
      <c r="U45" s="36"/>
    </row>
    <row r="46" spans="3:21" s="16" customFormat="1" ht="12">
      <c r="C46" s="15"/>
      <c r="E46" s="37"/>
      <c r="F46" s="37"/>
      <c r="U46" s="36"/>
    </row>
    <row r="47" spans="3:21" s="16" customFormat="1" ht="12">
      <c r="C47" s="15"/>
      <c r="E47" s="37"/>
      <c r="F47" s="37"/>
      <c r="K47" s="1795"/>
      <c r="L47" s="1795"/>
      <c r="M47" s="1795"/>
      <c r="U47" s="36"/>
    </row>
    <row r="48" spans="3:21" s="16" customFormat="1" ht="12">
      <c r="C48" s="15"/>
      <c r="E48" s="37"/>
      <c r="F48" s="37"/>
      <c r="U48" s="36"/>
    </row>
    <row r="49" spans="3:21" s="16" customFormat="1" ht="12">
      <c r="C49" s="15"/>
      <c r="E49" s="37"/>
      <c r="F49" s="37"/>
      <c r="K49" s="1795"/>
      <c r="L49" s="1795"/>
      <c r="M49" s="1795"/>
      <c r="U49" s="36"/>
    </row>
    <row r="50" spans="3:21" s="16" customFormat="1" ht="12">
      <c r="C50" s="15"/>
      <c r="E50" s="37"/>
      <c r="F50" s="37"/>
      <c r="U50" s="36"/>
    </row>
    <row r="51" spans="3:21" s="16" customFormat="1" ht="12">
      <c r="C51" s="15"/>
      <c r="E51" s="37"/>
      <c r="F51" s="37"/>
      <c r="M51" s="1387"/>
      <c r="U51" s="36"/>
    </row>
    <row r="52" spans="3:21" s="16" customFormat="1" ht="12">
      <c r="C52" s="15"/>
      <c r="E52" s="45"/>
      <c r="F52" s="34"/>
      <c r="G52" s="34"/>
      <c r="I52" s="1388"/>
      <c r="J52" s="59"/>
      <c r="N52" s="41"/>
      <c r="O52" s="41"/>
      <c r="U52" s="36"/>
    </row>
    <row r="53" spans="3:21" s="16" customFormat="1" ht="12">
      <c r="C53" s="15"/>
      <c r="E53" s="37"/>
      <c r="F53" s="37"/>
      <c r="U53" s="36"/>
    </row>
    <row r="54" spans="3:21" s="16" customFormat="1" ht="12">
      <c r="C54" s="15"/>
      <c r="E54" s="37"/>
      <c r="F54" s="37"/>
      <c r="U54" s="36"/>
    </row>
    <row r="55" spans="3:21" s="16" customFormat="1" ht="12">
      <c r="C55" s="15"/>
      <c r="E55" s="37"/>
      <c r="F55" s="37"/>
      <c r="U55" s="36"/>
    </row>
    <row r="56" spans="3:21" s="16" customFormat="1" ht="12">
      <c r="C56" s="15"/>
      <c r="E56" s="37"/>
      <c r="F56" s="37"/>
      <c r="U56" s="36"/>
    </row>
    <row r="57" spans="3:21" s="16" customFormat="1" ht="12">
      <c r="C57" s="15"/>
      <c r="E57" s="37"/>
      <c r="F57" s="37"/>
      <c r="U57" s="36"/>
    </row>
    <row r="58" spans="3:21" s="16" customFormat="1" ht="12">
      <c r="C58" s="15"/>
      <c r="E58" s="37"/>
      <c r="F58" s="37"/>
      <c r="U58" s="36"/>
    </row>
    <row r="59" spans="3:21" s="16" customFormat="1" ht="12">
      <c r="C59" s="15"/>
      <c r="E59" s="37"/>
      <c r="F59" s="37"/>
      <c r="U59" s="36"/>
    </row>
    <row r="60" spans="3:21" s="16" customFormat="1" ht="12">
      <c r="C60" s="15"/>
      <c r="U60" s="36"/>
    </row>
    <row r="61" spans="3:21" s="16" customFormat="1" ht="12">
      <c r="C61" s="15"/>
      <c r="U61" s="36"/>
    </row>
    <row r="62" spans="3:21" s="16" customFormat="1" ht="12">
      <c r="C62" s="15"/>
      <c r="U62" s="36"/>
    </row>
    <row r="63" spans="3:21" s="16" customFormat="1" ht="12">
      <c r="C63" s="15"/>
      <c r="E63" s="4123"/>
      <c r="F63" s="4123"/>
      <c r="H63" s="4123"/>
      <c r="I63" s="4123"/>
      <c r="J63" s="4123"/>
      <c r="U63" s="36"/>
    </row>
    <row r="64" spans="3:21" s="16" customFormat="1" ht="12">
      <c r="C64" s="15"/>
      <c r="U64" s="36"/>
    </row>
    <row r="65" spans="3:21" s="16" customFormat="1" ht="12">
      <c r="C65" s="15"/>
      <c r="U65" s="36"/>
    </row>
    <row r="66" spans="3:21" s="16" customFormat="1" ht="12">
      <c r="C66" s="15"/>
      <c r="U66" s="36"/>
    </row>
    <row r="67" spans="3:21" s="16" customFormat="1" ht="12">
      <c r="C67" s="15"/>
      <c r="U67" s="36"/>
    </row>
    <row r="68" spans="3:21" s="16" customFormat="1" ht="12">
      <c r="C68" s="15"/>
      <c r="U68" s="36"/>
    </row>
    <row r="69" spans="3:21" s="16" customFormat="1" ht="12">
      <c r="C69" s="15"/>
      <c r="U69" s="36"/>
    </row>
    <row r="70" spans="3:21" s="16" customFormat="1" ht="12">
      <c r="C70" s="15"/>
      <c r="U70" s="36"/>
    </row>
    <row r="71" spans="3:21" s="16" customFormat="1" ht="12">
      <c r="C71" s="15"/>
      <c r="U71" s="36"/>
    </row>
    <row r="72" spans="3:21" s="16" customFormat="1" ht="12">
      <c r="C72" s="15"/>
      <c r="U72" s="36"/>
    </row>
    <row r="73" spans="3:21" s="16" customFormat="1" ht="12">
      <c r="C73" s="15"/>
      <c r="U73" s="36"/>
    </row>
    <row r="74" spans="3:21" s="16" customFormat="1" ht="15.75" customHeight="1">
      <c r="C74" s="15"/>
      <c r="U74" s="36"/>
    </row>
    <row r="75" spans="3:21" s="16" customFormat="1" ht="12">
      <c r="C75" s="15"/>
      <c r="U75" s="36"/>
    </row>
    <row r="76" spans="3:21" s="16" customFormat="1" ht="12">
      <c r="C76" s="15"/>
      <c r="U76" s="36"/>
    </row>
    <row r="77" spans="3:21" s="16" customFormat="1" ht="12">
      <c r="C77" s="15"/>
      <c r="U77" s="36"/>
    </row>
    <row r="78" spans="3:21" s="16" customFormat="1" ht="12">
      <c r="C78" s="15"/>
      <c r="U78" s="36"/>
    </row>
    <row r="79" spans="3:21" s="16" customFormat="1" ht="15.75" customHeight="1">
      <c r="C79" s="15"/>
      <c r="U79" s="36"/>
    </row>
    <row r="80" spans="3:21" s="16" customFormat="1" ht="15.75" customHeight="1">
      <c r="C80" s="15"/>
      <c r="U80" s="36"/>
    </row>
    <row r="81" spans="3:21" s="16" customFormat="1" ht="9" customHeight="1">
      <c r="C81" s="64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46"/>
    </row>
    <row r="82" spans="3:21">
      <c r="R82" s="16"/>
      <c r="S82" s="16"/>
    </row>
  </sheetData>
  <mergeCells count="40">
    <mergeCell ref="H18:L18"/>
    <mergeCell ref="H19:L19"/>
    <mergeCell ref="H20:L20"/>
    <mergeCell ref="H21:L21"/>
    <mergeCell ref="E63:F63"/>
    <mergeCell ref="H63:J63"/>
    <mergeCell ref="E38:G38"/>
    <mergeCell ref="F22:J23"/>
    <mergeCell ref="E27:H27"/>
    <mergeCell ref="E26:K26"/>
    <mergeCell ref="M28:R29"/>
    <mergeCell ref="E29:G29"/>
    <mergeCell ref="E30:G30"/>
    <mergeCell ref="M33:R34"/>
    <mergeCell ref="E39:G39"/>
    <mergeCell ref="E31:G31"/>
    <mergeCell ref="E37:G37"/>
    <mergeCell ref="E33:G33"/>
    <mergeCell ref="E34:G34"/>
    <mergeCell ref="E35:G35"/>
    <mergeCell ref="N30:O30"/>
    <mergeCell ref="N35:O35"/>
    <mergeCell ref="P30:R30"/>
    <mergeCell ref="P35:R35"/>
    <mergeCell ref="Q23:R23"/>
    <mergeCell ref="Q13:T13"/>
    <mergeCell ref="Q14:T14"/>
    <mergeCell ref="Q15:T15"/>
    <mergeCell ref="Q17:T17"/>
    <mergeCell ref="F4:T4"/>
    <mergeCell ref="F5:T5"/>
    <mergeCell ref="F6:T6"/>
    <mergeCell ref="F7:T7"/>
    <mergeCell ref="F8:T8"/>
    <mergeCell ref="H17:L17"/>
    <mergeCell ref="D10:T10"/>
    <mergeCell ref="D11:T11"/>
    <mergeCell ref="H14:L14"/>
    <mergeCell ref="H15:L15"/>
    <mergeCell ref="H16:L16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79" orientation="portrait" r:id="rId1"/>
  <headerFooter>
    <oddFooter>&amp;R&amp;"Aptos,Regular"&amp;10Page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8FBB876-6530-4DA9-9397-580C5F3553C1}">
          <x14:formula1>
            <xm:f>Details!$D$2:$D$8</xm:f>
          </x14:formula1>
          <xm:sqref>Q13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9F05D-6BA7-4301-BAA2-6F0366B03C53}">
  <sheetPr>
    <tabColor rgb="FF7030A0"/>
    <pageSetUpPr fitToPage="1"/>
  </sheetPr>
  <dimension ref="A1:BW83"/>
  <sheetViews>
    <sheetView showGridLines="0" zoomScaleNormal="100" zoomScaleSheetLayoutView="115" workbookViewId="0">
      <selection activeCell="O13" sqref="O13:S13"/>
    </sheetView>
  </sheetViews>
  <sheetFormatPr defaultColWidth="7.75" defaultRowHeight="15.75"/>
  <cols>
    <col min="1" max="1" width="10.625" style="193" customWidth="1"/>
    <col min="2" max="2" width="1.75" style="193" customWidth="1"/>
    <col min="3" max="3" width="8.75" style="193" customWidth="1"/>
    <col min="4" max="4" width="7.75" style="193"/>
    <col min="5" max="5" width="7.75" style="193" customWidth="1"/>
    <col min="6" max="6" width="1.125" style="193" customWidth="1"/>
    <col min="7" max="7" width="7.375" style="193" customWidth="1"/>
    <col min="8" max="8" width="8.5" style="193" customWidth="1"/>
    <col min="9" max="9" width="7.75" style="193"/>
    <col min="10" max="10" width="10.625" style="193" customWidth="1"/>
    <col min="11" max="11" width="11.625" style="193" customWidth="1"/>
    <col min="12" max="13" width="9.875" style="193" customWidth="1"/>
    <col min="14" max="14" width="1.75" style="193" customWidth="1"/>
    <col min="15" max="15" width="10.5" style="193" customWidth="1"/>
    <col min="16" max="16" width="6.375" style="193" customWidth="1"/>
    <col min="17" max="17" width="5.875" style="193" customWidth="1"/>
    <col min="18" max="18" width="7.25" style="193" customWidth="1"/>
    <col min="19" max="20" width="1.375" style="193" customWidth="1"/>
    <col min="21" max="21" width="2.25" style="1271" customWidth="1"/>
    <col min="22" max="23" width="7.75" style="12"/>
    <col min="24" max="24" width="3" style="12" customWidth="1"/>
    <col min="25" max="25" width="9.125" style="855" bestFit="1" customWidth="1"/>
    <col min="26" max="26" width="1" style="855" customWidth="1"/>
    <col min="27" max="27" width="6.5" style="855" customWidth="1"/>
    <col min="28" max="28" width="3.625" style="855" customWidth="1"/>
    <col min="29" max="29" width="6.75" style="855" bestFit="1" customWidth="1"/>
    <col min="30" max="30" width="12.125" style="855" bestFit="1" customWidth="1"/>
    <col min="31" max="31" width="7" style="855" customWidth="1"/>
    <col min="32" max="32" width="2.375" style="855" bestFit="1" customWidth="1"/>
    <col min="33" max="33" width="11.75" style="855" bestFit="1" customWidth="1"/>
    <col min="34" max="34" width="1.625" style="855" customWidth="1"/>
    <col min="35" max="35" width="15.25" style="855" bestFit="1" customWidth="1"/>
    <col min="36" max="36" width="10.25" style="855" bestFit="1" customWidth="1"/>
    <col min="37" max="37" width="0.875" style="855" customWidth="1"/>
    <col min="38" max="38" width="5.875" style="855" customWidth="1"/>
    <col min="39" max="39" width="5" style="855" bestFit="1" customWidth="1"/>
    <col min="40" max="40" width="3.5" style="855" customWidth="1"/>
    <col min="41" max="41" width="8.375" style="855" bestFit="1" customWidth="1"/>
    <col min="42" max="42" width="5.875" style="855" bestFit="1" customWidth="1"/>
    <col min="43" max="44" width="3.5" style="855" customWidth="1"/>
    <col min="45" max="48" width="3.5" style="193" customWidth="1"/>
    <col min="50" max="50" width="8.25" style="193" bestFit="1" customWidth="1"/>
    <col min="51" max="57" width="7.75" style="193"/>
    <col min="58" max="58" width="7.75" style="193" customWidth="1"/>
    <col min="59" max="16384" width="7.75" style="193"/>
  </cols>
  <sheetData>
    <row r="1" spans="1:74" ht="26.25">
      <c r="AW1" s="193"/>
      <c r="BC1" s="816" t="s">
        <v>531</v>
      </c>
      <c r="BD1" s="817"/>
      <c r="BE1" s="817"/>
      <c r="BF1" s="817"/>
      <c r="BG1" s="817"/>
      <c r="BH1" s="817"/>
      <c r="BI1" s="817"/>
      <c r="BJ1" s="817"/>
      <c r="BK1" s="817"/>
      <c r="BL1" s="817"/>
      <c r="BM1" s="817"/>
      <c r="BN1" s="817"/>
      <c r="BO1" s="817"/>
      <c r="BP1" s="817"/>
      <c r="BQ1" s="817"/>
      <c r="BR1" s="817"/>
      <c r="BS1" s="817"/>
      <c r="BT1" s="817"/>
      <c r="BU1" s="817"/>
      <c r="BV1" s="817"/>
    </row>
    <row r="2" spans="1:74" ht="20.100000000000001" customHeight="1">
      <c r="A2" s="818"/>
      <c r="B2" s="818"/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  <c r="P2" s="818"/>
      <c r="Q2" s="818"/>
      <c r="R2" s="818"/>
      <c r="S2" s="818"/>
      <c r="T2" s="818"/>
      <c r="U2" s="1272"/>
      <c r="V2" s="13"/>
      <c r="Y2" s="814" t="s">
        <v>532</v>
      </c>
      <c r="Z2" s="814"/>
      <c r="AA2" s="894" t="s">
        <v>855</v>
      </c>
      <c r="AB2" s="893"/>
      <c r="AC2" s="893"/>
      <c r="AD2" s="893"/>
      <c r="AE2" s="814"/>
      <c r="AF2" s="814"/>
      <c r="AG2" s="814"/>
      <c r="AH2" s="814"/>
      <c r="AI2" s="814"/>
      <c r="AJ2" s="814"/>
      <c r="AK2" s="814"/>
      <c r="AL2" s="814"/>
      <c r="AM2" s="814"/>
      <c r="AN2" s="814"/>
      <c r="AO2" s="814"/>
      <c r="AP2" s="814"/>
      <c r="AQ2" s="814"/>
      <c r="AR2" s="814"/>
      <c r="AS2" s="814"/>
      <c r="AT2" s="814"/>
      <c r="AU2" s="814"/>
      <c r="AV2" s="814"/>
      <c r="AW2" s="193"/>
      <c r="BC2" s="817" t="s">
        <v>533</v>
      </c>
      <c r="BD2" s="817"/>
      <c r="BE2" s="817" t="s">
        <v>533</v>
      </c>
      <c r="BF2" s="817"/>
      <c r="BG2" s="817" t="s">
        <v>533</v>
      </c>
      <c r="BH2" s="817"/>
      <c r="BI2" s="817"/>
      <c r="BJ2" s="817"/>
      <c r="BK2" s="817" t="s">
        <v>534</v>
      </c>
      <c r="BL2" s="817"/>
      <c r="BM2" s="817"/>
      <c r="BN2" s="817"/>
      <c r="BO2" s="817"/>
      <c r="BP2" s="817" t="s">
        <v>535</v>
      </c>
      <c r="BQ2" s="817"/>
      <c r="BR2" s="817"/>
      <c r="BS2" s="817"/>
      <c r="BT2" s="817"/>
      <c r="BU2" s="817"/>
      <c r="BV2" s="817"/>
    </row>
    <row r="3" spans="1:74" ht="11.25" customHeight="1">
      <c r="A3" s="818"/>
      <c r="B3" s="819"/>
      <c r="C3" s="820"/>
      <c r="D3" s="820"/>
      <c r="E3" s="820"/>
      <c r="F3" s="820"/>
      <c r="G3" s="820"/>
      <c r="H3" s="820"/>
      <c r="I3" s="820"/>
      <c r="J3" s="820"/>
      <c r="K3" s="820"/>
      <c r="L3" s="820"/>
      <c r="M3" s="820"/>
      <c r="N3" s="820"/>
      <c r="O3" s="820"/>
      <c r="P3" s="820"/>
      <c r="Q3" s="820"/>
      <c r="R3" s="820"/>
      <c r="S3" s="821"/>
      <c r="T3" s="818"/>
      <c r="U3" s="1272"/>
      <c r="V3" s="13"/>
      <c r="Y3" s="814" t="s">
        <v>536</v>
      </c>
      <c r="Z3" s="814"/>
      <c r="AA3" s="894" t="s">
        <v>838</v>
      </c>
      <c r="AB3" s="892"/>
      <c r="AC3" s="892"/>
      <c r="AD3" s="892"/>
      <c r="AE3" s="814"/>
      <c r="AF3" s="814"/>
      <c r="AG3" s="814"/>
      <c r="AH3" s="814"/>
      <c r="AI3" s="814"/>
      <c r="AJ3" s="814"/>
      <c r="AK3" s="814"/>
      <c r="AL3" s="814"/>
      <c r="AM3" s="814"/>
      <c r="AN3" s="814"/>
      <c r="AO3" s="814"/>
      <c r="AP3" s="814"/>
      <c r="AQ3" s="814"/>
      <c r="AR3" s="814"/>
      <c r="AS3" s="814"/>
      <c r="AT3" s="814"/>
      <c r="AU3" s="814"/>
      <c r="AV3" s="814"/>
      <c r="AW3" s="193"/>
      <c r="AZ3" s="822" t="s">
        <v>537</v>
      </c>
      <c r="BC3" s="817" t="s">
        <v>538</v>
      </c>
      <c r="BD3" s="823" t="e">
        <f>AZ8+G28</f>
        <v>#VALUE!</v>
      </c>
      <c r="BE3" s="817" t="s">
        <v>538</v>
      </c>
      <c r="BF3" s="824" t="e">
        <f>AZ7+G27</f>
        <v>#VALUE!</v>
      </c>
      <c r="BG3" s="817" t="s">
        <v>538</v>
      </c>
      <c r="BH3" s="825"/>
      <c r="BI3" s="817"/>
      <c r="BJ3" s="826">
        <v>0</v>
      </c>
      <c r="BK3" s="826" t="e">
        <f t="shared" ref="BK3:BK25" si="0">BJ3*($BD$4/10)</f>
        <v>#VALUE!</v>
      </c>
      <c r="BL3" s="826" t="e">
        <f t="shared" ref="BL3:BL25" si="1">BK3+$AZ$8</f>
        <v>#VALUE!</v>
      </c>
      <c r="BM3" s="826">
        <v>0</v>
      </c>
      <c r="BN3" s="826"/>
      <c r="BO3" s="826" t="e">
        <f t="shared" ref="BO3:BO25" si="2">BJ3*($BF$4/10)</f>
        <v>#VALUE!</v>
      </c>
      <c r="BP3" s="826" t="e">
        <f t="shared" ref="BP3:BP25" si="3">BO3+$AZ$7</f>
        <v>#VALUE!</v>
      </c>
      <c r="BQ3" s="826">
        <v>0</v>
      </c>
      <c r="BR3" s="826"/>
      <c r="BS3" s="826"/>
      <c r="BT3" s="826"/>
      <c r="BU3" s="826"/>
      <c r="BV3" s="817"/>
    </row>
    <row r="4" spans="1:74" ht="20.25">
      <c r="A4" s="818"/>
      <c r="B4" s="827"/>
      <c r="C4" s="1186"/>
      <c r="D4" s="1187"/>
      <c r="E4" s="1" t="s">
        <v>821</v>
      </c>
      <c r="F4" s="4107"/>
      <c r="G4" s="4107"/>
      <c r="H4" s="4107"/>
      <c r="I4" s="4107"/>
      <c r="J4" s="4107"/>
      <c r="K4" s="4107"/>
      <c r="L4" s="4107"/>
      <c r="M4" s="4107"/>
      <c r="N4" s="4107"/>
      <c r="O4" s="4107"/>
      <c r="P4" s="4107"/>
      <c r="Q4" s="4107"/>
      <c r="R4" s="4108"/>
      <c r="S4" s="1193"/>
      <c r="T4" s="818"/>
      <c r="V4" s="13"/>
      <c r="AA4" s="5" t="s">
        <v>539</v>
      </c>
      <c r="AB4" s="297"/>
      <c r="AW4" s="193"/>
      <c r="AZ4" s="822" t="s">
        <v>540</v>
      </c>
      <c r="BC4" s="817" t="s">
        <v>541</v>
      </c>
      <c r="BD4" s="825" t="e">
        <f>BD3-AZ8</f>
        <v>#VALUE!</v>
      </c>
      <c r="BE4" s="817" t="s">
        <v>541</v>
      </c>
      <c r="BF4" s="817" t="e">
        <f>BF3-AZ7</f>
        <v>#VALUE!</v>
      </c>
      <c r="BG4" s="817" t="s">
        <v>541</v>
      </c>
      <c r="BH4" s="817"/>
      <c r="BI4" s="817"/>
      <c r="BJ4" s="824">
        <v>0.02</v>
      </c>
      <c r="BK4" s="825" t="e">
        <f t="shared" si="0"/>
        <v>#VALUE!</v>
      </c>
      <c r="BL4" s="825" t="e">
        <f t="shared" si="1"/>
        <v>#VALUE!</v>
      </c>
      <c r="BM4" s="825" t="e">
        <f t="shared" ref="BM4:BM13" si="4">SQRT($BD$5^2-($BD$5-BK4)^2)</f>
        <v>#VALUE!</v>
      </c>
      <c r="BN4" s="824"/>
      <c r="BO4" s="825" t="e">
        <f t="shared" si="2"/>
        <v>#VALUE!</v>
      </c>
      <c r="BP4" s="825" t="e">
        <f t="shared" si="3"/>
        <v>#VALUE!</v>
      </c>
      <c r="BQ4" s="825" t="e">
        <f t="shared" ref="BQ4:BQ13" si="5">SQRT($BF$5^2-($BF$5-BO4)^2)</f>
        <v>#VALUE!</v>
      </c>
      <c r="BR4" s="824"/>
      <c r="BS4" s="825"/>
      <c r="BT4" s="825"/>
      <c r="BU4" s="825"/>
      <c r="BV4" s="817"/>
    </row>
    <row r="5" spans="1:74">
      <c r="A5" s="818"/>
      <c r="B5" s="827"/>
      <c r="C5" s="1311"/>
      <c r="D5" s="1312"/>
      <c r="E5" s="4109" t="s">
        <v>819</v>
      </c>
      <c r="F5" s="4110"/>
      <c r="G5" s="4110"/>
      <c r="H5" s="4110"/>
      <c r="I5" s="4110"/>
      <c r="J5" s="4110"/>
      <c r="K5" s="4110"/>
      <c r="L5" s="4110"/>
      <c r="M5" s="4110"/>
      <c r="N5" s="4110"/>
      <c r="O5" s="4110"/>
      <c r="P5" s="4110"/>
      <c r="Q5" s="4110"/>
      <c r="R5" s="4111"/>
      <c r="S5" s="679"/>
      <c r="T5" s="818"/>
      <c r="V5" s="13"/>
      <c r="AA5" s="1273" t="s">
        <v>542</v>
      </c>
      <c r="AB5" s="1274"/>
      <c r="AC5" s="1274"/>
      <c r="AD5" s="397" t="s">
        <v>543</v>
      </c>
      <c r="AE5" s="1274" t="s">
        <v>544</v>
      </c>
      <c r="AF5" s="1274"/>
      <c r="AG5" s="1275"/>
      <c r="AI5" s="394" t="s">
        <v>545</v>
      </c>
      <c r="AJ5" s="1274"/>
      <c r="AK5" s="1274"/>
      <c r="AL5" s="1274"/>
      <c r="AM5" s="1275"/>
      <c r="AW5" s="193"/>
      <c r="AZ5" s="831" t="s">
        <v>546</v>
      </c>
      <c r="BC5" s="817" t="s">
        <v>547</v>
      </c>
      <c r="BD5" s="817" t="e">
        <f>+(BD3-AZ8)/2</f>
        <v>#VALUE!</v>
      </c>
      <c r="BE5" s="817" t="s">
        <v>548</v>
      </c>
      <c r="BF5" s="817" t="e">
        <f>+(BF3-AZ7)/2</f>
        <v>#VALUE!</v>
      </c>
      <c r="BG5" s="817" t="s">
        <v>548</v>
      </c>
      <c r="BH5" s="817"/>
      <c r="BI5" s="817"/>
      <c r="BJ5" s="824">
        <v>0.1</v>
      </c>
      <c r="BK5" s="825" t="e">
        <f t="shared" si="0"/>
        <v>#VALUE!</v>
      </c>
      <c r="BL5" s="825" t="e">
        <f t="shared" si="1"/>
        <v>#VALUE!</v>
      </c>
      <c r="BM5" s="825" t="e">
        <f t="shared" si="4"/>
        <v>#VALUE!</v>
      </c>
      <c r="BN5" s="824"/>
      <c r="BO5" s="825" t="e">
        <f t="shared" si="2"/>
        <v>#VALUE!</v>
      </c>
      <c r="BP5" s="825" t="e">
        <f t="shared" si="3"/>
        <v>#VALUE!</v>
      </c>
      <c r="BQ5" s="825" t="e">
        <f t="shared" si="5"/>
        <v>#VALUE!</v>
      </c>
      <c r="BR5" s="824"/>
      <c r="BS5" s="825"/>
      <c r="BT5" s="825"/>
      <c r="BU5" s="825"/>
      <c r="BV5" s="817"/>
    </row>
    <row r="6" spans="1:74">
      <c r="A6" s="818"/>
      <c r="B6" s="827"/>
      <c r="C6" s="1311"/>
      <c r="D6" s="1312"/>
      <c r="E6" s="4109" t="s">
        <v>820</v>
      </c>
      <c r="F6" s="4110"/>
      <c r="G6" s="4110"/>
      <c r="H6" s="4110"/>
      <c r="I6" s="4110"/>
      <c r="J6" s="4110"/>
      <c r="K6" s="4110"/>
      <c r="L6" s="4110"/>
      <c r="M6" s="4110"/>
      <c r="N6" s="4110"/>
      <c r="O6" s="4110"/>
      <c r="P6" s="4110"/>
      <c r="Q6" s="4110"/>
      <c r="R6" s="4111"/>
      <c r="S6" s="679"/>
      <c r="T6" s="818"/>
      <c r="U6" s="1276"/>
      <c r="V6" s="13"/>
      <c r="AA6" s="837" t="s">
        <v>12</v>
      </c>
      <c r="AB6" s="1184"/>
      <c r="AC6" s="1184" t="s">
        <v>549</v>
      </c>
      <c r="AD6" s="1109">
        <v>38</v>
      </c>
      <c r="AE6" s="838" t="s">
        <v>550</v>
      </c>
      <c r="AF6" s="872" t="s">
        <v>37</v>
      </c>
      <c r="AG6" s="1110">
        <f>AD11</f>
        <v>0</v>
      </c>
      <c r="AI6" s="1183" t="s">
        <v>551</v>
      </c>
      <c r="AJ6" s="1277"/>
      <c r="AK6" s="1277"/>
      <c r="AL6" s="1278"/>
      <c r="AM6" s="872"/>
      <c r="AS6" s="832"/>
      <c r="AT6" s="832"/>
      <c r="AU6" s="832"/>
      <c r="AV6" s="832"/>
      <c r="AW6" s="193"/>
      <c r="AZ6" s="835"/>
      <c r="BC6" s="817" t="s">
        <v>552</v>
      </c>
      <c r="BD6" s="817" t="e">
        <f>+(BD3+AZ8)/2</f>
        <v>#VALUE!</v>
      </c>
      <c r="BE6" s="817" t="s">
        <v>552</v>
      </c>
      <c r="BF6" s="817" t="e">
        <f>+(BF3+AZ7)/2</f>
        <v>#VALUE!</v>
      </c>
      <c r="BG6" s="817" t="s">
        <v>552</v>
      </c>
      <c r="BH6" s="817"/>
      <c r="BI6" s="817"/>
      <c r="BJ6" s="824">
        <v>0.15</v>
      </c>
      <c r="BK6" s="825" t="e">
        <f t="shared" si="0"/>
        <v>#VALUE!</v>
      </c>
      <c r="BL6" s="825" t="e">
        <f t="shared" si="1"/>
        <v>#VALUE!</v>
      </c>
      <c r="BM6" s="825" t="e">
        <f t="shared" si="4"/>
        <v>#VALUE!</v>
      </c>
      <c r="BN6" s="824"/>
      <c r="BO6" s="825" t="e">
        <f t="shared" si="2"/>
        <v>#VALUE!</v>
      </c>
      <c r="BP6" s="825" t="e">
        <f t="shared" si="3"/>
        <v>#VALUE!</v>
      </c>
      <c r="BQ6" s="825" t="e">
        <f t="shared" si="5"/>
        <v>#VALUE!</v>
      </c>
      <c r="BR6" s="824"/>
      <c r="BS6" s="825"/>
      <c r="BT6" s="825"/>
      <c r="BU6" s="825"/>
      <c r="BV6" s="817"/>
    </row>
    <row r="7" spans="1:74" ht="13.5">
      <c r="A7" s="850"/>
      <c r="B7" s="851"/>
      <c r="C7" s="857"/>
      <c r="D7" s="856"/>
      <c r="E7" s="4109" t="s">
        <v>830</v>
      </c>
      <c r="F7" s="4110"/>
      <c r="G7" s="4110"/>
      <c r="H7" s="4110"/>
      <c r="I7" s="4110"/>
      <c r="J7" s="4110"/>
      <c r="K7" s="4110"/>
      <c r="L7" s="4110"/>
      <c r="M7" s="4110"/>
      <c r="N7" s="4110"/>
      <c r="O7" s="4110"/>
      <c r="P7" s="4110"/>
      <c r="Q7" s="4110"/>
      <c r="R7" s="4111"/>
      <c r="S7" s="679"/>
      <c r="T7" s="850"/>
      <c r="U7" s="1329"/>
      <c r="V7" s="24"/>
      <c r="W7" s="25"/>
      <c r="X7" s="25"/>
      <c r="Y7" s="297"/>
      <c r="Z7" s="297"/>
      <c r="AA7" s="837" t="s">
        <v>167</v>
      </c>
      <c r="AB7" s="1184"/>
      <c r="AC7" s="1184" t="s">
        <v>553</v>
      </c>
      <c r="AD7" s="853">
        <f>+((AD6^2))*(PI()/4)</f>
        <v>1134.1149479459152</v>
      </c>
      <c r="AE7" s="838" t="s">
        <v>554</v>
      </c>
      <c r="AF7" s="872" t="s">
        <v>37</v>
      </c>
      <c r="AG7" s="1109"/>
      <c r="AH7" s="839"/>
      <c r="AI7" s="1183" t="s">
        <v>555</v>
      </c>
      <c r="AJ7" s="1279"/>
      <c r="AK7" s="1279"/>
      <c r="AL7" s="842" t="s">
        <v>556</v>
      </c>
      <c r="AM7" s="840">
        <v>1</v>
      </c>
      <c r="AN7" s="297"/>
      <c r="AO7" s="297"/>
      <c r="AP7" s="297"/>
      <c r="AQ7" s="297"/>
      <c r="AR7" s="297"/>
      <c r="AS7" s="297"/>
      <c r="AT7" s="297"/>
      <c r="AU7" s="297"/>
      <c r="AV7" s="297"/>
      <c r="AW7" s="193"/>
      <c r="AY7" s="193" t="s">
        <v>535</v>
      </c>
      <c r="AZ7" s="841">
        <f>AM49</f>
        <v>0.57779999999999998</v>
      </c>
      <c r="BC7" s="817"/>
      <c r="BD7" s="817"/>
      <c r="BE7" s="817"/>
      <c r="BF7" s="817"/>
      <c r="BG7" s="817"/>
      <c r="BH7" s="817"/>
      <c r="BI7" s="817"/>
      <c r="BJ7" s="825">
        <v>0.25</v>
      </c>
      <c r="BK7" s="825" t="e">
        <f t="shared" si="0"/>
        <v>#VALUE!</v>
      </c>
      <c r="BL7" s="825" t="e">
        <f t="shared" si="1"/>
        <v>#VALUE!</v>
      </c>
      <c r="BM7" s="825" t="e">
        <f t="shared" si="4"/>
        <v>#VALUE!</v>
      </c>
      <c r="BN7" s="825"/>
      <c r="BO7" s="825" t="e">
        <f t="shared" si="2"/>
        <v>#VALUE!</v>
      </c>
      <c r="BP7" s="825" t="e">
        <f t="shared" si="3"/>
        <v>#VALUE!</v>
      </c>
      <c r="BQ7" s="825" t="e">
        <f t="shared" si="5"/>
        <v>#VALUE!</v>
      </c>
      <c r="BR7" s="825"/>
      <c r="BS7" s="825"/>
      <c r="BT7" s="825"/>
      <c r="BU7" s="825"/>
      <c r="BV7" s="817"/>
    </row>
    <row r="8" spans="1:74">
      <c r="A8" s="818"/>
      <c r="B8" s="827"/>
      <c r="C8" s="836"/>
      <c r="D8" s="1323"/>
      <c r="E8" s="4112" t="s">
        <v>827</v>
      </c>
      <c r="F8" s="4113"/>
      <c r="G8" s="4113"/>
      <c r="H8" s="4113"/>
      <c r="I8" s="4113"/>
      <c r="J8" s="4113"/>
      <c r="K8" s="4113"/>
      <c r="L8" s="4113"/>
      <c r="M8" s="4113"/>
      <c r="N8" s="4113"/>
      <c r="O8" s="4113"/>
      <c r="P8" s="4113"/>
      <c r="Q8" s="4113"/>
      <c r="R8" s="4114"/>
      <c r="S8" s="679"/>
      <c r="T8" s="818"/>
      <c r="U8" s="1280"/>
      <c r="V8" s="13"/>
      <c r="AA8" s="1273" t="s">
        <v>557</v>
      </c>
      <c r="AB8" s="1274"/>
      <c r="AC8" s="1274" t="s">
        <v>558</v>
      </c>
      <c r="AD8" s="1281">
        <v>76</v>
      </c>
      <c r="AE8" s="1274" t="s">
        <v>559</v>
      </c>
      <c r="AF8" s="1275" t="s">
        <v>1</v>
      </c>
      <c r="AG8" s="1282" t="e">
        <f>+((AG6-AG7)/AG7)*100</f>
        <v>#DIV/0!</v>
      </c>
      <c r="AH8" s="839"/>
      <c r="AS8" s="855"/>
      <c r="AT8" s="855"/>
      <c r="AU8" s="855"/>
      <c r="AV8" s="855"/>
      <c r="AW8" s="193"/>
      <c r="AY8" s="193" t="s">
        <v>534</v>
      </c>
      <c r="AZ8" s="841">
        <f>AM10</f>
        <v>0.57779999999999998</v>
      </c>
      <c r="BC8" s="817" t="s">
        <v>534</v>
      </c>
      <c r="BD8" s="817"/>
      <c r="BE8" s="817"/>
      <c r="BF8" s="817" t="s">
        <v>562</v>
      </c>
      <c r="BG8" s="817"/>
      <c r="BH8" s="817"/>
      <c r="BI8" s="817"/>
      <c r="BJ8" s="825">
        <v>0.5</v>
      </c>
      <c r="BK8" s="825" t="e">
        <f t="shared" si="0"/>
        <v>#VALUE!</v>
      </c>
      <c r="BL8" s="825" t="e">
        <f t="shared" si="1"/>
        <v>#VALUE!</v>
      </c>
      <c r="BM8" s="825" t="e">
        <f t="shared" si="4"/>
        <v>#VALUE!</v>
      </c>
      <c r="BN8" s="825"/>
      <c r="BO8" s="825" t="e">
        <f t="shared" si="2"/>
        <v>#VALUE!</v>
      </c>
      <c r="BP8" s="825" t="e">
        <f t="shared" si="3"/>
        <v>#VALUE!</v>
      </c>
      <c r="BQ8" s="825" t="e">
        <f t="shared" si="5"/>
        <v>#VALUE!</v>
      </c>
      <c r="BR8" s="825"/>
      <c r="BS8" s="825"/>
      <c r="BT8" s="825"/>
      <c r="BU8" s="825"/>
      <c r="BV8" s="817"/>
    </row>
    <row r="9" spans="1:74" ht="6" customHeight="1">
      <c r="A9" s="818"/>
      <c r="B9" s="827"/>
      <c r="C9" s="818"/>
      <c r="D9" s="1322"/>
      <c r="E9" s="706"/>
      <c r="F9" s="706"/>
      <c r="G9" s="706"/>
      <c r="H9" s="706"/>
      <c r="I9" s="706"/>
      <c r="J9" s="706"/>
      <c r="K9" s="706"/>
      <c r="L9" s="706"/>
      <c r="M9" s="706"/>
      <c r="N9" s="706"/>
      <c r="O9" s="706"/>
      <c r="P9" s="706"/>
      <c r="Q9" s="706"/>
      <c r="R9" s="706"/>
      <c r="S9" s="679"/>
      <c r="T9" s="818"/>
      <c r="U9" s="1280"/>
      <c r="V9" s="13"/>
      <c r="AH9" s="839"/>
      <c r="AS9" s="855"/>
      <c r="AT9" s="855"/>
      <c r="AU9" s="855"/>
      <c r="AV9" s="855"/>
      <c r="AW9" s="193"/>
      <c r="AZ9" s="846"/>
      <c r="BC9" s="817"/>
      <c r="BD9" s="817"/>
      <c r="BE9" s="817"/>
      <c r="BF9" s="817"/>
      <c r="BG9" s="817"/>
      <c r="BH9" s="825"/>
      <c r="BI9" s="817"/>
      <c r="BJ9" s="825">
        <v>0.75</v>
      </c>
      <c r="BK9" s="825" t="e">
        <f t="shared" si="0"/>
        <v>#VALUE!</v>
      </c>
      <c r="BL9" s="825" t="e">
        <f t="shared" si="1"/>
        <v>#VALUE!</v>
      </c>
      <c r="BM9" s="825" t="e">
        <f t="shared" si="4"/>
        <v>#VALUE!</v>
      </c>
      <c r="BN9" s="825"/>
      <c r="BO9" s="825" t="e">
        <f t="shared" si="2"/>
        <v>#VALUE!</v>
      </c>
      <c r="BP9" s="825" t="e">
        <f t="shared" si="3"/>
        <v>#VALUE!</v>
      </c>
      <c r="BQ9" s="825" t="e">
        <f>SQRT($BF$5^2-($BF$5-BO9)^2)</f>
        <v>#VALUE!</v>
      </c>
      <c r="BR9" s="825"/>
      <c r="BS9" s="825"/>
      <c r="BT9" s="825"/>
      <c r="BU9" s="825"/>
      <c r="BV9" s="817"/>
    </row>
    <row r="10" spans="1:74">
      <c r="A10" s="818"/>
      <c r="B10" s="827"/>
      <c r="C10" s="4432" t="s">
        <v>1341</v>
      </c>
      <c r="D10" s="4433"/>
      <c r="E10" s="4433"/>
      <c r="F10" s="4433"/>
      <c r="G10" s="4433"/>
      <c r="H10" s="4433"/>
      <c r="I10" s="4433"/>
      <c r="J10" s="4433"/>
      <c r="K10" s="4433"/>
      <c r="L10" s="4433"/>
      <c r="M10" s="4433"/>
      <c r="N10" s="4433"/>
      <c r="O10" s="4433"/>
      <c r="P10" s="4433"/>
      <c r="Q10" s="4433"/>
      <c r="R10" s="4434"/>
      <c r="S10" s="828"/>
      <c r="T10" s="818"/>
      <c r="V10" s="732" t="s">
        <v>852</v>
      </c>
      <c r="W10" s="732" t="s">
        <v>853</v>
      </c>
      <c r="AA10" s="1273" t="s">
        <v>287</v>
      </c>
      <c r="AB10" s="1274"/>
      <c r="AC10" s="1274" t="s">
        <v>563</v>
      </c>
      <c r="AD10" s="891">
        <f>+AD7*AD8/1000</f>
        <v>86.192736043889553</v>
      </c>
      <c r="AE10" s="1274"/>
      <c r="AF10" s="1275"/>
      <c r="AG10" s="1330"/>
      <c r="AH10" s="847"/>
      <c r="AI10" s="394" t="s">
        <v>560</v>
      </c>
      <c r="AJ10" s="1283"/>
      <c r="AK10" s="1283"/>
      <c r="AL10" s="1284" t="s">
        <v>561</v>
      </c>
      <c r="AM10" s="1285">
        <v>0.57779999999999998</v>
      </c>
      <c r="AW10" s="193"/>
      <c r="AX10" s="1286"/>
      <c r="AY10" s="1286"/>
      <c r="AZ10" s="4438"/>
      <c r="BA10" s="4438"/>
      <c r="BC10" s="848"/>
      <c r="BD10" s="849"/>
      <c r="BE10" s="848"/>
      <c r="BF10" s="849"/>
      <c r="BG10" s="817"/>
      <c r="BH10" s="817"/>
      <c r="BI10" s="817"/>
      <c r="BJ10" s="825">
        <v>1</v>
      </c>
      <c r="BK10" s="826" t="e">
        <f t="shared" si="0"/>
        <v>#VALUE!</v>
      </c>
      <c r="BL10" s="826" t="e">
        <f t="shared" si="1"/>
        <v>#VALUE!</v>
      </c>
      <c r="BM10" s="825" t="e">
        <f t="shared" si="4"/>
        <v>#VALUE!</v>
      </c>
      <c r="BN10" s="826"/>
      <c r="BO10" s="826" t="e">
        <f t="shared" si="2"/>
        <v>#VALUE!</v>
      </c>
      <c r="BP10" s="826" t="e">
        <f t="shared" si="3"/>
        <v>#VALUE!</v>
      </c>
      <c r="BQ10" s="825" t="e">
        <f t="shared" si="5"/>
        <v>#VALUE!</v>
      </c>
      <c r="BR10" s="826"/>
      <c r="BS10" s="826"/>
      <c r="BT10" s="826"/>
      <c r="BU10" s="825"/>
      <c r="BV10" s="817"/>
    </row>
    <row r="11" spans="1:74" ht="20.100000000000001" customHeight="1">
      <c r="A11" s="850"/>
      <c r="B11" s="827"/>
      <c r="C11" s="4435" t="s">
        <v>344</v>
      </c>
      <c r="D11" s="4436"/>
      <c r="E11" s="4436"/>
      <c r="F11" s="4436"/>
      <c r="G11" s="4436"/>
      <c r="H11" s="4436"/>
      <c r="I11" s="4436"/>
      <c r="J11" s="4436"/>
      <c r="K11" s="4436"/>
      <c r="L11" s="4436"/>
      <c r="M11" s="4436"/>
      <c r="N11" s="4436"/>
      <c r="O11" s="4436"/>
      <c r="P11" s="4436"/>
      <c r="Q11" s="4436"/>
      <c r="R11" s="4437"/>
      <c r="S11" s="828"/>
      <c r="T11" s="850"/>
      <c r="V11" s="1350" t="str" cm="1">
        <f t="array" ref="V11">_xlfn._xlws.FILTER(Data!S2:S25,Data!S2:S25,"&lt;&gt;")</f>
        <v>&lt;&gt;</v>
      </c>
      <c r="W11" s="1350" t="str" cm="1">
        <f t="array" ref="W11">_xlfn._xlws.FILTER(Data!T2:T25,Data!T2:T25,"&lt;&gt;")</f>
        <v>&lt;&gt;</v>
      </c>
      <c r="AA11" s="837" t="s">
        <v>564</v>
      </c>
      <c r="AB11" s="1184"/>
      <c r="AC11" s="1184" t="s">
        <v>37</v>
      </c>
      <c r="AD11" s="1109"/>
      <c r="AE11" s="1184"/>
      <c r="AF11" s="872"/>
      <c r="AG11" s="844"/>
      <c r="AW11" s="193"/>
      <c r="AX11" s="1287"/>
      <c r="AY11" s="1287"/>
      <c r="AZ11" s="4439"/>
      <c r="BA11" s="4439"/>
      <c r="BC11" s="848"/>
      <c r="BD11" s="849"/>
      <c r="BE11" s="848"/>
      <c r="BF11" s="849"/>
      <c r="BG11" s="825"/>
      <c r="BH11" s="825"/>
      <c r="BI11" s="817"/>
      <c r="BJ11" s="825">
        <v>2</v>
      </c>
      <c r="BK11" s="826" t="e">
        <f t="shared" si="0"/>
        <v>#VALUE!</v>
      </c>
      <c r="BL11" s="826" t="e">
        <f t="shared" si="1"/>
        <v>#VALUE!</v>
      </c>
      <c r="BM11" s="825" t="e">
        <f t="shared" si="4"/>
        <v>#VALUE!</v>
      </c>
      <c r="BN11" s="826"/>
      <c r="BO11" s="826" t="e">
        <f t="shared" si="2"/>
        <v>#VALUE!</v>
      </c>
      <c r="BP11" s="826" t="e">
        <f t="shared" si="3"/>
        <v>#VALUE!</v>
      </c>
      <c r="BQ11" s="825" t="e">
        <f t="shared" si="5"/>
        <v>#VALUE!</v>
      </c>
      <c r="BR11" s="826"/>
      <c r="BS11" s="826"/>
      <c r="BT11" s="826"/>
      <c r="BU11" s="825"/>
      <c r="BV11" s="817"/>
    </row>
    <row r="12" spans="1:74" ht="20.100000000000001" customHeight="1">
      <c r="A12" s="856"/>
      <c r="B12" s="851"/>
      <c r="C12" s="850"/>
      <c r="D12" s="850"/>
      <c r="E12" s="850"/>
      <c r="F12" s="850"/>
      <c r="G12" s="850"/>
      <c r="H12" s="850"/>
      <c r="I12" s="850"/>
      <c r="J12" s="850"/>
      <c r="K12" s="850"/>
      <c r="L12" s="850"/>
      <c r="M12" s="850"/>
      <c r="N12" s="850"/>
      <c r="O12" s="850"/>
      <c r="P12" s="850"/>
      <c r="Q12" s="850"/>
      <c r="R12" s="850"/>
      <c r="S12" s="852"/>
      <c r="T12" s="856"/>
      <c r="V12" s="1350"/>
      <c r="W12" s="1350"/>
      <c r="AA12" s="837" t="s">
        <v>565</v>
      </c>
      <c r="AB12" s="1184"/>
      <c r="AC12" s="1184" t="s">
        <v>566</v>
      </c>
      <c r="AD12" s="853">
        <f>+AD11/AD10</f>
        <v>0</v>
      </c>
      <c r="AE12" s="1184"/>
      <c r="AF12" s="872"/>
      <c r="AG12" s="854"/>
      <c r="AH12" s="847"/>
      <c r="AL12" s="839"/>
      <c r="AM12" s="839"/>
      <c r="AW12" s="193"/>
      <c r="AX12" s="858"/>
      <c r="AY12" s="859"/>
      <c r="AZ12" s="858"/>
      <c r="BA12" s="859"/>
      <c r="BC12" s="817"/>
      <c r="BD12" s="817"/>
      <c r="BE12" s="817"/>
      <c r="BF12" s="817"/>
      <c r="BG12" s="825"/>
      <c r="BH12" s="825"/>
      <c r="BI12" s="817"/>
      <c r="BJ12" s="825">
        <v>3</v>
      </c>
      <c r="BK12" s="826" t="e">
        <f t="shared" si="0"/>
        <v>#VALUE!</v>
      </c>
      <c r="BL12" s="826" t="e">
        <f t="shared" si="1"/>
        <v>#VALUE!</v>
      </c>
      <c r="BM12" s="825" t="e">
        <f t="shared" si="4"/>
        <v>#VALUE!</v>
      </c>
      <c r="BN12" s="826"/>
      <c r="BO12" s="826" t="e">
        <f t="shared" si="2"/>
        <v>#VALUE!</v>
      </c>
      <c r="BP12" s="826" t="e">
        <f t="shared" si="3"/>
        <v>#VALUE!</v>
      </c>
      <c r="BQ12" s="825" t="e">
        <f t="shared" si="5"/>
        <v>#VALUE!</v>
      </c>
      <c r="BR12" s="826"/>
      <c r="BS12" s="826"/>
      <c r="BT12" s="826"/>
      <c r="BU12" s="825"/>
      <c r="BV12" s="817"/>
    </row>
    <row r="13" spans="1:74" ht="20.100000000000001" customHeight="1">
      <c r="A13" s="815"/>
      <c r="B13" s="857"/>
      <c r="C13" s="850" t="s">
        <v>599</v>
      </c>
      <c r="D13" s="850"/>
      <c r="E13" s="850"/>
      <c r="H13" s="850"/>
      <c r="I13" s="850"/>
      <c r="J13" s="856"/>
      <c r="K13" s="856"/>
      <c r="L13" s="193" t="s">
        <v>394</v>
      </c>
      <c r="N13" s="193" t="s">
        <v>27</v>
      </c>
      <c r="O13" s="4426" t="s">
        <v>823</v>
      </c>
      <c r="P13" s="4426"/>
      <c r="Q13" s="4426"/>
      <c r="R13" s="4426"/>
      <c r="S13" s="4427"/>
      <c r="T13" s="815"/>
      <c r="V13" s="1350"/>
      <c r="W13" s="1350"/>
      <c r="AA13" s="1288" t="s">
        <v>567</v>
      </c>
      <c r="AB13" s="1289"/>
      <c r="AC13" s="1290"/>
      <c r="AD13" s="1290"/>
      <c r="AG13" s="860"/>
      <c r="AJ13" s="860"/>
      <c r="AK13" s="860"/>
      <c r="AW13" s="193"/>
      <c r="AX13" s="858"/>
      <c r="AY13" s="859"/>
      <c r="AZ13" s="858"/>
      <c r="BA13" s="859"/>
      <c r="BC13" s="848"/>
      <c r="BD13" s="861"/>
      <c r="BE13" s="817"/>
      <c r="BF13" s="817"/>
      <c r="BG13" s="825"/>
      <c r="BH13" s="825"/>
      <c r="BI13" s="817"/>
      <c r="BJ13" s="825">
        <v>4</v>
      </c>
      <c r="BK13" s="826" t="e">
        <f t="shared" si="0"/>
        <v>#VALUE!</v>
      </c>
      <c r="BL13" s="826" t="e">
        <f t="shared" si="1"/>
        <v>#VALUE!</v>
      </c>
      <c r="BM13" s="825" t="e">
        <f t="shared" si="4"/>
        <v>#VALUE!</v>
      </c>
      <c r="BN13" s="826"/>
      <c r="BO13" s="826" t="e">
        <f t="shared" si="2"/>
        <v>#VALUE!</v>
      </c>
      <c r="BP13" s="826" t="e">
        <f t="shared" si="3"/>
        <v>#VALUE!</v>
      </c>
      <c r="BQ13" s="825" t="e">
        <f t="shared" si="5"/>
        <v>#VALUE!</v>
      </c>
      <c r="BR13" s="826"/>
      <c r="BS13" s="826"/>
      <c r="BT13" s="826"/>
      <c r="BU13" s="825"/>
      <c r="BV13" s="817"/>
    </row>
    <row r="14" spans="1:74" ht="20.100000000000001" customHeight="1">
      <c r="A14" s="815"/>
      <c r="B14" s="451"/>
      <c r="C14" s="193" t="s">
        <v>600</v>
      </c>
      <c r="F14" s="850" t="s">
        <v>27</v>
      </c>
      <c r="G14" s="4428" t="str">
        <f>Details!B4</f>
        <v xml:space="preserve">PT Itamatra Nusantara </v>
      </c>
      <c r="H14" s="4428"/>
      <c r="I14" s="4428"/>
      <c r="J14" s="4428"/>
      <c r="K14" s="4428"/>
      <c r="L14" s="193" t="s">
        <v>822</v>
      </c>
      <c r="N14" s="193" t="s">
        <v>27</v>
      </c>
      <c r="O14" s="4428" t="s">
        <v>824</v>
      </c>
      <c r="P14" s="4428"/>
      <c r="Q14" s="4428"/>
      <c r="R14" s="4428"/>
      <c r="S14" s="4429"/>
      <c r="T14" s="1373"/>
      <c r="V14" s="1350"/>
      <c r="W14" s="1350"/>
      <c r="AG14" s="895" t="s">
        <v>568</v>
      </c>
      <c r="AH14" s="860"/>
      <c r="AI14" s="860"/>
      <c r="AJ14" s="860"/>
      <c r="AK14" s="860"/>
      <c r="AL14" s="860"/>
      <c r="AM14" s="860"/>
      <c r="AW14" s="193"/>
      <c r="AX14" s="858"/>
      <c r="AY14" s="859"/>
      <c r="AZ14" s="858"/>
      <c r="BA14" s="859"/>
      <c r="BC14" s="848"/>
      <c r="BD14" s="862"/>
      <c r="BE14" s="848"/>
      <c r="BF14" s="862"/>
      <c r="BG14" s="825"/>
      <c r="BH14" s="825"/>
      <c r="BI14" s="817"/>
      <c r="BJ14" s="825">
        <v>5</v>
      </c>
      <c r="BK14" s="826" t="e">
        <f t="shared" si="0"/>
        <v>#VALUE!</v>
      </c>
      <c r="BL14" s="826" t="e">
        <f t="shared" si="1"/>
        <v>#VALUE!</v>
      </c>
      <c r="BM14" s="825" t="e">
        <f>BD5</f>
        <v>#VALUE!</v>
      </c>
      <c r="BN14" s="826"/>
      <c r="BO14" s="826" t="e">
        <f t="shared" si="2"/>
        <v>#VALUE!</v>
      </c>
      <c r="BP14" s="826" t="e">
        <f t="shared" si="3"/>
        <v>#VALUE!</v>
      </c>
      <c r="BQ14" s="825" t="e">
        <f>BF5</f>
        <v>#VALUE!</v>
      </c>
      <c r="BR14" s="826"/>
      <c r="BS14" s="826"/>
      <c r="BT14" s="826"/>
      <c r="BU14" s="825"/>
      <c r="BV14" s="817"/>
    </row>
    <row r="15" spans="1:74" ht="20.100000000000001" customHeight="1">
      <c r="A15" s="815"/>
      <c r="B15" s="451"/>
      <c r="C15" s="193" t="s">
        <v>842</v>
      </c>
      <c r="F15" s="850" t="s">
        <v>27</v>
      </c>
      <c r="G15" s="4428" t="str">
        <f>Details!B8</f>
        <v>hidroplogi</v>
      </c>
      <c r="H15" s="4428"/>
      <c r="I15" s="4428"/>
      <c r="J15" s="4428"/>
      <c r="K15" s="4428"/>
      <c r="L15" s="193" t="s">
        <v>395</v>
      </c>
      <c r="N15" s="193" t="s">
        <v>27</v>
      </c>
      <c r="O15" s="4430">
        <f>Details!B33</f>
        <v>46220</v>
      </c>
      <c r="P15" s="4430"/>
      <c r="Q15" s="4430"/>
      <c r="R15" s="4430"/>
      <c r="S15" s="4431"/>
      <c r="T15" s="815"/>
      <c r="V15" s="1350"/>
      <c r="W15" s="1350"/>
      <c r="AA15" s="1291" t="s">
        <v>571</v>
      </c>
      <c r="AB15" s="865"/>
      <c r="AC15" s="865"/>
      <c r="AD15" s="863" t="s">
        <v>572</v>
      </c>
      <c r="AE15" s="1180" t="s">
        <v>573</v>
      </c>
      <c r="AF15" s="864"/>
      <c r="AG15" s="888" t="s">
        <v>574</v>
      </c>
      <c r="AH15" s="888"/>
      <c r="AI15" s="863" t="s">
        <v>575</v>
      </c>
      <c r="AJ15" s="864" t="s">
        <v>576</v>
      </c>
      <c r="AK15" s="888"/>
      <c r="AL15" s="888" t="s">
        <v>577</v>
      </c>
      <c r="AM15" s="1292"/>
      <c r="AW15" s="193"/>
      <c r="AX15" s="858"/>
      <c r="AY15" s="859"/>
      <c r="AZ15" s="858"/>
      <c r="BA15" s="859"/>
      <c r="BC15" s="848"/>
      <c r="BD15" s="862"/>
      <c r="BE15" s="848"/>
      <c r="BF15" s="862"/>
      <c r="BG15" s="825"/>
      <c r="BH15" s="825"/>
      <c r="BI15" s="817"/>
      <c r="BJ15" s="825">
        <v>6</v>
      </c>
      <c r="BK15" s="826" t="e">
        <f t="shared" si="0"/>
        <v>#VALUE!</v>
      </c>
      <c r="BL15" s="826" t="e">
        <f t="shared" si="1"/>
        <v>#VALUE!</v>
      </c>
      <c r="BM15" s="825" t="e">
        <f>BM13</f>
        <v>#VALUE!</v>
      </c>
      <c r="BN15" s="826"/>
      <c r="BO15" s="826" t="e">
        <f t="shared" si="2"/>
        <v>#VALUE!</v>
      </c>
      <c r="BP15" s="826" t="e">
        <f t="shared" si="3"/>
        <v>#VALUE!</v>
      </c>
      <c r="BQ15" s="825" t="e">
        <f>BQ13</f>
        <v>#VALUE!</v>
      </c>
      <c r="BR15" s="826"/>
      <c r="BS15" s="826"/>
      <c r="BT15" s="826"/>
      <c r="BU15" s="825"/>
      <c r="BV15" s="817"/>
    </row>
    <row r="16" spans="1:74" ht="20.100000000000001" customHeight="1">
      <c r="A16" s="815"/>
      <c r="B16" s="2745"/>
      <c r="C16" s="193" t="s">
        <v>1313</v>
      </c>
      <c r="F16" s="850" t="s">
        <v>27</v>
      </c>
      <c r="G16" s="4428" t="str">
        <f>Details!B7</f>
        <v>23-GQT--19-UDS-1-BH-05-0,00-0,50-100726-001</v>
      </c>
      <c r="H16" s="4428"/>
      <c r="I16" s="4428"/>
      <c r="J16" s="4428"/>
      <c r="K16" s="4428"/>
      <c r="L16" s="193" t="s">
        <v>396</v>
      </c>
      <c r="N16" s="193" t="s">
        <v>27</v>
      </c>
      <c r="O16" s="4428" t="str">
        <f>Details!B22</f>
        <v>AS Sumartadji</v>
      </c>
      <c r="P16" s="4428"/>
      <c r="Q16" s="4428"/>
      <c r="R16" s="4428"/>
      <c r="S16" s="4429"/>
      <c r="T16" s="815"/>
      <c r="V16" s="1350"/>
      <c r="W16" s="1350"/>
      <c r="AA16" s="1293" t="s">
        <v>578</v>
      </c>
      <c r="AB16" s="832"/>
      <c r="AC16" s="832"/>
      <c r="AD16" s="866" t="s">
        <v>579</v>
      </c>
      <c r="AE16" s="1181"/>
      <c r="AF16" s="1182"/>
      <c r="AG16" s="855" t="s">
        <v>15</v>
      </c>
      <c r="AH16" s="873"/>
      <c r="AI16" s="867" t="s">
        <v>580</v>
      </c>
      <c r="AJ16" s="868" t="s">
        <v>167</v>
      </c>
      <c r="AK16" s="873"/>
      <c r="AM16" s="868"/>
      <c r="AW16" s="193"/>
      <c r="AX16" s="858"/>
      <c r="AY16" s="859"/>
      <c r="AZ16" s="858"/>
      <c r="BA16" s="859"/>
      <c r="BC16" s="817"/>
      <c r="BD16" s="817"/>
      <c r="BE16" s="817"/>
      <c r="BF16" s="817"/>
      <c r="BG16" s="825"/>
      <c r="BH16" s="825"/>
      <c r="BI16" s="817"/>
      <c r="BJ16" s="825">
        <v>7</v>
      </c>
      <c r="BK16" s="826" t="e">
        <f t="shared" si="0"/>
        <v>#VALUE!</v>
      </c>
      <c r="BL16" s="826" t="e">
        <f t="shared" si="1"/>
        <v>#VALUE!</v>
      </c>
      <c r="BM16" s="825" t="e">
        <f>BM12</f>
        <v>#VALUE!</v>
      </c>
      <c r="BN16" s="826"/>
      <c r="BO16" s="826" t="e">
        <f t="shared" si="2"/>
        <v>#VALUE!</v>
      </c>
      <c r="BP16" s="826" t="e">
        <f t="shared" si="3"/>
        <v>#VALUE!</v>
      </c>
      <c r="BQ16" s="825" t="e">
        <f>BQ12</f>
        <v>#VALUE!</v>
      </c>
      <c r="BR16" s="826"/>
      <c r="BS16" s="826"/>
      <c r="BT16" s="826"/>
      <c r="BU16" s="825"/>
      <c r="BV16" s="817"/>
    </row>
    <row r="17" spans="1:75" ht="20.100000000000001" customHeight="1">
      <c r="A17" s="815"/>
      <c r="B17" s="451"/>
      <c r="C17" s="193" t="s">
        <v>601</v>
      </c>
      <c r="F17" s="193" t="s">
        <v>27</v>
      </c>
      <c r="G17" s="4426" t="str">
        <f>Details!B1</f>
        <v>BH-05_UDS-01</v>
      </c>
      <c r="H17" s="4426"/>
      <c r="I17" s="4426"/>
      <c r="J17" s="4426"/>
      <c r="K17" s="4426"/>
      <c r="L17" s="193" t="s">
        <v>186</v>
      </c>
      <c r="N17" s="193" t="s">
        <v>27</v>
      </c>
      <c r="O17" s="4426" t="str">
        <f>Details!B2</f>
        <v>MGS/02/VI/2026</v>
      </c>
      <c r="P17" s="4426"/>
      <c r="Q17" s="4426"/>
      <c r="R17" s="4426"/>
      <c r="S17" s="4427"/>
      <c r="T17" s="815"/>
      <c r="U17" s="1294"/>
      <c r="V17" s="1350"/>
      <c r="W17" s="1350"/>
      <c r="Y17" s="847"/>
      <c r="Z17" s="847"/>
      <c r="AA17" s="837" t="s">
        <v>582</v>
      </c>
      <c r="AB17" s="838"/>
      <c r="AC17" s="838"/>
      <c r="AD17" s="842" t="s">
        <v>583</v>
      </c>
      <c r="AE17" s="1183" t="s">
        <v>390</v>
      </c>
      <c r="AF17" s="872"/>
      <c r="AG17" s="1184" t="s">
        <v>584</v>
      </c>
      <c r="AH17" s="1184"/>
      <c r="AI17" s="871" t="s">
        <v>585</v>
      </c>
      <c r="AJ17" s="872" t="s">
        <v>586</v>
      </c>
      <c r="AK17" s="1184"/>
      <c r="AL17" s="1184" t="s">
        <v>587</v>
      </c>
      <c r="AM17" s="872"/>
      <c r="AN17" s="847"/>
      <c r="AO17" s="847"/>
      <c r="AP17" s="847"/>
      <c r="AQ17" s="847"/>
      <c r="AR17" s="847"/>
      <c r="AS17" s="847"/>
      <c r="AT17" s="847"/>
      <c r="AU17" s="847"/>
      <c r="AV17" s="847"/>
      <c r="AW17" s="193"/>
      <c r="AX17" s="858"/>
      <c r="AY17" s="859"/>
      <c r="AZ17" s="858"/>
      <c r="BA17" s="859"/>
      <c r="BC17" s="817"/>
      <c r="BD17" s="817"/>
      <c r="BE17" s="817"/>
      <c r="BF17" s="817"/>
      <c r="BG17" s="825"/>
      <c r="BH17" s="825"/>
      <c r="BI17" s="817"/>
      <c r="BJ17" s="825">
        <v>8</v>
      </c>
      <c r="BK17" s="826" t="e">
        <f t="shared" si="0"/>
        <v>#VALUE!</v>
      </c>
      <c r="BL17" s="826" t="e">
        <f t="shared" si="1"/>
        <v>#VALUE!</v>
      </c>
      <c r="BM17" s="825" t="e">
        <f>BM11</f>
        <v>#VALUE!</v>
      </c>
      <c r="BN17" s="826"/>
      <c r="BO17" s="826" t="e">
        <f t="shared" si="2"/>
        <v>#VALUE!</v>
      </c>
      <c r="BP17" s="826" t="e">
        <f t="shared" si="3"/>
        <v>#VALUE!</v>
      </c>
      <c r="BQ17" s="825" t="e">
        <f>BQ11</f>
        <v>#VALUE!</v>
      </c>
      <c r="BR17" s="826"/>
      <c r="BS17" s="826"/>
      <c r="BT17" s="826"/>
      <c r="BU17" s="825"/>
      <c r="BV17" s="817"/>
    </row>
    <row r="18" spans="1:75" ht="20.100000000000001" customHeight="1">
      <c r="A18" s="815"/>
      <c r="B18" s="451"/>
      <c r="C18" s="193" t="s">
        <v>602</v>
      </c>
      <c r="F18" s="193" t="s">
        <v>27</v>
      </c>
      <c r="G18" s="4428" t="str">
        <f>Details!B13&amp;" m"</f>
        <v>0,00-0,50 m</v>
      </c>
      <c r="H18" s="4428"/>
      <c r="I18" s="4428"/>
      <c r="J18" s="4428"/>
      <c r="K18" s="4428"/>
      <c r="P18" s="296"/>
      <c r="Q18" s="296"/>
      <c r="R18" s="296"/>
      <c r="S18" s="2747"/>
      <c r="T18" s="815"/>
      <c r="U18" s="1295"/>
      <c r="V18" s="1350"/>
      <c r="W18" s="1350"/>
      <c r="Y18" s="873">
        <f t="shared" ref="Y18:Y42" si="6">AL18</f>
        <v>0</v>
      </c>
      <c r="AA18" s="869">
        <v>0</v>
      </c>
      <c r="AB18" s="870"/>
      <c r="AC18" s="870"/>
      <c r="AD18" s="853">
        <f>+AA18/100</f>
        <v>0</v>
      </c>
      <c r="AE18" s="1296">
        <f>+(AD18/$AD$8)*100</f>
        <v>0</v>
      </c>
      <c r="AF18" s="1297"/>
      <c r="AG18" s="1298">
        <v>0</v>
      </c>
      <c r="AH18" s="1184"/>
      <c r="AI18" s="853">
        <f>+$AM$10*AG18</f>
        <v>0</v>
      </c>
      <c r="AJ18" s="1297">
        <f>+AD7</f>
        <v>1134.1149479459152</v>
      </c>
      <c r="AK18" s="1184"/>
      <c r="AL18" s="881">
        <f>+AI18/AJ18*10000</f>
        <v>0</v>
      </c>
      <c r="AM18" s="876"/>
      <c r="AS18" s="855"/>
      <c r="AT18" s="855"/>
      <c r="AU18" s="855"/>
      <c r="AV18" s="855"/>
      <c r="AW18" s="193"/>
      <c r="AX18" s="858"/>
      <c r="AY18" s="859"/>
      <c r="AZ18" s="858"/>
      <c r="BA18" s="859"/>
      <c r="BC18" s="817"/>
      <c r="BD18" s="817"/>
      <c r="BE18" s="817"/>
      <c r="BF18" s="817"/>
      <c r="BG18" s="825"/>
      <c r="BH18" s="825"/>
      <c r="BI18" s="817"/>
      <c r="BJ18" s="825">
        <v>9</v>
      </c>
      <c r="BK18" s="826" t="e">
        <f t="shared" si="0"/>
        <v>#VALUE!</v>
      </c>
      <c r="BL18" s="826" t="e">
        <f t="shared" si="1"/>
        <v>#VALUE!</v>
      </c>
      <c r="BM18" s="825" t="e">
        <f>BM10</f>
        <v>#VALUE!</v>
      </c>
      <c r="BN18" s="826"/>
      <c r="BO18" s="826" t="e">
        <f t="shared" si="2"/>
        <v>#VALUE!</v>
      </c>
      <c r="BP18" s="826" t="e">
        <f t="shared" si="3"/>
        <v>#VALUE!</v>
      </c>
      <c r="BQ18" s="825" t="e">
        <f>BQ10</f>
        <v>#VALUE!</v>
      </c>
      <c r="BR18" s="826"/>
      <c r="BS18" s="826"/>
      <c r="BT18" s="826"/>
      <c r="BU18" s="825"/>
      <c r="BV18" s="817"/>
    </row>
    <row r="19" spans="1:75" ht="20.100000000000001" customHeight="1">
      <c r="A19" s="815"/>
      <c r="B19" s="451"/>
      <c r="C19" s="193" t="s">
        <v>843</v>
      </c>
      <c r="F19" s="193" t="s">
        <v>27</v>
      </c>
      <c r="G19" s="4428" t="str">
        <f>Details!B14</f>
        <v>silty CLAY with sand</v>
      </c>
      <c r="H19" s="4428"/>
      <c r="I19" s="4428"/>
      <c r="J19" s="4428"/>
      <c r="K19" s="4428"/>
      <c r="S19" s="452"/>
      <c r="T19" s="815"/>
      <c r="U19" s="1299"/>
      <c r="V19" s="1350"/>
      <c r="W19" s="1350"/>
      <c r="Y19" s="873" t="e">
        <f t="shared" si="6"/>
        <v>#VALUE!</v>
      </c>
      <c r="Z19" s="839"/>
      <c r="AA19" s="1354">
        <f>IF(AG19&lt;&gt;"",AA18+50,"")</f>
        <v>50</v>
      </c>
      <c r="AB19" s="1351"/>
      <c r="AC19" s="870"/>
      <c r="AD19" s="853">
        <f>IF(AG19&lt;&gt;"",AA19/100,"")</f>
        <v>0.5</v>
      </c>
      <c r="AE19" s="1296">
        <f t="shared" ref="AE19:AE42" si="7">IF(AG19&lt;&gt;"",(AD19/$AD$8)*100,"")</f>
        <v>0.6578947368421052</v>
      </c>
      <c r="AF19" s="1297"/>
      <c r="AG19" s="1352" t="str" cm="1">
        <f t="array" ref="AG19">_xlfn._xlws.FILTER(V11:V34, V11:V34&lt;&gt;"")</f>
        <v>&lt;&gt;</v>
      </c>
      <c r="AH19" s="1184"/>
      <c r="AI19" s="853" t="e">
        <f t="shared" ref="AI19:AI42" si="8">IF(AG19&lt;&gt;"",$AM$10*AG19/100,"")</f>
        <v>#VALUE!</v>
      </c>
      <c r="AJ19" s="1297">
        <f t="shared" ref="AJ19:AJ42" si="9">IF(AE19&lt;&gt;"",$AJ$18/(1-(AE19/100)),"")</f>
        <v>1141.6256429654245</v>
      </c>
      <c r="AK19" s="878"/>
      <c r="AL19" s="881" t="e">
        <f>IF(OR(AI19="",AJ19=""),"",AI19/AJ19*10000)</f>
        <v>#VALUE!</v>
      </c>
      <c r="AM19" s="876"/>
      <c r="AN19" s="839"/>
      <c r="AO19" s="839"/>
      <c r="AP19" s="839"/>
      <c r="AQ19" s="839"/>
      <c r="AR19" s="839"/>
      <c r="AS19" s="875"/>
      <c r="AT19" s="875"/>
      <c r="AU19" s="875"/>
      <c r="AV19" s="875"/>
      <c r="AW19" s="193"/>
      <c r="AX19" s="858"/>
      <c r="AY19" s="859"/>
      <c r="AZ19" s="858"/>
      <c r="BA19" s="859"/>
      <c r="BC19" s="817"/>
      <c r="BD19" s="817"/>
      <c r="BE19" s="817"/>
      <c r="BF19" s="817"/>
      <c r="BG19" s="825"/>
      <c r="BH19" s="817"/>
      <c r="BI19" s="817"/>
      <c r="BJ19" s="825">
        <v>9.25</v>
      </c>
      <c r="BK19" s="826" t="e">
        <f t="shared" si="0"/>
        <v>#VALUE!</v>
      </c>
      <c r="BL19" s="826" t="e">
        <f t="shared" si="1"/>
        <v>#VALUE!</v>
      </c>
      <c r="BM19" s="825" t="e">
        <f>BM9</f>
        <v>#VALUE!</v>
      </c>
      <c r="BN19" s="826"/>
      <c r="BO19" s="826" t="e">
        <f t="shared" si="2"/>
        <v>#VALUE!</v>
      </c>
      <c r="BP19" s="826" t="e">
        <f t="shared" si="3"/>
        <v>#VALUE!</v>
      </c>
      <c r="BQ19" s="825" t="e">
        <f>BQ9</f>
        <v>#VALUE!</v>
      </c>
      <c r="BR19" s="826"/>
      <c r="BS19" s="826"/>
      <c r="BT19" s="826"/>
      <c r="BU19" s="825"/>
      <c r="BV19" s="817"/>
    </row>
    <row r="20" spans="1:75" s="855" customFormat="1" ht="20.100000000000001" customHeight="1">
      <c r="A20" s="390"/>
      <c r="B20" s="451"/>
      <c r="C20" s="193" t="s">
        <v>603</v>
      </c>
      <c r="D20" s="193"/>
      <c r="E20" s="193"/>
      <c r="F20" s="193" t="s">
        <v>27</v>
      </c>
      <c r="G20" s="4428" t="str">
        <f>Details!B15</f>
        <v>Abu-abu / Gray</v>
      </c>
      <c r="H20" s="4428"/>
      <c r="I20" s="4428"/>
      <c r="J20" s="4428"/>
      <c r="K20" s="4428"/>
      <c r="L20" s="193"/>
      <c r="M20" s="193"/>
      <c r="N20" s="193"/>
      <c r="O20" s="193"/>
      <c r="P20" s="193"/>
      <c r="Q20" s="193"/>
      <c r="R20" s="193"/>
      <c r="S20" s="452"/>
      <c r="T20" s="815"/>
      <c r="U20" s="1276"/>
      <c r="V20" s="1350"/>
      <c r="W20" s="1350"/>
      <c r="X20" s="681"/>
      <c r="Y20" s="873" t="str">
        <f t="shared" si="6"/>
        <v/>
      </c>
      <c r="AA20" s="1354" t="str">
        <f t="shared" ref="AA20:AA42" si="10">IF(AG20&lt;&gt;"",AA19+50,"")</f>
        <v/>
      </c>
      <c r="AB20" s="1351"/>
      <c r="AC20" s="870"/>
      <c r="AD20" s="853" t="str">
        <f t="shared" ref="AD20:AD42" si="11">IF(AG20&lt;&gt;"",AA20/100,"")</f>
        <v/>
      </c>
      <c r="AE20" s="1296" t="str">
        <f t="shared" si="7"/>
        <v/>
      </c>
      <c r="AF20" s="1297"/>
      <c r="AG20" s="1352"/>
      <c r="AH20" s="1184"/>
      <c r="AI20" s="853" t="str">
        <f t="shared" si="8"/>
        <v/>
      </c>
      <c r="AJ20" s="1297" t="str">
        <f t="shared" si="9"/>
        <v/>
      </c>
      <c r="AK20" s="878"/>
      <c r="AL20" s="881" t="str">
        <f t="shared" ref="AL20:AL42" si="12">IF(OR(AI20="",AJ20=""),"",AI20/AJ20*10000)</f>
        <v/>
      </c>
      <c r="AM20" s="876"/>
      <c r="AX20" s="1314"/>
      <c r="AY20" s="859"/>
      <c r="AZ20" s="1314"/>
      <c r="BA20" s="859"/>
      <c r="BC20" s="1315"/>
      <c r="BD20" s="1315"/>
      <c r="BE20" s="1315"/>
      <c r="BF20" s="1315"/>
      <c r="BG20" s="1316"/>
      <c r="BH20" s="1315"/>
      <c r="BI20" s="1315"/>
      <c r="BJ20" s="1316">
        <v>9.5</v>
      </c>
      <c r="BK20" s="1317" t="e">
        <f t="shared" si="0"/>
        <v>#VALUE!</v>
      </c>
      <c r="BL20" s="1317" t="e">
        <f t="shared" si="1"/>
        <v>#VALUE!</v>
      </c>
      <c r="BM20" s="1316" t="e">
        <f>BM8</f>
        <v>#VALUE!</v>
      </c>
      <c r="BN20" s="1317"/>
      <c r="BO20" s="1317" t="e">
        <f t="shared" si="2"/>
        <v>#VALUE!</v>
      </c>
      <c r="BP20" s="1317" t="e">
        <f t="shared" si="3"/>
        <v>#VALUE!</v>
      </c>
      <c r="BQ20" s="1316" t="e">
        <f>BQ8</f>
        <v>#VALUE!</v>
      </c>
      <c r="BR20" s="1317"/>
      <c r="BS20" s="1317"/>
      <c r="BT20" s="1317"/>
      <c r="BU20" s="1316"/>
      <c r="BV20" s="1315"/>
    </row>
    <row r="21" spans="1:75" ht="20.100000000000001" customHeight="1">
      <c r="A21" s="815"/>
      <c r="B21" s="451"/>
      <c r="C21" s="193" t="s">
        <v>844</v>
      </c>
      <c r="E21" s="1313"/>
      <c r="F21" s="1313" t="s">
        <v>27</v>
      </c>
      <c r="G21" s="4428" t="str">
        <f>Details!B16</f>
        <v>Undisturbed Sample / UDS</v>
      </c>
      <c r="H21" s="4428"/>
      <c r="I21" s="4428"/>
      <c r="J21" s="4428"/>
      <c r="K21" s="4428"/>
      <c r="S21" s="452"/>
      <c r="T21" s="390"/>
      <c r="U21" s="1300"/>
      <c r="V21" s="1350"/>
      <c r="W21" s="1350"/>
      <c r="Y21" s="873" t="str">
        <f t="shared" si="6"/>
        <v/>
      </c>
      <c r="Z21" s="860"/>
      <c r="AA21" s="1354" t="str">
        <f t="shared" si="10"/>
        <v/>
      </c>
      <c r="AB21" s="1351"/>
      <c r="AC21" s="870"/>
      <c r="AD21" s="853" t="str">
        <f t="shared" si="11"/>
        <v/>
      </c>
      <c r="AE21" s="1296" t="str">
        <f t="shared" si="7"/>
        <v/>
      </c>
      <c r="AF21" s="1297"/>
      <c r="AG21" s="1352"/>
      <c r="AH21" s="1184"/>
      <c r="AI21" s="853" t="str">
        <f t="shared" si="8"/>
        <v/>
      </c>
      <c r="AJ21" s="1297" t="str">
        <f t="shared" si="9"/>
        <v/>
      </c>
      <c r="AK21" s="878"/>
      <c r="AL21" s="881" t="str">
        <f t="shared" si="12"/>
        <v/>
      </c>
      <c r="AM21" s="876"/>
      <c r="AN21" s="860"/>
      <c r="AO21" s="860"/>
      <c r="AP21" s="860"/>
      <c r="AQ21" s="860"/>
      <c r="AR21" s="860"/>
      <c r="AS21" s="860"/>
      <c r="AT21" s="860"/>
      <c r="AU21" s="860"/>
      <c r="AV21" s="860"/>
      <c r="AW21" s="193"/>
      <c r="AX21" s="858"/>
      <c r="AY21" s="859"/>
      <c r="AZ21" s="858"/>
      <c r="BA21" s="859"/>
      <c r="BC21" s="817"/>
      <c r="BD21" s="817"/>
      <c r="BE21" s="817"/>
      <c r="BF21" s="817"/>
      <c r="BG21" s="817"/>
      <c r="BH21" s="817"/>
      <c r="BI21" s="817"/>
      <c r="BJ21" s="825">
        <v>9.75</v>
      </c>
      <c r="BK21" s="826" t="e">
        <f t="shared" si="0"/>
        <v>#VALUE!</v>
      </c>
      <c r="BL21" s="826" t="e">
        <f t="shared" si="1"/>
        <v>#VALUE!</v>
      </c>
      <c r="BM21" s="825" t="e">
        <f>BM7</f>
        <v>#VALUE!</v>
      </c>
      <c r="BN21" s="826"/>
      <c r="BO21" s="826" t="e">
        <f t="shared" si="2"/>
        <v>#VALUE!</v>
      </c>
      <c r="BP21" s="826" t="e">
        <f t="shared" si="3"/>
        <v>#VALUE!</v>
      </c>
      <c r="BQ21" s="825" t="e">
        <f>BQ7</f>
        <v>#VALUE!</v>
      </c>
      <c r="BR21" s="826"/>
      <c r="BS21" s="826"/>
      <c r="BT21" s="826"/>
      <c r="BU21" s="825"/>
      <c r="BV21" s="817"/>
    </row>
    <row r="22" spans="1:75" ht="20.100000000000001" customHeight="1">
      <c r="A22" s="815"/>
      <c r="B22" s="389"/>
      <c r="C22" s="1442" t="str">
        <f>Details!C15</f>
        <v>Disclaimer :</v>
      </c>
      <c r="D22" s="1443" t="str">
        <f>Details!C16</f>
        <v>The samples were received as Undisturbed Sample / UDS and the validity of the sampling process was not verified by the laboratory.</v>
      </c>
      <c r="E22" s="1319"/>
      <c r="F22" s="1319"/>
      <c r="G22" s="1319"/>
      <c r="H22" s="1319"/>
      <c r="I22" s="1319"/>
      <c r="J22" s="1319"/>
      <c r="K22" s="1319"/>
      <c r="L22" s="832"/>
      <c r="M22" s="832"/>
      <c r="N22" s="832"/>
      <c r="O22" s="832"/>
      <c r="P22" s="832"/>
      <c r="Q22" s="832"/>
      <c r="R22" s="832"/>
      <c r="S22" s="1318"/>
      <c r="T22" s="815"/>
      <c r="V22" s="1350"/>
      <c r="W22" s="1350"/>
      <c r="Y22" s="873" t="str">
        <f t="shared" si="6"/>
        <v/>
      </c>
      <c r="AA22" s="1354" t="str">
        <f>IF(AG22&lt;&gt;"",AA21+50,"")</f>
        <v/>
      </c>
      <c r="AB22" s="1351"/>
      <c r="AC22" s="870"/>
      <c r="AD22" s="853" t="str">
        <f t="shared" si="11"/>
        <v/>
      </c>
      <c r="AE22" s="1296" t="str">
        <f t="shared" si="7"/>
        <v/>
      </c>
      <c r="AF22" s="1297"/>
      <c r="AG22" s="1352"/>
      <c r="AH22" s="1184"/>
      <c r="AI22" s="853" t="str">
        <f t="shared" si="8"/>
        <v/>
      </c>
      <c r="AJ22" s="1297" t="str">
        <f t="shared" si="9"/>
        <v/>
      </c>
      <c r="AK22" s="878"/>
      <c r="AL22" s="881" t="str">
        <f t="shared" si="12"/>
        <v/>
      </c>
      <c r="AM22" s="876"/>
      <c r="AW22" s="193"/>
      <c r="AX22" s="858"/>
      <c r="AY22" s="859"/>
      <c r="AZ22" s="858"/>
      <c r="BA22" s="859"/>
      <c r="BC22" s="817"/>
      <c r="BD22" s="817"/>
      <c r="BE22" s="817"/>
      <c r="BF22" s="817"/>
      <c r="BG22" s="825"/>
      <c r="BH22" s="825"/>
      <c r="BI22" s="817"/>
      <c r="BJ22" s="825">
        <v>9.85</v>
      </c>
      <c r="BK22" s="826" t="e">
        <f t="shared" si="0"/>
        <v>#VALUE!</v>
      </c>
      <c r="BL22" s="826" t="e">
        <f t="shared" si="1"/>
        <v>#VALUE!</v>
      </c>
      <c r="BM22" s="825" t="e">
        <f>BM6</f>
        <v>#VALUE!</v>
      </c>
      <c r="BN22" s="826"/>
      <c r="BO22" s="826" t="e">
        <f t="shared" si="2"/>
        <v>#VALUE!</v>
      </c>
      <c r="BP22" s="826" t="e">
        <f t="shared" si="3"/>
        <v>#VALUE!</v>
      </c>
      <c r="BQ22" s="825" t="e">
        <f>BQ6</f>
        <v>#VALUE!</v>
      </c>
      <c r="BR22" s="826"/>
      <c r="BS22" s="826"/>
      <c r="BT22" s="826"/>
      <c r="BU22" s="825"/>
      <c r="BV22" s="817"/>
    </row>
    <row r="23" spans="1:75" ht="20.100000000000001" customHeight="1">
      <c r="A23" s="815"/>
      <c r="B23" s="451"/>
      <c r="C23" s="1312" t="s">
        <v>588</v>
      </c>
      <c r="K23" s="1324"/>
      <c r="L23" s="5" t="s">
        <v>619</v>
      </c>
      <c r="M23" s="832"/>
      <c r="N23" s="832"/>
      <c r="O23" s="832"/>
      <c r="P23" s="832"/>
      <c r="Q23" s="832"/>
      <c r="R23" s="832"/>
      <c r="S23" s="452"/>
      <c r="T23" s="815"/>
      <c r="U23" s="1301"/>
      <c r="V23" s="1350"/>
      <c r="W23" s="1350"/>
      <c r="Y23" s="873" t="str">
        <f t="shared" si="6"/>
        <v/>
      </c>
      <c r="Z23" s="873"/>
      <c r="AA23" s="1354" t="str">
        <f t="shared" si="10"/>
        <v/>
      </c>
      <c r="AB23" s="1351"/>
      <c r="AC23" s="870"/>
      <c r="AD23" s="853" t="str">
        <f t="shared" si="11"/>
        <v/>
      </c>
      <c r="AE23" s="1296" t="str">
        <f t="shared" si="7"/>
        <v/>
      </c>
      <c r="AF23" s="1297"/>
      <c r="AG23" s="1352"/>
      <c r="AH23" s="1184"/>
      <c r="AI23" s="853" t="str">
        <f t="shared" si="8"/>
        <v/>
      </c>
      <c r="AJ23" s="1297" t="str">
        <f t="shared" si="9"/>
        <v/>
      </c>
      <c r="AK23" s="878"/>
      <c r="AL23" s="881" t="str">
        <f t="shared" si="12"/>
        <v/>
      </c>
      <c r="AM23" s="876"/>
      <c r="AN23" s="873"/>
      <c r="AO23" s="873"/>
      <c r="AP23" s="873"/>
      <c r="AQ23" s="873"/>
      <c r="AR23" s="873"/>
      <c r="AS23" s="316"/>
      <c r="AT23" s="316"/>
      <c r="AU23" s="316"/>
      <c r="AV23" s="316"/>
      <c r="AW23" s="193"/>
      <c r="AX23" s="858"/>
      <c r="AY23" s="859"/>
      <c r="AZ23" s="858"/>
      <c r="BA23" s="859"/>
      <c r="BC23" s="817"/>
      <c r="BD23" s="817"/>
      <c r="BE23" s="817"/>
      <c r="BF23" s="817"/>
      <c r="BG23" s="825"/>
      <c r="BH23" s="825"/>
      <c r="BI23" s="817"/>
      <c r="BJ23" s="825">
        <v>9.9</v>
      </c>
      <c r="BK23" s="826" t="e">
        <f t="shared" si="0"/>
        <v>#VALUE!</v>
      </c>
      <c r="BL23" s="826" t="e">
        <f t="shared" si="1"/>
        <v>#VALUE!</v>
      </c>
      <c r="BM23" s="825" t="e">
        <f>BM5</f>
        <v>#VALUE!</v>
      </c>
      <c r="BN23" s="826"/>
      <c r="BO23" s="826" t="e">
        <f t="shared" si="2"/>
        <v>#VALUE!</v>
      </c>
      <c r="BP23" s="826" t="e">
        <f t="shared" si="3"/>
        <v>#VALUE!</v>
      </c>
      <c r="BQ23" s="825" t="e">
        <f>BQ5</f>
        <v>#VALUE!</v>
      </c>
      <c r="BR23" s="826"/>
      <c r="BS23" s="826"/>
      <c r="BT23" s="826"/>
      <c r="BU23" s="825"/>
      <c r="BV23" s="817"/>
    </row>
    <row r="24" spans="1:75" ht="20.100000000000001" customHeight="1">
      <c r="A24" s="815"/>
      <c r="B24" s="451"/>
      <c r="C24" s="4414" t="s">
        <v>589</v>
      </c>
      <c r="D24" s="4415"/>
      <c r="E24" s="4416"/>
      <c r="F24" s="4423" t="s">
        <v>590</v>
      </c>
      <c r="G24" s="4424"/>
      <c r="H24" s="4425"/>
      <c r="K24" s="832"/>
      <c r="L24" s="903" t="s">
        <v>581</v>
      </c>
      <c r="M24" s="904"/>
      <c r="N24" s="1320" t="s">
        <v>569</v>
      </c>
      <c r="O24" s="1321"/>
      <c r="P24" s="905" t="s">
        <v>570</v>
      </c>
      <c r="Q24" s="906"/>
      <c r="R24" s="907" t="s">
        <v>614</v>
      </c>
      <c r="S24" s="452"/>
      <c r="T24" s="815"/>
      <c r="V24" s="1350"/>
      <c r="W24" s="1350"/>
      <c r="Y24" s="873" t="str">
        <f t="shared" si="6"/>
        <v/>
      </c>
      <c r="AA24" s="1354" t="str">
        <f t="shared" si="10"/>
        <v/>
      </c>
      <c r="AB24" s="1351"/>
      <c r="AC24" s="870"/>
      <c r="AD24" s="853" t="str">
        <f t="shared" si="11"/>
        <v/>
      </c>
      <c r="AE24" s="1296" t="str">
        <f t="shared" si="7"/>
        <v/>
      </c>
      <c r="AF24" s="1297"/>
      <c r="AG24" s="1352"/>
      <c r="AH24" s="1184"/>
      <c r="AI24" s="853" t="str">
        <f t="shared" si="8"/>
        <v/>
      </c>
      <c r="AJ24" s="1297" t="str">
        <f t="shared" si="9"/>
        <v/>
      </c>
      <c r="AK24" s="878"/>
      <c r="AL24" s="881" t="str">
        <f t="shared" si="12"/>
        <v/>
      </c>
      <c r="AM24" s="876"/>
      <c r="AW24" s="193"/>
      <c r="AX24" s="858"/>
      <c r="AY24" s="859"/>
      <c r="AZ24" s="858"/>
      <c r="BA24" s="859"/>
      <c r="BC24" s="817"/>
      <c r="BD24" s="817"/>
      <c r="BE24" s="817"/>
      <c r="BF24" s="817"/>
      <c r="BG24" s="825"/>
      <c r="BH24" s="825"/>
      <c r="BI24" s="817"/>
      <c r="BJ24" s="825">
        <v>9.98</v>
      </c>
      <c r="BK24" s="826" t="e">
        <f t="shared" si="0"/>
        <v>#VALUE!</v>
      </c>
      <c r="BL24" s="826" t="e">
        <f t="shared" si="1"/>
        <v>#VALUE!</v>
      </c>
      <c r="BM24" s="825" t="e">
        <f>BM4</f>
        <v>#VALUE!</v>
      </c>
      <c r="BN24" s="826"/>
      <c r="BO24" s="826" t="e">
        <f t="shared" si="2"/>
        <v>#VALUE!</v>
      </c>
      <c r="BP24" s="826" t="e">
        <f t="shared" si="3"/>
        <v>#VALUE!</v>
      </c>
      <c r="BQ24" s="825" t="e">
        <f>BQ4</f>
        <v>#VALUE!</v>
      </c>
      <c r="BR24" s="826"/>
      <c r="BS24" s="826"/>
      <c r="BT24" s="826"/>
      <c r="BU24" s="825"/>
      <c r="BV24" s="817"/>
    </row>
    <row r="25" spans="1:75" ht="20.100000000000001" customHeight="1">
      <c r="A25" s="815"/>
      <c r="B25" s="451"/>
      <c r="C25" s="4417"/>
      <c r="D25" s="4418"/>
      <c r="E25" s="4419"/>
      <c r="F25" s="4410" t="s">
        <v>1339</v>
      </c>
      <c r="G25" s="4411"/>
      <c r="H25" s="4408" t="s">
        <v>604</v>
      </c>
      <c r="J25" s="832"/>
      <c r="K25" s="832"/>
      <c r="L25" s="829" t="s">
        <v>12</v>
      </c>
      <c r="M25" s="830"/>
      <c r="N25" s="829"/>
      <c r="O25" s="2882">
        <f>AD6</f>
        <v>38</v>
      </c>
      <c r="P25" s="2883">
        <f t="shared" ref="P25:P30" si="13">AD47</f>
        <v>38</v>
      </c>
      <c r="Q25" s="2884"/>
      <c r="R25" s="908" t="s">
        <v>2</v>
      </c>
      <c r="S25" s="452"/>
      <c r="T25" s="815"/>
      <c r="U25" s="1295"/>
      <c r="V25" s="1350"/>
      <c r="W25" s="1350"/>
      <c r="Y25" s="873" t="str">
        <f t="shared" si="6"/>
        <v/>
      </c>
      <c r="AA25" s="1354" t="str">
        <f>IF(AG25&lt;&gt;"",AA24+50,"")</f>
        <v/>
      </c>
      <c r="AB25" s="1351"/>
      <c r="AC25" s="870"/>
      <c r="AD25" s="853" t="str">
        <f t="shared" si="11"/>
        <v/>
      </c>
      <c r="AE25" s="1296" t="str">
        <f t="shared" si="7"/>
        <v/>
      </c>
      <c r="AF25" s="1297"/>
      <c r="AG25" s="1352"/>
      <c r="AH25" s="1184"/>
      <c r="AI25" s="853" t="str">
        <f t="shared" si="8"/>
        <v/>
      </c>
      <c r="AJ25" s="1297" t="str">
        <f t="shared" si="9"/>
        <v/>
      </c>
      <c r="AK25" s="878"/>
      <c r="AL25" s="881" t="str">
        <f t="shared" si="12"/>
        <v/>
      </c>
      <c r="AM25" s="876"/>
      <c r="AS25" s="855"/>
      <c r="AT25" s="855"/>
      <c r="AU25" s="855"/>
      <c r="AV25" s="855"/>
      <c r="AW25" s="193"/>
      <c r="AX25" s="858"/>
      <c r="AY25" s="859"/>
      <c r="AZ25" s="858"/>
      <c r="BA25" s="859"/>
      <c r="BC25" s="817"/>
      <c r="BD25" s="817"/>
      <c r="BE25" s="817"/>
      <c r="BF25" s="817"/>
      <c r="BG25" s="825"/>
      <c r="BH25" s="825"/>
      <c r="BI25" s="817"/>
      <c r="BJ25" s="825">
        <v>10</v>
      </c>
      <c r="BK25" s="826" t="e">
        <f t="shared" si="0"/>
        <v>#VALUE!</v>
      </c>
      <c r="BL25" s="826" t="e">
        <f t="shared" si="1"/>
        <v>#VALUE!</v>
      </c>
      <c r="BM25" s="825">
        <f>BM3</f>
        <v>0</v>
      </c>
      <c r="BN25" s="826"/>
      <c r="BO25" s="826" t="e">
        <f t="shared" si="2"/>
        <v>#VALUE!</v>
      </c>
      <c r="BP25" s="826" t="e">
        <f t="shared" si="3"/>
        <v>#VALUE!</v>
      </c>
      <c r="BQ25" s="825">
        <f>BQ3</f>
        <v>0</v>
      </c>
      <c r="BR25" s="826"/>
      <c r="BS25" s="826"/>
      <c r="BT25" s="826"/>
      <c r="BU25" s="825"/>
      <c r="BV25" s="817"/>
    </row>
    <row r="26" spans="1:75" ht="20.100000000000001" customHeight="1">
      <c r="A26" s="815"/>
      <c r="B26" s="451"/>
      <c r="C26" s="4420"/>
      <c r="D26" s="4421"/>
      <c r="E26" s="4422"/>
      <c r="F26" s="4412"/>
      <c r="G26" s="4413"/>
      <c r="H26" s="4409"/>
      <c r="L26" s="829" t="s">
        <v>167</v>
      </c>
      <c r="M26" s="830"/>
      <c r="N26" s="829"/>
      <c r="O26" s="2885">
        <f>AD7</f>
        <v>1134.1149479459152</v>
      </c>
      <c r="P26" s="2883">
        <f t="shared" si="13"/>
        <v>1134.1149479459152</v>
      </c>
      <c r="Q26" s="2884"/>
      <c r="R26" s="908" t="s">
        <v>622</v>
      </c>
      <c r="S26" s="452"/>
      <c r="T26" s="815"/>
      <c r="U26" s="1302"/>
      <c r="V26" s="1350"/>
      <c r="W26" s="1350"/>
      <c r="Y26" s="873" t="str">
        <f t="shared" si="6"/>
        <v/>
      </c>
      <c r="Z26" s="1185"/>
      <c r="AA26" s="1354" t="str">
        <f t="shared" si="10"/>
        <v/>
      </c>
      <c r="AB26" s="1351"/>
      <c r="AC26" s="870"/>
      <c r="AD26" s="853" t="str">
        <f t="shared" si="11"/>
        <v/>
      </c>
      <c r="AE26" s="1296" t="str">
        <f t="shared" si="7"/>
        <v/>
      </c>
      <c r="AF26" s="1297"/>
      <c r="AG26" s="1352"/>
      <c r="AH26" s="1184"/>
      <c r="AI26" s="853" t="str">
        <f t="shared" si="8"/>
        <v/>
      </c>
      <c r="AJ26" s="1297" t="str">
        <f t="shared" si="9"/>
        <v/>
      </c>
      <c r="AK26" s="878"/>
      <c r="AL26" s="881" t="str">
        <f t="shared" si="12"/>
        <v/>
      </c>
      <c r="AM26" s="876"/>
      <c r="AN26" s="1185"/>
      <c r="AO26" s="1185"/>
      <c r="AP26" s="1185"/>
      <c r="AQ26" s="1185"/>
      <c r="AR26" s="1185"/>
      <c r="AS26" s="877"/>
      <c r="AT26" s="877"/>
      <c r="AU26" s="877"/>
      <c r="AV26" s="877"/>
      <c r="AW26" s="193"/>
      <c r="AX26" s="858"/>
      <c r="AY26" s="859"/>
      <c r="AZ26" s="858"/>
      <c r="BA26" s="859"/>
      <c r="BC26" s="817"/>
      <c r="BD26" s="817"/>
      <c r="BE26" s="817"/>
      <c r="BF26" s="817"/>
      <c r="BG26" s="825"/>
      <c r="BH26" s="825"/>
      <c r="BI26" s="817"/>
      <c r="BJ26" s="817"/>
      <c r="BK26" s="817"/>
      <c r="BL26" s="817"/>
      <c r="BM26" s="817"/>
      <c r="BN26" s="817"/>
      <c r="BO26" s="817"/>
      <c r="BP26" s="817"/>
      <c r="BQ26" s="817"/>
      <c r="BR26" s="817"/>
      <c r="BS26" s="817"/>
      <c r="BT26" s="817"/>
      <c r="BU26" s="817"/>
      <c r="BV26" s="817"/>
    </row>
    <row r="27" spans="1:75" ht="20.100000000000001" customHeight="1">
      <c r="A27" s="815"/>
      <c r="B27" s="451"/>
      <c r="C27" s="900" t="s">
        <v>591</v>
      </c>
      <c r="D27" s="901"/>
      <c r="E27" s="902"/>
      <c r="F27" s="829"/>
      <c r="G27" s="1282" t="e">
        <f>AP34</f>
        <v>#VALUE!</v>
      </c>
      <c r="H27" s="1292" t="e">
        <f>VLOOKUP(G27,Y15:AJ42,7,FALSE)</f>
        <v>#VALUE!</v>
      </c>
      <c r="L27" s="829" t="s">
        <v>285</v>
      </c>
      <c r="M27" s="830"/>
      <c r="N27" s="829"/>
      <c r="O27" s="2885">
        <f>AD8</f>
        <v>76</v>
      </c>
      <c r="P27" s="2883">
        <f t="shared" si="13"/>
        <v>76</v>
      </c>
      <c r="Q27" s="2884"/>
      <c r="R27" s="908" t="s">
        <v>623</v>
      </c>
      <c r="S27" s="452"/>
      <c r="T27" s="815"/>
      <c r="U27" s="1302"/>
      <c r="V27" s="1350"/>
      <c r="W27" s="1350"/>
      <c r="Y27" s="873" t="str">
        <f t="shared" si="6"/>
        <v/>
      </c>
      <c r="Z27" s="1185"/>
      <c r="AA27" s="1354" t="str">
        <f t="shared" si="10"/>
        <v/>
      </c>
      <c r="AB27" s="1351"/>
      <c r="AC27" s="870"/>
      <c r="AD27" s="853" t="str">
        <f t="shared" si="11"/>
        <v/>
      </c>
      <c r="AE27" s="1296" t="str">
        <f t="shared" si="7"/>
        <v/>
      </c>
      <c r="AF27" s="1297"/>
      <c r="AG27" s="1352"/>
      <c r="AH27" s="1184"/>
      <c r="AI27" s="853" t="str">
        <f t="shared" si="8"/>
        <v/>
      </c>
      <c r="AJ27" s="1297" t="str">
        <f t="shared" si="9"/>
        <v/>
      </c>
      <c r="AK27" s="878"/>
      <c r="AL27" s="881" t="str">
        <f t="shared" si="12"/>
        <v/>
      </c>
      <c r="AM27" s="876"/>
      <c r="AN27" s="1185"/>
      <c r="AO27" s="1185"/>
      <c r="AP27" s="1185"/>
      <c r="AQ27" s="1185"/>
      <c r="AR27" s="1185"/>
      <c r="AS27" s="877"/>
      <c r="AT27" s="877"/>
      <c r="AU27" s="877"/>
      <c r="AV27" s="877"/>
      <c r="AW27" s="193"/>
      <c r="AX27" s="858"/>
      <c r="AY27" s="859"/>
      <c r="AZ27" s="858"/>
      <c r="BA27" s="859"/>
      <c r="BC27" s="817"/>
      <c r="BD27" s="817"/>
      <c r="BE27" s="817"/>
      <c r="BF27" s="817"/>
      <c r="BG27" s="825"/>
      <c r="BH27" s="825"/>
      <c r="BI27" s="817"/>
      <c r="BJ27" s="817"/>
      <c r="BK27" s="817"/>
      <c r="BL27" s="817"/>
      <c r="BM27" s="817"/>
      <c r="BN27" s="817"/>
      <c r="BO27" s="817"/>
      <c r="BP27" s="817"/>
      <c r="BQ27" s="817"/>
      <c r="BR27" s="817"/>
      <c r="BS27" s="817"/>
      <c r="BT27" s="817"/>
      <c r="BU27" s="817"/>
      <c r="BV27" s="817"/>
    </row>
    <row r="28" spans="1:75" ht="20.100000000000001" customHeight="1">
      <c r="A28" s="815"/>
      <c r="B28" s="451"/>
      <c r="C28" s="900" t="s">
        <v>534</v>
      </c>
      <c r="D28" s="901"/>
      <c r="E28" s="901"/>
      <c r="F28" s="833"/>
      <c r="G28" s="1111" t="e">
        <f>AP37</f>
        <v>#VALUE!</v>
      </c>
      <c r="H28" s="891" t="e">
        <f>VLOOKUP(G28,Y56:AM83,7,FALSE)</f>
        <v>#VALUE!</v>
      </c>
      <c r="L28" s="829" t="s">
        <v>287</v>
      </c>
      <c r="M28" s="830"/>
      <c r="N28" s="829"/>
      <c r="O28" s="2885">
        <f>AD10</f>
        <v>86.192736043889553</v>
      </c>
      <c r="P28" s="2883">
        <f t="shared" si="13"/>
        <v>86.192736043889553</v>
      </c>
      <c r="Q28" s="2884"/>
      <c r="R28" s="908" t="s">
        <v>615</v>
      </c>
      <c r="S28" s="452"/>
      <c r="T28" s="815"/>
      <c r="U28" s="1302"/>
      <c r="V28" s="1350"/>
      <c r="W28" s="1350"/>
      <c r="Y28" s="873" t="str">
        <f t="shared" si="6"/>
        <v/>
      </c>
      <c r="Z28" s="1185"/>
      <c r="AA28" s="1354" t="str">
        <f t="shared" si="10"/>
        <v/>
      </c>
      <c r="AB28" s="1351"/>
      <c r="AC28" s="870"/>
      <c r="AD28" s="853" t="str">
        <f t="shared" si="11"/>
        <v/>
      </c>
      <c r="AE28" s="1296" t="str">
        <f t="shared" si="7"/>
        <v/>
      </c>
      <c r="AF28" s="1297"/>
      <c r="AG28" s="1352"/>
      <c r="AH28" s="1184"/>
      <c r="AI28" s="853" t="str">
        <f t="shared" si="8"/>
        <v/>
      </c>
      <c r="AJ28" s="1297" t="str">
        <f t="shared" si="9"/>
        <v/>
      </c>
      <c r="AK28" s="878"/>
      <c r="AL28" s="881" t="str">
        <f t="shared" si="12"/>
        <v/>
      </c>
      <c r="AM28" s="876"/>
      <c r="AN28" s="1185"/>
      <c r="AO28" s="1185"/>
      <c r="AP28" s="1185"/>
      <c r="AQ28" s="1185"/>
      <c r="AR28" s="1185"/>
      <c r="AS28" s="877"/>
      <c r="AT28" s="877"/>
      <c r="AU28" s="877"/>
      <c r="AV28" s="877"/>
      <c r="AW28" s="193"/>
      <c r="AX28" s="858"/>
      <c r="AY28" s="859"/>
      <c r="AZ28" s="858"/>
      <c r="BA28" s="859"/>
      <c r="BC28" s="879"/>
      <c r="BD28" s="879"/>
      <c r="BE28" s="879"/>
      <c r="BF28" s="879"/>
      <c r="BG28" s="880"/>
      <c r="BH28" s="880"/>
      <c r="BI28" s="879"/>
      <c r="BJ28" s="879"/>
      <c r="BK28" s="879"/>
      <c r="BL28" s="879"/>
      <c r="BM28" s="879"/>
      <c r="BN28" s="879"/>
      <c r="BO28" s="879"/>
      <c r="BP28" s="879"/>
      <c r="BQ28" s="879"/>
      <c r="BR28" s="879"/>
      <c r="BS28" s="879"/>
      <c r="BT28" s="879"/>
      <c r="BU28" s="879"/>
      <c r="BV28" s="879"/>
      <c r="BW28" s="879"/>
    </row>
    <row r="29" spans="1:75" ht="20.100000000000001" customHeight="1">
      <c r="A29" s="815"/>
      <c r="B29" s="451"/>
      <c r="C29" s="829" t="s">
        <v>592</v>
      </c>
      <c r="D29" s="830"/>
      <c r="E29" s="830"/>
      <c r="F29" s="833"/>
      <c r="G29" s="874" t="e">
        <f>+G27/G28</f>
        <v>#VALUE!</v>
      </c>
      <c r="H29" s="1349"/>
      <c r="L29" s="829" t="s">
        <v>564</v>
      </c>
      <c r="M29" s="830"/>
      <c r="N29" s="829"/>
      <c r="O29" s="2885">
        <f>AD11</f>
        <v>0</v>
      </c>
      <c r="P29" s="2883">
        <f t="shared" si="13"/>
        <v>0</v>
      </c>
      <c r="Q29" s="2884"/>
      <c r="R29" s="908" t="s">
        <v>37</v>
      </c>
      <c r="S29" s="452"/>
      <c r="T29" s="815"/>
      <c r="U29" s="1302"/>
      <c r="V29" s="1350"/>
      <c r="W29" s="1350"/>
      <c r="Y29" s="860" t="str">
        <f t="shared" si="6"/>
        <v/>
      </c>
      <c r="Z29" s="1185"/>
      <c r="AA29" s="1354" t="str">
        <f t="shared" si="10"/>
        <v/>
      </c>
      <c r="AB29" s="1351"/>
      <c r="AC29" s="870"/>
      <c r="AD29" s="853" t="str">
        <f t="shared" si="11"/>
        <v/>
      </c>
      <c r="AE29" s="1296" t="str">
        <f t="shared" si="7"/>
        <v/>
      </c>
      <c r="AF29" s="1297"/>
      <c r="AG29" s="1352"/>
      <c r="AH29" s="1184"/>
      <c r="AI29" s="853" t="str">
        <f t="shared" si="8"/>
        <v/>
      </c>
      <c r="AJ29" s="1297" t="str">
        <f t="shared" si="9"/>
        <v/>
      </c>
      <c r="AK29" s="878"/>
      <c r="AL29" s="881" t="str">
        <f t="shared" si="12"/>
        <v/>
      </c>
      <c r="AM29" s="876"/>
      <c r="AN29" s="1185"/>
      <c r="AO29" s="1185"/>
      <c r="AP29" s="1185"/>
      <c r="AQ29" s="1185"/>
      <c r="AR29" s="1185"/>
      <c r="AS29" s="877"/>
      <c r="AT29" s="877"/>
      <c r="AU29" s="877"/>
      <c r="AV29" s="877"/>
      <c r="AW29" s="193"/>
      <c r="AX29" s="858"/>
      <c r="AY29" s="859"/>
      <c r="AZ29" s="858"/>
      <c r="BA29" s="859"/>
      <c r="BC29" s="879"/>
      <c r="BD29" s="879"/>
      <c r="BE29" s="879"/>
      <c r="BF29" s="879"/>
      <c r="BG29" s="880"/>
      <c r="BH29" s="880"/>
      <c r="BI29" s="879"/>
      <c r="BJ29" s="879"/>
      <c r="BK29" s="879"/>
      <c r="BL29" s="879"/>
      <c r="BM29" s="879"/>
      <c r="BN29" s="879"/>
      <c r="BO29" s="879"/>
      <c r="BP29" s="879"/>
      <c r="BQ29" s="879"/>
      <c r="BR29" s="879"/>
      <c r="BS29" s="879"/>
      <c r="BT29" s="879"/>
      <c r="BU29" s="879"/>
      <c r="BV29" s="879"/>
      <c r="BW29" s="879"/>
    </row>
    <row r="30" spans="1:75" ht="20.100000000000001" customHeight="1">
      <c r="A30" s="815"/>
      <c r="B30" s="451"/>
      <c r="L30" s="829" t="s">
        <v>565</v>
      </c>
      <c r="M30" s="830"/>
      <c r="N30" s="829"/>
      <c r="O30" s="2885">
        <f>AD12</f>
        <v>0</v>
      </c>
      <c r="P30" s="2883">
        <f t="shared" si="13"/>
        <v>0</v>
      </c>
      <c r="Q30" s="2884"/>
      <c r="R30" s="908" t="s">
        <v>616</v>
      </c>
      <c r="S30" s="452"/>
      <c r="T30" s="815"/>
      <c r="U30" s="1302"/>
      <c r="V30" s="1350"/>
      <c r="W30" s="1350"/>
      <c r="Y30" s="860" t="str">
        <f t="shared" si="6"/>
        <v/>
      </c>
      <c r="Z30" s="1185"/>
      <c r="AA30" s="1354" t="str">
        <f t="shared" si="10"/>
        <v/>
      </c>
      <c r="AB30" s="1351"/>
      <c r="AC30" s="870"/>
      <c r="AD30" s="853" t="str">
        <f t="shared" si="11"/>
        <v/>
      </c>
      <c r="AE30" s="1296" t="str">
        <f t="shared" si="7"/>
        <v/>
      </c>
      <c r="AF30" s="1297"/>
      <c r="AG30" s="1352"/>
      <c r="AH30" s="1184"/>
      <c r="AI30" s="853" t="str">
        <f t="shared" si="8"/>
        <v/>
      </c>
      <c r="AJ30" s="1297" t="str">
        <f t="shared" si="9"/>
        <v/>
      </c>
      <c r="AK30" s="878"/>
      <c r="AL30" s="881" t="str">
        <f t="shared" si="12"/>
        <v/>
      </c>
      <c r="AM30" s="876"/>
      <c r="AN30" s="1185"/>
      <c r="AO30" s="1185"/>
      <c r="AP30" s="1185"/>
      <c r="AQ30" s="1185"/>
      <c r="AR30" s="1185"/>
      <c r="AS30" s="877"/>
      <c r="AT30" s="877"/>
      <c r="AU30" s="877"/>
      <c r="AV30" s="877"/>
      <c r="AW30" s="193"/>
      <c r="AX30" s="858"/>
      <c r="AY30" s="859"/>
      <c r="AZ30" s="858"/>
      <c r="BA30" s="859"/>
      <c r="BC30" s="879"/>
      <c r="BD30" s="879"/>
      <c r="BE30" s="879"/>
      <c r="BF30" s="879"/>
      <c r="BG30" s="880"/>
      <c r="BH30" s="879"/>
      <c r="BI30" s="879"/>
      <c r="BJ30" s="879"/>
      <c r="BK30" s="879"/>
      <c r="BL30" s="879"/>
      <c r="BM30" s="879"/>
      <c r="BN30" s="879"/>
      <c r="BO30" s="879"/>
      <c r="BP30" s="879"/>
      <c r="BQ30" s="879"/>
      <c r="BR30" s="879"/>
      <c r="BS30" s="879"/>
      <c r="BT30" s="879"/>
      <c r="BU30" s="879"/>
      <c r="BV30" s="879"/>
      <c r="BW30" s="879"/>
    </row>
    <row r="31" spans="1:75" ht="20.100000000000001" customHeight="1">
      <c r="A31" s="815"/>
      <c r="B31" s="451"/>
      <c r="C31" s="815"/>
      <c r="D31" s="815"/>
      <c r="E31" s="815"/>
      <c r="F31" s="815"/>
      <c r="G31" s="815"/>
      <c r="H31" s="815"/>
      <c r="I31" s="815"/>
      <c r="J31" s="815"/>
      <c r="K31" s="815"/>
      <c r="L31" s="829" t="s">
        <v>314</v>
      </c>
      <c r="M31" s="830"/>
      <c r="N31" s="829"/>
      <c r="O31" s="2886" t="e">
        <f>AG8</f>
        <v>#DIV/0!</v>
      </c>
      <c r="P31" s="2887" t="e">
        <f>AG49</f>
        <v>#DIV/0!</v>
      </c>
      <c r="Q31" s="2888"/>
      <c r="R31" s="908" t="s">
        <v>1</v>
      </c>
      <c r="S31" s="452"/>
      <c r="T31" s="815"/>
      <c r="U31" s="1302"/>
      <c r="V31" s="1350"/>
      <c r="W31" s="1350"/>
      <c r="Y31" s="860" t="str">
        <f t="shared" si="6"/>
        <v/>
      </c>
      <c r="Z31" s="1185"/>
      <c r="AA31" s="1354" t="str">
        <f t="shared" si="10"/>
        <v/>
      </c>
      <c r="AB31" s="1351"/>
      <c r="AC31" s="870"/>
      <c r="AD31" s="853" t="str">
        <f t="shared" si="11"/>
        <v/>
      </c>
      <c r="AE31" s="1296" t="str">
        <f t="shared" si="7"/>
        <v/>
      </c>
      <c r="AF31" s="1297"/>
      <c r="AG31" s="1352"/>
      <c r="AH31" s="1184"/>
      <c r="AI31" s="853" t="str">
        <f t="shared" si="8"/>
        <v/>
      </c>
      <c r="AJ31" s="1297" t="str">
        <f t="shared" si="9"/>
        <v/>
      </c>
      <c r="AK31" s="878"/>
      <c r="AL31" s="881" t="str">
        <f t="shared" si="12"/>
        <v/>
      </c>
      <c r="AM31" s="876"/>
      <c r="AN31" s="1185"/>
      <c r="AO31" s="1185"/>
      <c r="AP31" s="1185"/>
      <c r="AQ31" s="1185"/>
      <c r="AR31" s="1185"/>
      <c r="AS31" s="877"/>
      <c r="AT31" s="877"/>
      <c r="AU31" s="877"/>
      <c r="AV31" s="877"/>
      <c r="AW31" s="193"/>
      <c r="AX31" s="858"/>
      <c r="AY31" s="859"/>
      <c r="AZ31" s="858"/>
      <c r="BA31" s="859"/>
      <c r="BC31" s="879"/>
      <c r="BD31" s="879"/>
      <c r="BE31" s="879"/>
      <c r="BF31" s="879"/>
      <c r="BG31" s="880"/>
      <c r="BH31" s="879"/>
      <c r="BI31" s="879"/>
      <c r="BJ31" s="879"/>
      <c r="BK31" s="879"/>
      <c r="BL31" s="879"/>
      <c r="BM31" s="879"/>
      <c r="BN31" s="879"/>
      <c r="BO31" s="879"/>
      <c r="BP31" s="879"/>
      <c r="BQ31" s="879"/>
      <c r="BR31" s="879"/>
      <c r="BS31" s="879"/>
      <c r="BT31" s="879"/>
      <c r="BU31" s="879"/>
      <c r="BV31" s="879"/>
      <c r="BW31" s="879"/>
    </row>
    <row r="32" spans="1:75" ht="20.100000000000001" customHeight="1">
      <c r="A32" s="815"/>
      <c r="B32" s="451"/>
      <c r="C32" s="815"/>
      <c r="D32" s="815"/>
      <c r="E32" s="815"/>
      <c r="F32" s="815"/>
      <c r="G32" s="815"/>
      <c r="H32" s="815"/>
      <c r="I32" s="815"/>
      <c r="J32" s="815"/>
      <c r="K32" s="815"/>
      <c r="L32" s="896" t="s">
        <v>555</v>
      </c>
      <c r="M32" s="829"/>
      <c r="N32" s="829"/>
      <c r="O32" s="2886">
        <f>AM7</f>
        <v>1</v>
      </c>
      <c r="P32" s="2889">
        <f>AM48</f>
        <v>1</v>
      </c>
      <c r="Q32" s="2890"/>
      <c r="R32" s="909" t="s">
        <v>556</v>
      </c>
      <c r="S32" s="452"/>
      <c r="T32" s="815"/>
      <c r="U32" s="1302"/>
      <c r="V32" s="1350"/>
      <c r="W32" s="1350"/>
      <c r="Y32" s="860" t="str">
        <f t="shared" si="6"/>
        <v/>
      </c>
      <c r="Z32" s="1185"/>
      <c r="AA32" s="1354" t="str">
        <f t="shared" si="10"/>
        <v/>
      </c>
      <c r="AB32" s="1351"/>
      <c r="AC32" s="870"/>
      <c r="AD32" s="853" t="str">
        <f t="shared" si="11"/>
        <v/>
      </c>
      <c r="AE32" s="1296" t="str">
        <f t="shared" si="7"/>
        <v/>
      </c>
      <c r="AF32" s="1297"/>
      <c r="AG32" s="1352"/>
      <c r="AH32" s="1184"/>
      <c r="AI32" s="853" t="str">
        <f t="shared" si="8"/>
        <v/>
      </c>
      <c r="AJ32" s="1297" t="str">
        <f t="shared" si="9"/>
        <v/>
      </c>
      <c r="AK32" s="878"/>
      <c r="AL32" s="881" t="str">
        <f t="shared" si="12"/>
        <v/>
      </c>
      <c r="AM32" s="876"/>
      <c r="AN32" s="1185"/>
      <c r="AO32" s="1185"/>
      <c r="AP32" s="1185"/>
      <c r="AQ32" s="1185"/>
      <c r="AR32" s="1185"/>
      <c r="AS32" s="877"/>
      <c r="AT32" s="877"/>
      <c r="AU32" s="877"/>
      <c r="AV32" s="877"/>
      <c r="AW32" s="193"/>
      <c r="AX32" s="858"/>
      <c r="AY32" s="859"/>
      <c r="AZ32" s="858"/>
      <c r="BA32" s="859"/>
      <c r="BC32" s="879"/>
      <c r="BD32" s="879"/>
      <c r="BE32" s="879"/>
      <c r="BF32" s="879"/>
      <c r="BG32" s="880"/>
      <c r="BH32" s="879"/>
      <c r="BI32" s="879"/>
      <c r="BJ32" s="879"/>
      <c r="BK32" s="879"/>
      <c r="BL32" s="879"/>
      <c r="BM32" s="879"/>
      <c r="BN32" s="879"/>
      <c r="BO32" s="879"/>
      <c r="BP32" s="879"/>
      <c r="BQ32" s="879"/>
      <c r="BR32" s="879"/>
      <c r="BS32" s="879"/>
      <c r="BT32" s="879"/>
      <c r="BU32" s="879"/>
      <c r="BV32" s="879"/>
      <c r="BW32" s="879"/>
    </row>
    <row r="33" spans="1:75" ht="20.100000000000001" customHeight="1">
      <c r="A33" s="815"/>
      <c r="B33" s="451"/>
      <c r="C33" s="815"/>
      <c r="D33" s="815"/>
      <c r="E33" s="815"/>
      <c r="F33" s="815"/>
      <c r="G33" s="815"/>
      <c r="H33" s="815"/>
      <c r="I33" s="815"/>
      <c r="J33" s="815"/>
      <c r="K33" s="815"/>
      <c r="L33" s="899" t="s">
        <v>560</v>
      </c>
      <c r="M33" s="1273"/>
      <c r="N33" s="829"/>
      <c r="O33" s="2886">
        <f>AM10</f>
        <v>0.57779999999999998</v>
      </c>
      <c r="P33" s="2889">
        <f>AM49</f>
        <v>0.57779999999999998</v>
      </c>
      <c r="Q33" s="2890"/>
      <c r="R33" s="909" t="s">
        <v>561</v>
      </c>
      <c r="S33" s="452"/>
      <c r="T33" s="815"/>
      <c r="U33" s="1302"/>
      <c r="V33" s="1350"/>
      <c r="W33" s="1350"/>
      <c r="Y33" s="860" t="str">
        <f t="shared" si="6"/>
        <v/>
      </c>
      <c r="Z33" s="1185"/>
      <c r="AA33" s="1354" t="str">
        <f t="shared" si="10"/>
        <v/>
      </c>
      <c r="AB33" s="1351"/>
      <c r="AC33" s="870"/>
      <c r="AD33" s="853" t="str">
        <f t="shared" si="11"/>
        <v/>
      </c>
      <c r="AE33" s="1296" t="str">
        <f t="shared" si="7"/>
        <v/>
      </c>
      <c r="AF33" s="1297"/>
      <c r="AG33" s="1352"/>
      <c r="AH33" s="1184"/>
      <c r="AI33" s="853" t="str">
        <f t="shared" si="8"/>
        <v/>
      </c>
      <c r="AJ33" s="1297" t="str">
        <f t="shared" si="9"/>
        <v/>
      </c>
      <c r="AK33" s="878"/>
      <c r="AL33" s="881" t="str">
        <f t="shared" si="12"/>
        <v/>
      </c>
      <c r="AM33" s="876"/>
      <c r="AN33" s="1185"/>
      <c r="AO33" s="1185" t="s">
        <v>593</v>
      </c>
      <c r="AP33" s="1185"/>
      <c r="AQ33" s="1185"/>
      <c r="AR33" s="1185"/>
      <c r="AS33" s="877"/>
      <c r="AT33" s="877"/>
      <c r="AU33" s="877"/>
      <c r="AV33" s="877"/>
      <c r="AW33" s="193"/>
      <c r="AX33" s="858"/>
      <c r="AY33" s="859"/>
      <c r="AZ33" s="858"/>
      <c r="BA33" s="859"/>
      <c r="BC33" s="879"/>
      <c r="BD33" s="879"/>
      <c r="BE33" s="879"/>
      <c r="BF33" s="879"/>
      <c r="BG33" s="880"/>
      <c r="BH33" s="879"/>
      <c r="BI33" s="879"/>
      <c r="BJ33" s="879"/>
      <c r="BK33" s="879"/>
      <c r="BL33" s="879"/>
      <c r="BM33" s="879"/>
      <c r="BN33" s="879"/>
      <c r="BO33" s="879"/>
      <c r="BP33" s="879"/>
      <c r="BQ33" s="879"/>
      <c r="BR33" s="879"/>
      <c r="BS33" s="879"/>
      <c r="BT33" s="879"/>
      <c r="BU33" s="879"/>
      <c r="BV33" s="879"/>
      <c r="BW33" s="879"/>
    </row>
    <row r="34" spans="1:75" ht="20.100000000000001" customHeight="1">
      <c r="A34" s="815"/>
      <c r="B34" s="451"/>
      <c r="C34" s="815"/>
      <c r="D34" s="815"/>
      <c r="E34" s="815"/>
      <c r="F34" s="815"/>
      <c r="G34" s="815"/>
      <c r="H34" s="815"/>
      <c r="I34" s="815"/>
      <c r="J34" s="815"/>
      <c r="K34" s="815"/>
      <c r="L34" s="815"/>
      <c r="M34" s="815"/>
      <c r="N34" s="815"/>
      <c r="O34" s="815"/>
      <c r="P34" s="815"/>
      <c r="Q34" s="815"/>
      <c r="R34" s="815"/>
      <c r="S34" s="452"/>
      <c r="T34" s="815"/>
      <c r="U34" s="1302"/>
      <c r="V34" s="1350"/>
      <c r="W34" s="1350"/>
      <c r="Y34" s="860" t="str">
        <f t="shared" si="6"/>
        <v/>
      </c>
      <c r="Z34" s="1185"/>
      <c r="AA34" s="1354" t="str">
        <f t="shared" si="10"/>
        <v/>
      </c>
      <c r="AB34" s="1351"/>
      <c r="AC34" s="870"/>
      <c r="AD34" s="853" t="str">
        <f t="shared" si="11"/>
        <v/>
      </c>
      <c r="AE34" s="1296" t="str">
        <f t="shared" si="7"/>
        <v/>
      </c>
      <c r="AF34" s="1297"/>
      <c r="AG34" s="1352"/>
      <c r="AH34" s="1184"/>
      <c r="AI34" s="853" t="str">
        <f t="shared" si="8"/>
        <v/>
      </c>
      <c r="AJ34" s="1297" t="str">
        <f t="shared" si="9"/>
        <v/>
      </c>
      <c r="AK34" s="878"/>
      <c r="AL34" s="881" t="str">
        <f t="shared" si="12"/>
        <v/>
      </c>
      <c r="AM34" s="876"/>
      <c r="AN34" s="1185"/>
      <c r="AO34" s="1185" t="s">
        <v>594</v>
      </c>
      <c r="AP34" s="1185" t="e">
        <f>MAX(Y18:Y42)</f>
        <v>#VALUE!</v>
      </c>
      <c r="AQ34" s="1185"/>
      <c r="AR34" s="1185"/>
      <c r="AS34" s="877"/>
      <c r="AT34" s="877"/>
      <c r="AU34" s="877"/>
      <c r="AV34" s="877"/>
      <c r="AW34" s="193"/>
      <c r="AX34" s="858"/>
      <c r="AY34" s="859"/>
      <c r="AZ34" s="858"/>
      <c r="BA34" s="859"/>
      <c r="BC34" s="879"/>
      <c r="BD34" s="879"/>
      <c r="BE34" s="879"/>
      <c r="BF34" s="879"/>
      <c r="BG34" s="880"/>
      <c r="BH34" s="880"/>
      <c r="BI34" s="879"/>
      <c r="BJ34" s="879"/>
      <c r="BK34" s="879"/>
      <c r="BL34" s="879"/>
      <c r="BM34" s="879"/>
      <c r="BN34" s="879"/>
      <c r="BO34" s="879"/>
      <c r="BP34" s="879"/>
      <c r="BQ34" s="879"/>
      <c r="BR34" s="879"/>
      <c r="BS34" s="879"/>
      <c r="BT34" s="879"/>
      <c r="BU34" s="879"/>
      <c r="BV34" s="879"/>
      <c r="BW34" s="879"/>
    </row>
    <row r="35" spans="1:75" ht="20.100000000000001" customHeight="1">
      <c r="A35" s="815"/>
      <c r="B35" s="451"/>
      <c r="C35" s="815"/>
      <c r="D35" s="815"/>
      <c r="E35" s="815"/>
      <c r="F35" s="815"/>
      <c r="G35" s="815"/>
      <c r="H35" s="815"/>
      <c r="I35" s="815"/>
      <c r="J35" s="815"/>
      <c r="K35" s="815"/>
      <c r="L35" s="815"/>
      <c r="M35" s="815"/>
      <c r="N35" s="815"/>
      <c r="O35" s="815"/>
      <c r="P35" s="815"/>
      <c r="Q35" s="815"/>
      <c r="R35" s="815"/>
      <c r="S35" s="452"/>
      <c r="T35" s="815"/>
      <c r="U35" s="1302"/>
      <c r="V35" s="1303"/>
      <c r="W35" s="1303"/>
      <c r="Y35" s="860" t="str">
        <f t="shared" si="6"/>
        <v/>
      </c>
      <c r="Z35" s="1185"/>
      <c r="AA35" s="1354" t="str">
        <f t="shared" si="10"/>
        <v/>
      </c>
      <c r="AB35" s="1351"/>
      <c r="AC35" s="870"/>
      <c r="AD35" s="853" t="str">
        <f t="shared" si="11"/>
        <v/>
      </c>
      <c r="AE35" s="1296" t="str">
        <f t="shared" si="7"/>
        <v/>
      </c>
      <c r="AF35" s="1297"/>
      <c r="AG35" s="1352"/>
      <c r="AH35" s="1184"/>
      <c r="AI35" s="853" t="str">
        <f t="shared" si="8"/>
        <v/>
      </c>
      <c r="AJ35" s="1297" t="str">
        <f t="shared" si="9"/>
        <v/>
      </c>
      <c r="AK35" s="1184"/>
      <c r="AL35" s="881" t="str">
        <f t="shared" si="12"/>
        <v/>
      </c>
      <c r="AM35" s="876"/>
      <c r="AN35" s="1185"/>
      <c r="AO35" s="1185"/>
      <c r="AP35" s="1185"/>
      <c r="AQ35" s="1185"/>
      <c r="AR35" s="1185"/>
      <c r="AS35" s="877"/>
      <c r="AT35" s="877"/>
      <c r="AU35" s="877"/>
      <c r="AV35" s="877"/>
      <c r="AW35" s="193"/>
      <c r="AX35" s="858"/>
      <c r="AY35" s="859"/>
      <c r="AZ35" s="858"/>
      <c r="BA35" s="859"/>
      <c r="BC35" s="879"/>
      <c r="BD35" s="879"/>
      <c r="BE35" s="879"/>
      <c r="BF35" s="879"/>
      <c r="BG35" s="880"/>
      <c r="BH35" s="880"/>
      <c r="BI35" s="879"/>
      <c r="BJ35" s="879"/>
      <c r="BK35" s="879"/>
      <c r="BL35" s="882"/>
      <c r="BM35" s="879"/>
      <c r="BN35" s="879"/>
      <c r="BO35" s="879"/>
      <c r="BP35" s="879"/>
      <c r="BQ35" s="879"/>
      <c r="BR35" s="879"/>
      <c r="BS35" s="879"/>
      <c r="BT35" s="879"/>
      <c r="BU35" s="879"/>
      <c r="BV35" s="879"/>
      <c r="BW35" s="879"/>
    </row>
    <row r="36" spans="1:75" ht="20.100000000000001" customHeight="1">
      <c r="A36" s="815"/>
      <c r="B36" s="451"/>
      <c r="C36" s="815"/>
      <c r="D36" s="815"/>
      <c r="E36" s="815"/>
      <c r="F36" s="815"/>
      <c r="G36" s="815"/>
      <c r="H36" s="815"/>
      <c r="I36" s="815"/>
      <c r="J36" s="815"/>
      <c r="K36" s="897" t="s">
        <v>795</v>
      </c>
      <c r="L36" s="815"/>
      <c r="M36" s="815"/>
      <c r="N36" s="815"/>
      <c r="O36" s="815"/>
      <c r="P36" s="815"/>
      <c r="Q36" s="815"/>
      <c r="R36" s="815"/>
      <c r="S36" s="452"/>
      <c r="T36" s="815"/>
      <c r="U36" s="1302"/>
      <c r="V36" s="1303"/>
      <c r="W36" s="1303"/>
      <c r="Y36" s="860" t="str">
        <f t="shared" si="6"/>
        <v/>
      </c>
      <c r="Z36" s="1185"/>
      <c r="AA36" s="1354" t="str">
        <f t="shared" si="10"/>
        <v/>
      </c>
      <c r="AB36" s="1351"/>
      <c r="AC36" s="870"/>
      <c r="AD36" s="853" t="str">
        <f t="shared" si="11"/>
        <v/>
      </c>
      <c r="AE36" s="1296" t="str">
        <f t="shared" si="7"/>
        <v/>
      </c>
      <c r="AF36" s="1297"/>
      <c r="AG36" s="1352"/>
      <c r="AH36" s="1184"/>
      <c r="AI36" s="853" t="str">
        <f t="shared" si="8"/>
        <v/>
      </c>
      <c r="AJ36" s="1297" t="str">
        <f t="shared" si="9"/>
        <v/>
      </c>
      <c r="AK36" s="1184"/>
      <c r="AL36" s="881" t="str">
        <f t="shared" si="12"/>
        <v/>
      </c>
      <c r="AM36" s="876"/>
      <c r="AN36" s="1185"/>
      <c r="AO36" s="1185" t="s">
        <v>534</v>
      </c>
      <c r="AP36" s="1185"/>
      <c r="AQ36" s="1185"/>
      <c r="AR36" s="1185"/>
      <c r="AS36" s="877"/>
      <c r="AT36" s="877"/>
      <c r="AU36" s="877"/>
      <c r="AV36" s="877"/>
      <c r="AW36" s="193"/>
      <c r="AX36" s="858"/>
      <c r="AY36" s="859"/>
      <c r="AZ36" s="858"/>
      <c r="BA36" s="859"/>
      <c r="BC36" s="879"/>
      <c r="BD36" s="879"/>
      <c r="BE36" s="879"/>
      <c r="BF36" s="879"/>
      <c r="BG36" s="880"/>
      <c r="BH36" s="880"/>
      <c r="BI36" s="879"/>
      <c r="BJ36" s="879"/>
      <c r="BK36" s="882"/>
      <c r="BL36" s="879"/>
      <c r="BM36" s="879"/>
      <c r="BN36" s="879"/>
      <c r="BO36" s="879"/>
      <c r="BP36" s="879"/>
      <c r="BQ36" s="879"/>
      <c r="BR36" s="879"/>
      <c r="BS36" s="879"/>
      <c r="BT36" s="879"/>
      <c r="BU36" s="879"/>
      <c r="BV36" s="879"/>
      <c r="BW36" s="879"/>
    </row>
    <row r="37" spans="1:75" ht="20.100000000000001" customHeight="1">
      <c r="A37" s="815"/>
      <c r="B37" s="451"/>
      <c r="C37" s="815"/>
      <c r="D37" s="815"/>
      <c r="E37" s="815"/>
      <c r="F37" s="815"/>
      <c r="G37" s="815"/>
      <c r="H37" s="815"/>
      <c r="I37" s="815"/>
      <c r="J37" s="815"/>
      <c r="K37" s="1799"/>
      <c r="L37" s="1799"/>
      <c r="M37" s="815"/>
      <c r="N37" s="815"/>
      <c r="O37" s="815"/>
      <c r="P37" s="815"/>
      <c r="Q37" s="815"/>
      <c r="R37" s="815"/>
      <c r="S37" s="452"/>
      <c r="T37" s="815"/>
      <c r="U37" s="1302"/>
      <c r="V37" s="1303"/>
      <c r="W37" s="1303"/>
      <c r="Y37" s="860" t="str">
        <f t="shared" si="6"/>
        <v/>
      </c>
      <c r="Z37" s="1185"/>
      <c r="AA37" s="1354" t="str">
        <f t="shared" si="10"/>
        <v/>
      </c>
      <c r="AB37" s="1351"/>
      <c r="AC37" s="870"/>
      <c r="AD37" s="853" t="str">
        <f t="shared" si="11"/>
        <v/>
      </c>
      <c r="AE37" s="1296" t="str">
        <f t="shared" si="7"/>
        <v/>
      </c>
      <c r="AF37" s="1297"/>
      <c r="AG37" s="1352"/>
      <c r="AH37" s="1184"/>
      <c r="AI37" s="853" t="str">
        <f t="shared" si="8"/>
        <v/>
      </c>
      <c r="AJ37" s="1297" t="str">
        <f t="shared" si="9"/>
        <v/>
      </c>
      <c r="AK37" s="1184"/>
      <c r="AL37" s="881" t="str">
        <f t="shared" si="12"/>
        <v/>
      </c>
      <c r="AM37" s="876"/>
      <c r="AN37" s="1185"/>
      <c r="AO37" s="1185" t="s">
        <v>499</v>
      </c>
      <c r="AP37" s="1185" t="e">
        <f>MAX(Y59:Y83)</f>
        <v>#VALUE!</v>
      </c>
      <c r="AQ37" s="1185"/>
      <c r="AR37" s="1185"/>
      <c r="AS37" s="877"/>
      <c r="AT37" s="877"/>
      <c r="AU37" s="877"/>
      <c r="AV37" s="877"/>
      <c r="AW37" s="193"/>
      <c r="AX37" s="858"/>
      <c r="AY37" s="859"/>
      <c r="AZ37" s="858"/>
      <c r="BA37" s="859"/>
      <c r="BC37" s="879"/>
      <c r="BD37" s="879"/>
      <c r="BE37" s="879"/>
      <c r="BF37" s="879"/>
      <c r="BG37" s="880"/>
      <c r="BH37" s="880"/>
      <c r="BI37" s="879"/>
      <c r="BJ37" s="879"/>
      <c r="BK37" s="879"/>
      <c r="BL37" s="883"/>
      <c r="BM37" s="883"/>
      <c r="BN37" s="879"/>
      <c r="BO37" s="884"/>
      <c r="BP37" s="879"/>
      <c r="BQ37" s="879"/>
      <c r="BR37" s="879"/>
      <c r="BS37" s="879"/>
      <c r="BT37" s="879"/>
      <c r="BU37" s="879"/>
      <c r="BV37" s="879"/>
      <c r="BW37" s="879"/>
    </row>
    <row r="38" spans="1:75" ht="20.100000000000001" customHeight="1">
      <c r="A38" s="815"/>
      <c r="B38" s="451"/>
      <c r="C38" s="815"/>
      <c r="D38" s="815"/>
      <c r="E38" s="815"/>
      <c r="F38" s="815"/>
      <c r="G38" s="815"/>
      <c r="H38" s="815"/>
      <c r="I38" s="815"/>
      <c r="J38" s="815"/>
      <c r="K38" s="815"/>
      <c r="L38" s="815"/>
      <c r="M38" s="815"/>
      <c r="N38" s="815"/>
      <c r="O38" s="815"/>
      <c r="P38" s="815"/>
      <c r="Q38" s="815"/>
      <c r="R38" s="815"/>
      <c r="S38" s="452"/>
      <c r="T38" s="815"/>
      <c r="U38" s="1276"/>
      <c r="V38" s="1303"/>
      <c r="W38" s="1303"/>
      <c r="Y38" s="860" t="str">
        <f t="shared" si="6"/>
        <v/>
      </c>
      <c r="AA38" s="1354" t="str">
        <f t="shared" si="10"/>
        <v/>
      </c>
      <c r="AB38" s="1351"/>
      <c r="AC38" s="870"/>
      <c r="AD38" s="853" t="str">
        <f t="shared" si="11"/>
        <v/>
      </c>
      <c r="AE38" s="1296" t="str">
        <f t="shared" si="7"/>
        <v/>
      </c>
      <c r="AF38" s="1297"/>
      <c r="AG38" s="1352"/>
      <c r="AH38" s="1184"/>
      <c r="AI38" s="853" t="str">
        <f t="shared" si="8"/>
        <v/>
      </c>
      <c r="AJ38" s="1297" t="str">
        <f t="shared" si="9"/>
        <v/>
      </c>
      <c r="AK38" s="1184"/>
      <c r="AL38" s="881" t="str">
        <f t="shared" si="12"/>
        <v/>
      </c>
      <c r="AM38" s="876"/>
      <c r="AS38" s="832"/>
      <c r="AT38" s="832"/>
      <c r="AU38" s="832"/>
      <c r="AV38" s="832"/>
      <c r="AW38" s="193"/>
      <c r="AX38" s="858"/>
      <c r="AY38" s="859"/>
      <c r="AZ38" s="858"/>
      <c r="BA38" s="859"/>
      <c r="BC38" s="879"/>
      <c r="BD38" s="879"/>
      <c r="BE38" s="879"/>
      <c r="BF38" s="879"/>
      <c r="BG38" s="880"/>
      <c r="BH38" s="880"/>
      <c r="BI38" s="879"/>
      <c r="BJ38" s="879"/>
      <c r="BK38" s="879"/>
      <c r="BL38" s="879"/>
      <c r="BM38" s="883"/>
      <c r="BN38" s="879"/>
      <c r="BO38" s="879"/>
      <c r="BP38" s="879"/>
      <c r="BQ38" s="879"/>
      <c r="BR38" s="879"/>
      <c r="BS38" s="879"/>
      <c r="BT38" s="879"/>
      <c r="BU38" s="879"/>
      <c r="BV38" s="879"/>
      <c r="BW38" s="879"/>
    </row>
    <row r="39" spans="1:75" ht="20.100000000000001" customHeight="1">
      <c r="A39" s="815"/>
      <c r="B39" s="451"/>
      <c r="C39" s="815"/>
      <c r="D39" s="1325"/>
      <c r="E39" s="815"/>
      <c r="F39" s="815"/>
      <c r="G39" s="815"/>
      <c r="H39" s="815"/>
      <c r="I39" s="815"/>
      <c r="J39" s="815"/>
      <c r="K39" s="1799"/>
      <c r="L39" s="1799"/>
      <c r="M39" s="815"/>
      <c r="N39" s="815"/>
      <c r="O39" s="815"/>
      <c r="P39" s="815"/>
      <c r="Q39" s="815"/>
      <c r="R39" s="815"/>
      <c r="S39" s="452"/>
      <c r="T39" s="815"/>
      <c r="U39" s="1276"/>
      <c r="V39" s="1303"/>
      <c r="W39" s="1303"/>
      <c r="Y39" s="860" t="str">
        <f t="shared" si="6"/>
        <v/>
      </c>
      <c r="AA39" s="1354" t="str">
        <f t="shared" si="10"/>
        <v/>
      </c>
      <c r="AB39" s="1351"/>
      <c r="AC39" s="870"/>
      <c r="AD39" s="853" t="str">
        <f t="shared" si="11"/>
        <v/>
      </c>
      <c r="AE39" s="1296" t="str">
        <f t="shared" si="7"/>
        <v/>
      </c>
      <c r="AF39" s="1297"/>
      <c r="AG39" s="1352"/>
      <c r="AH39" s="1184"/>
      <c r="AI39" s="853" t="str">
        <f t="shared" si="8"/>
        <v/>
      </c>
      <c r="AJ39" s="1297" t="str">
        <f t="shared" si="9"/>
        <v/>
      </c>
      <c r="AK39" s="1184"/>
      <c r="AL39" s="881" t="str">
        <f t="shared" si="12"/>
        <v/>
      </c>
      <c r="AM39" s="876"/>
      <c r="AS39" s="832"/>
      <c r="AT39" s="832"/>
      <c r="AU39" s="832"/>
      <c r="AV39" s="832"/>
      <c r="AW39" s="193"/>
      <c r="BC39" s="879"/>
      <c r="BD39" s="879"/>
      <c r="BE39" s="879"/>
      <c r="BF39" s="879"/>
      <c r="BG39" s="880"/>
      <c r="BH39" s="880"/>
      <c r="BI39" s="879"/>
      <c r="BJ39" s="879"/>
      <c r="BK39" s="879"/>
      <c r="BL39" s="883"/>
      <c r="BM39" s="883"/>
      <c r="BN39" s="879"/>
      <c r="BO39" s="879"/>
      <c r="BP39" s="879"/>
      <c r="BQ39" s="879"/>
      <c r="BR39" s="879"/>
      <c r="BS39" s="879"/>
      <c r="BT39" s="879"/>
      <c r="BU39" s="879"/>
      <c r="BV39" s="879"/>
      <c r="BW39" s="879"/>
    </row>
    <row r="40" spans="1:75" ht="20.100000000000001" customHeight="1">
      <c r="A40" s="815"/>
      <c r="B40" s="451"/>
      <c r="C40" s="815"/>
      <c r="D40" s="815"/>
      <c r="E40" s="815"/>
      <c r="F40" s="815"/>
      <c r="G40" s="815"/>
      <c r="H40" s="815"/>
      <c r="I40" s="815"/>
      <c r="J40" s="815"/>
      <c r="K40" s="815"/>
      <c r="L40" s="850"/>
      <c r="M40" s="815"/>
      <c r="N40" s="815"/>
      <c r="O40" s="815"/>
      <c r="P40" s="815"/>
      <c r="Q40" s="815"/>
      <c r="R40" s="815"/>
      <c r="S40" s="452"/>
      <c r="T40" s="815"/>
      <c r="U40" s="1276"/>
      <c r="Y40" s="860" t="str">
        <f t="shared" si="6"/>
        <v/>
      </c>
      <c r="AA40" s="1354" t="str">
        <f t="shared" si="10"/>
        <v/>
      </c>
      <c r="AB40" s="1351"/>
      <c r="AC40" s="870"/>
      <c r="AD40" s="853" t="str">
        <f t="shared" si="11"/>
        <v/>
      </c>
      <c r="AE40" s="1296" t="str">
        <f t="shared" si="7"/>
        <v/>
      </c>
      <c r="AF40" s="1297"/>
      <c r="AG40" s="1352"/>
      <c r="AH40" s="1184"/>
      <c r="AI40" s="853" t="str">
        <f t="shared" si="8"/>
        <v/>
      </c>
      <c r="AJ40" s="1297" t="str">
        <f t="shared" si="9"/>
        <v/>
      </c>
      <c r="AK40" s="1184"/>
      <c r="AL40" s="881" t="str">
        <f t="shared" si="12"/>
        <v/>
      </c>
      <c r="AM40" s="876"/>
      <c r="AS40" s="832"/>
      <c r="AT40" s="832"/>
      <c r="AU40" s="832"/>
      <c r="AV40" s="832"/>
      <c r="AW40" s="193"/>
      <c r="BC40" s="879"/>
      <c r="BD40" s="879"/>
      <c r="BE40" s="879"/>
      <c r="BF40" s="879"/>
      <c r="BG40" s="880"/>
      <c r="BH40" s="880"/>
      <c r="BI40" s="879"/>
      <c r="BJ40" s="879"/>
      <c r="BK40" s="879"/>
      <c r="BL40" s="879"/>
      <c r="BM40" s="879"/>
      <c r="BN40" s="879"/>
      <c r="BO40" s="879"/>
      <c r="BP40" s="879"/>
      <c r="BQ40" s="879"/>
      <c r="BR40" s="879"/>
      <c r="BS40" s="879"/>
      <c r="BT40" s="879"/>
      <c r="BU40" s="879"/>
      <c r="BV40" s="879"/>
      <c r="BW40" s="879"/>
    </row>
    <row r="41" spans="1:75" ht="20.100000000000001" customHeight="1">
      <c r="A41" s="815"/>
      <c r="B41" s="451"/>
      <c r="C41" s="815"/>
      <c r="D41" s="1326"/>
      <c r="E41" s="1327"/>
      <c r="F41" s="815"/>
      <c r="G41" s="815"/>
      <c r="H41" s="815"/>
      <c r="I41" s="815"/>
      <c r="J41" s="815"/>
      <c r="K41" s="1799"/>
      <c r="L41" s="1799"/>
      <c r="M41" s="815"/>
      <c r="N41" s="815"/>
      <c r="O41" s="815"/>
      <c r="P41" s="815"/>
      <c r="Q41" s="815"/>
      <c r="R41" s="815"/>
      <c r="S41" s="452"/>
      <c r="T41" s="815"/>
      <c r="U41" s="1276"/>
      <c r="Y41" s="860" t="str">
        <f t="shared" si="6"/>
        <v/>
      </c>
      <c r="AA41" s="1354" t="str">
        <f t="shared" si="10"/>
        <v/>
      </c>
      <c r="AB41" s="1351"/>
      <c r="AC41" s="870"/>
      <c r="AD41" s="853" t="str">
        <f t="shared" si="11"/>
        <v/>
      </c>
      <c r="AE41" s="1296" t="str">
        <f t="shared" si="7"/>
        <v/>
      </c>
      <c r="AF41" s="1297"/>
      <c r="AG41" s="1352"/>
      <c r="AH41" s="1184"/>
      <c r="AI41" s="853" t="str">
        <f t="shared" si="8"/>
        <v/>
      </c>
      <c r="AJ41" s="1297" t="str">
        <f t="shared" si="9"/>
        <v/>
      </c>
      <c r="AK41" s="1355"/>
      <c r="AL41" s="881" t="str">
        <f t="shared" si="12"/>
        <v/>
      </c>
      <c r="AM41" s="876"/>
      <c r="AS41" s="832"/>
      <c r="AT41" s="832"/>
      <c r="AU41" s="832"/>
      <c r="AV41" s="832"/>
      <c r="AW41" s="193"/>
      <c r="BC41" s="879"/>
      <c r="BD41" s="879"/>
      <c r="BE41" s="879"/>
      <c r="BF41" s="879"/>
      <c r="BG41" s="880"/>
      <c r="BH41" s="880"/>
      <c r="BI41" s="879"/>
      <c r="BJ41" s="879"/>
      <c r="BK41" s="879"/>
      <c r="BL41" s="879"/>
      <c r="BM41" s="879"/>
      <c r="BN41" s="879"/>
      <c r="BO41" s="879"/>
      <c r="BP41" s="879"/>
      <c r="BQ41" s="879"/>
      <c r="BR41" s="879"/>
      <c r="BS41" s="879"/>
      <c r="BT41" s="879"/>
      <c r="BU41" s="879"/>
      <c r="BV41" s="879"/>
      <c r="BW41" s="879"/>
    </row>
    <row r="42" spans="1:75" ht="20.100000000000001" customHeight="1">
      <c r="A42" s="815"/>
      <c r="B42" s="451"/>
      <c r="C42" s="815"/>
      <c r="D42" s="1328"/>
      <c r="E42" s="1328"/>
      <c r="F42" s="815"/>
      <c r="G42" s="815"/>
      <c r="H42" s="815"/>
      <c r="I42" s="815"/>
      <c r="J42" s="815"/>
      <c r="K42" s="815"/>
      <c r="L42" s="815"/>
      <c r="M42" s="815"/>
      <c r="N42" s="815"/>
      <c r="O42" s="815"/>
      <c r="P42" s="815"/>
      <c r="Q42" s="815"/>
      <c r="R42" s="815"/>
      <c r="S42" s="452"/>
      <c r="T42" s="815"/>
      <c r="U42" s="1304"/>
      <c r="Y42" s="860" t="str">
        <f t="shared" si="6"/>
        <v/>
      </c>
      <c r="Z42" s="860"/>
      <c r="AA42" s="1354" t="str">
        <f t="shared" si="10"/>
        <v/>
      </c>
      <c r="AB42" s="870"/>
      <c r="AC42" s="870"/>
      <c r="AD42" s="853" t="str">
        <f t="shared" si="11"/>
        <v/>
      </c>
      <c r="AE42" s="1296" t="str">
        <f t="shared" si="7"/>
        <v/>
      </c>
      <c r="AF42" s="1297"/>
      <c r="AG42" s="1353"/>
      <c r="AH42" s="1184"/>
      <c r="AI42" s="853" t="str">
        <f t="shared" si="8"/>
        <v/>
      </c>
      <c r="AJ42" s="1297" t="str">
        <f t="shared" si="9"/>
        <v/>
      </c>
      <c r="AK42" s="1184"/>
      <c r="AL42" s="881" t="str">
        <f t="shared" si="12"/>
        <v/>
      </c>
      <c r="AM42" s="834"/>
      <c r="AN42" s="860"/>
      <c r="AO42" s="860"/>
      <c r="AP42" s="860"/>
      <c r="AQ42" s="860"/>
      <c r="AR42" s="860"/>
      <c r="AS42" s="885"/>
      <c r="AT42" s="885"/>
      <c r="AU42" s="885"/>
      <c r="AV42" s="885"/>
      <c r="AW42" s="193"/>
      <c r="BC42" s="879"/>
      <c r="BD42" s="879"/>
      <c r="BE42" s="879"/>
      <c r="BF42" s="879"/>
      <c r="BG42" s="880"/>
      <c r="BH42" s="879"/>
      <c r="BI42" s="879"/>
      <c r="BJ42" s="879"/>
      <c r="BK42" s="879"/>
      <c r="BL42" s="879"/>
      <c r="BM42" s="879"/>
      <c r="BN42" s="879"/>
      <c r="BO42" s="879"/>
      <c r="BP42" s="879"/>
      <c r="BQ42" s="879"/>
      <c r="BR42" s="879"/>
      <c r="BS42" s="879"/>
      <c r="BT42" s="879"/>
      <c r="BU42" s="879"/>
      <c r="BV42" s="879"/>
      <c r="BW42" s="879"/>
    </row>
    <row r="43" spans="1:75" ht="20.100000000000001" customHeight="1">
      <c r="A43" s="815"/>
      <c r="B43" s="451"/>
      <c r="C43" s="815"/>
      <c r="D43" s="1328"/>
      <c r="E43" s="1328"/>
      <c r="F43" s="815"/>
      <c r="G43" s="815"/>
      <c r="H43" s="815"/>
      <c r="I43" s="815"/>
      <c r="J43" s="815"/>
      <c r="K43" s="1799"/>
      <c r="L43" s="1799"/>
      <c r="M43" s="815"/>
      <c r="N43" s="815"/>
      <c r="O43" s="815"/>
      <c r="P43" s="815"/>
      <c r="Q43" s="815"/>
      <c r="R43" s="815"/>
      <c r="S43" s="452"/>
      <c r="T43" s="815"/>
      <c r="U43" s="1304"/>
      <c r="Y43" s="860"/>
      <c r="Z43" s="860"/>
      <c r="AA43" s="860"/>
      <c r="AB43" s="860"/>
      <c r="AC43" s="860"/>
      <c r="AD43" s="860"/>
      <c r="AE43" s="860"/>
      <c r="AF43" s="860"/>
      <c r="AG43" s="860"/>
      <c r="AH43" s="860"/>
      <c r="AI43" s="860"/>
      <c r="AJ43" s="860"/>
      <c r="AK43" s="860"/>
      <c r="AL43" s="860"/>
      <c r="AM43" s="860"/>
      <c r="AN43" s="860"/>
      <c r="AO43" s="860"/>
      <c r="AP43" s="860"/>
      <c r="AQ43" s="860"/>
      <c r="AR43" s="860"/>
      <c r="AS43" s="885"/>
      <c r="AT43" s="885"/>
      <c r="AU43" s="885"/>
      <c r="AV43" s="885"/>
      <c r="AW43" s="193"/>
      <c r="BC43" s="879"/>
      <c r="BD43" s="879"/>
      <c r="BE43" s="879"/>
      <c r="BF43" s="879"/>
      <c r="BG43" s="879"/>
      <c r="BH43" s="879"/>
      <c r="BI43" s="879"/>
      <c r="BJ43" s="879"/>
      <c r="BK43" s="879"/>
      <c r="BL43" s="879"/>
      <c r="BM43" s="879"/>
      <c r="BN43" s="879"/>
      <c r="BO43" s="879"/>
      <c r="BP43" s="879"/>
      <c r="BQ43" s="879"/>
      <c r="BR43" s="879"/>
      <c r="BS43" s="879"/>
      <c r="BT43" s="879"/>
      <c r="BU43" s="879"/>
      <c r="BV43" s="879"/>
      <c r="BW43" s="879"/>
    </row>
    <row r="44" spans="1:75" ht="20.100000000000001" customHeight="1">
      <c r="A44" s="815"/>
      <c r="B44" s="451"/>
      <c r="C44" s="815"/>
      <c r="D44" s="1328"/>
      <c r="E44" s="1328"/>
      <c r="F44" s="815"/>
      <c r="G44" s="815"/>
      <c r="H44" s="815"/>
      <c r="I44" s="815"/>
      <c r="J44" s="815"/>
      <c r="K44" s="815"/>
      <c r="L44" s="815"/>
      <c r="M44" s="815"/>
      <c r="N44" s="815"/>
      <c r="O44" s="815"/>
      <c r="P44" s="815"/>
      <c r="Q44" s="815"/>
      <c r="R44" s="815"/>
      <c r="S44" s="452"/>
      <c r="T44" s="815"/>
      <c r="U44" s="1304"/>
      <c r="Y44" s="860"/>
      <c r="Z44" s="860"/>
      <c r="AA44" s="860"/>
      <c r="AB44" s="860"/>
      <c r="AC44" s="860"/>
      <c r="AD44" s="860"/>
      <c r="AE44" s="860"/>
      <c r="AF44" s="860"/>
      <c r="AG44" s="860"/>
      <c r="AH44" s="860"/>
      <c r="AI44" s="860"/>
      <c r="AJ44" s="860"/>
      <c r="AK44" s="860"/>
      <c r="AL44" s="860"/>
      <c r="AM44" s="860"/>
      <c r="AN44" s="860"/>
      <c r="AO44" s="860"/>
      <c r="AP44" s="860"/>
      <c r="AQ44" s="860"/>
      <c r="AR44" s="860"/>
      <c r="AS44" s="885"/>
      <c r="AT44" s="885"/>
      <c r="AU44" s="885"/>
      <c r="AV44" s="885"/>
      <c r="AW44" s="193"/>
      <c r="BC44" s="879"/>
      <c r="BD44" s="879"/>
      <c r="BE44" s="879"/>
      <c r="BF44" s="879"/>
      <c r="BG44" s="879"/>
      <c r="BH44" s="879"/>
      <c r="BI44" s="879"/>
      <c r="BJ44" s="879"/>
      <c r="BK44" s="879"/>
      <c r="BL44" s="879"/>
      <c r="BM44" s="879"/>
      <c r="BN44" s="879"/>
      <c r="BO44" s="879"/>
      <c r="BP44" s="879"/>
      <c r="BQ44" s="879"/>
      <c r="BR44" s="879"/>
      <c r="BS44" s="879"/>
      <c r="BT44" s="879"/>
      <c r="BU44" s="879"/>
      <c r="BV44" s="879"/>
      <c r="BW44" s="879"/>
    </row>
    <row r="45" spans="1:75" ht="20.100000000000001" customHeight="1">
      <c r="A45" s="815"/>
      <c r="B45" s="451"/>
      <c r="C45" s="815"/>
      <c r="D45" s="1328"/>
      <c r="E45" s="1328"/>
      <c r="F45" s="815"/>
      <c r="G45" s="815"/>
      <c r="H45" s="815"/>
      <c r="I45" s="815"/>
      <c r="J45" s="815"/>
      <c r="K45" s="815"/>
      <c r="L45" s="815"/>
      <c r="M45" s="815"/>
      <c r="N45" s="815"/>
      <c r="O45" s="815"/>
      <c r="P45" s="815"/>
      <c r="Q45" s="815"/>
      <c r="R45" s="815"/>
      <c r="S45" s="452"/>
      <c r="T45" s="815"/>
      <c r="AA45" s="5" t="s">
        <v>539</v>
      </c>
      <c r="AB45" s="297"/>
      <c r="AW45" s="193"/>
      <c r="BC45" s="879"/>
      <c r="BD45" s="879"/>
      <c r="BE45" s="879"/>
      <c r="BF45" s="879"/>
      <c r="BG45" s="879"/>
      <c r="BH45" s="879"/>
      <c r="BI45" s="879"/>
      <c r="BJ45" s="879"/>
      <c r="BK45" s="879"/>
      <c r="BL45" s="879"/>
      <c r="BM45" s="879"/>
      <c r="BN45" s="879"/>
      <c r="BO45" s="879"/>
      <c r="BP45" s="879"/>
      <c r="BQ45" s="879"/>
      <c r="BR45" s="879"/>
      <c r="BS45" s="879"/>
      <c r="BT45" s="879"/>
      <c r="BU45" s="879"/>
      <c r="BV45" s="879"/>
      <c r="BW45" s="879"/>
    </row>
    <row r="46" spans="1:75" ht="20.100000000000001" customHeight="1">
      <c r="A46" s="815"/>
      <c r="B46" s="451"/>
      <c r="C46" s="815"/>
      <c r="D46" s="1328"/>
      <c r="E46" s="1328"/>
      <c r="F46" s="815"/>
      <c r="G46" s="815"/>
      <c r="H46" s="815"/>
      <c r="I46" s="815"/>
      <c r="J46" s="815"/>
      <c r="K46" s="815"/>
      <c r="L46" s="815"/>
      <c r="M46" s="815"/>
      <c r="S46" s="452"/>
      <c r="T46" s="815"/>
      <c r="AA46" s="1273" t="s">
        <v>542</v>
      </c>
      <c r="AB46" s="1274"/>
      <c r="AC46" s="1274"/>
      <c r="AD46" s="397" t="s">
        <v>543</v>
      </c>
      <c r="AE46" s="1305" t="s">
        <v>544</v>
      </c>
      <c r="AF46" s="1274"/>
      <c r="AG46" s="1275"/>
      <c r="AI46" s="394" t="s">
        <v>545</v>
      </c>
      <c r="AJ46" s="1274"/>
      <c r="AK46" s="1274"/>
      <c r="AL46" s="1274"/>
      <c r="AM46" s="1275"/>
      <c r="AW46" s="193"/>
      <c r="BC46" s="879"/>
      <c r="BD46" s="880"/>
      <c r="BE46" s="879"/>
      <c r="BF46" s="879"/>
      <c r="BG46" s="879"/>
      <c r="BH46" s="879"/>
      <c r="BI46" s="879"/>
      <c r="BJ46" s="879"/>
      <c r="BK46" s="879"/>
      <c r="BL46" s="879"/>
      <c r="BM46" s="879"/>
      <c r="BN46" s="879"/>
      <c r="BO46" s="879"/>
      <c r="BP46" s="879"/>
      <c r="BQ46" s="879"/>
      <c r="BR46" s="879"/>
      <c r="BS46" s="879"/>
      <c r="BT46" s="879"/>
      <c r="BU46" s="879"/>
      <c r="BV46" s="879"/>
      <c r="BW46" s="879"/>
    </row>
    <row r="47" spans="1:75" ht="20.100000000000001" customHeight="1">
      <c r="A47" s="815"/>
      <c r="B47" s="451"/>
      <c r="C47" s="815"/>
      <c r="D47" s="1328"/>
      <c r="E47" s="1328"/>
      <c r="F47" s="815"/>
      <c r="G47" s="815"/>
      <c r="H47" s="815"/>
      <c r="S47" s="452"/>
      <c r="T47" s="815"/>
      <c r="AA47" s="837" t="s">
        <v>12</v>
      </c>
      <c r="AB47" s="1184"/>
      <c r="AC47" s="1184" t="s">
        <v>549</v>
      </c>
      <c r="AD47" s="1109">
        <v>38</v>
      </c>
      <c r="AE47" s="838" t="s">
        <v>550</v>
      </c>
      <c r="AF47" s="872" t="s">
        <v>37</v>
      </c>
      <c r="AG47" s="1112">
        <f>AD51</f>
        <v>0</v>
      </c>
      <c r="AI47" s="1183" t="s">
        <v>551</v>
      </c>
      <c r="AJ47" s="1277"/>
      <c r="AK47" s="1277"/>
      <c r="AL47" s="1278"/>
      <c r="AM47" s="1306"/>
      <c r="AW47" s="193"/>
      <c r="BC47" s="879"/>
      <c r="BD47" s="879"/>
      <c r="BE47" s="879"/>
      <c r="BF47" s="879"/>
      <c r="BG47" s="879"/>
      <c r="BH47" s="879"/>
      <c r="BI47" s="879"/>
      <c r="BJ47" s="879"/>
      <c r="BK47" s="879"/>
      <c r="BL47" s="879"/>
      <c r="BM47" s="879"/>
      <c r="BN47" s="879"/>
      <c r="BO47" s="879"/>
      <c r="BP47" s="879"/>
      <c r="BQ47" s="879"/>
      <c r="BR47" s="879"/>
      <c r="BS47" s="879"/>
      <c r="BT47" s="879"/>
      <c r="BU47" s="879"/>
      <c r="BV47" s="879"/>
      <c r="BW47" s="879"/>
    </row>
    <row r="48" spans="1:75" ht="20.100000000000001" customHeight="1">
      <c r="A48" s="815"/>
      <c r="B48" s="451"/>
      <c r="C48" s="815"/>
      <c r="D48" s="1328"/>
      <c r="E48" s="1328"/>
      <c r="F48" s="815"/>
      <c r="G48" s="815"/>
      <c r="H48" s="815"/>
      <c r="I48" s="815"/>
      <c r="J48" s="815"/>
      <c r="K48" s="815"/>
      <c r="L48" s="815"/>
      <c r="M48" s="815"/>
      <c r="S48" s="452"/>
      <c r="T48" s="815"/>
      <c r="AA48" s="837" t="s">
        <v>167</v>
      </c>
      <c r="AB48" s="1184"/>
      <c r="AC48" s="1184" t="s">
        <v>553</v>
      </c>
      <c r="AD48" s="853">
        <f>+((AD47^2))*(PI()/4)</f>
        <v>1134.1149479459152</v>
      </c>
      <c r="AE48" s="838" t="s">
        <v>554</v>
      </c>
      <c r="AF48" s="872" t="s">
        <v>37</v>
      </c>
      <c r="AG48" s="1109"/>
      <c r="AH48" s="839"/>
      <c r="AI48" s="1183" t="s">
        <v>555</v>
      </c>
      <c r="AJ48" s="1279"/>
      <c r="AK48" s="1279"/>
      <c r="AL48" s="842" t="s">
        <v>556</v>
      </c>
      <c r="AM48" s="840">
        <v>1</v>
      </c>
      <c r="AW48" s="193"/>
      <c r="BC48" s="879"/>
      <c r="BD48" s="879"/>
      <c r="BE48" s="879"/>
      <c r="BF48" s="879"/>
      <c r="BG48" s="879"/>
      <c r="BH48" s="879"/>
      <c r="BI48" s="879"/>
      <c r="BJ48" s="879"/>
      <c r="BK48" s="879"/>
      <c r="BL48" s="879"/>
      <c r="BM48" s="879"/>
      <c r="BN48" s="879"/>
      <c r="BO48" s="879"/>
      <c r="BP48" s="879"/>
      <c r="BQ48" s="879"/>
      <c r="BR48" s="879"/>
      <c r="BS48" s="879"/>
      <c r="BT48" s="879"/>
      <c r="BU48" s="879"/>
      <c r="BV48" s="879"/>
      <c r="BW48" s="879"/>
    </row>
    <row r="49" spans="1:75" ht="20.100000000000001" customHeight="1">
      <c r="A49" s="815"/>
      <c r="B49" s="451"/>
      <c r="C49" s="815"/>
      <c r="D49" s="1328"/>
      <c r="E49" s="1328"/>
      <c r="F49" s="815"/>
      <c r="G49" s="815"/>
      <c r="H49" s="815"/>
      <c r="I49" s="815"/>
      <c r="J49" s="815"/>
      <c r="K49" s="815"/>
      <c r="L49" s="815"/>
      <c r="M49" s="815"/>
      <c r="S49" s="452"/>
      <c r="T49" s="815"/>
      <c r="AA49" s="837" t="s">
        <v>557</v>
      </c>
      <c r="AB49" s="1184"/>
      <c r="AC49" s="1184" t="s">
        <v>558</v>
      </c>
      <c r="AD49" s="1109">
        <v>76</v>
      </c>
      <c r="AE49" s="838" t="s">
        <v>559</v>
      </c>
      <c r="AF49" s="872" t="s">
        <v>1</v>
      </c>
      <c r="AG49" s="1111" t="e">
        <f>+((AG47-AG48)/AG48)*100</f>
        <v>#DIV/0!</v>
      </c>
      <c r="AH49" s="839"/>
      <c r="AI49" s="1183" t="s">
        <v>560</v>
      </c>
      <c r="AJ49" s="1279"/>
      <c r="AK49" s="1279"/>
      <c r="AL49" s="842" t="s">
        <v>595</v>
      </c>
      <c r="AM49" s="843">
        <f>AM10</f>
        <v>0.57779999999999998</v>
      </c>
      <c r="AW49" s="193"/>
      <c r="AY49" s="193" t="s">
        <v>596</v>
      </c>
      <c r="BC49" s="879"/>
      <c r="BD49" s="879"/>
      <c r="BE49" s="879"/>
      <c r="BF49" s="879"/>
      <c r="BG49" s="879"/>
      <c r="BH49" s="879"/>
      <c r="BI49" s="879"/>
      <c r="BJ49" s="879"/>
      <c r="BK49" s="879"/>
      <c r="BL49" s="879"/>
      <c r="BM49" s="879"/>
      <c r="BN49" s="879"/>
      <c r="BO49" s="879"/>
      <c r="BP49" s="879"/>
      <c r="BQ49" s="879"/>
      <c r="BR49" s="879"/>
      <c r="BS49" s="879"/>
      <c r="BT49" s="879"/>
      <c r="BU49" s="879"/>
      <c r="BV49" s="879"/>
      <c r="BW49" s="879"/>
    </row>
    <row r="50" spans="1:75" ht="20.100000000000001" customHeight="1">
      <c r="A50" s="815"/>
      <c r="B50" s="451"/>
      <c r="C50" s="815"/>
      <c r="D50" s="1328"/>
      <c r="E50" s="1328"/>
      <c r="F50" s="815"/>
      <c r="G50" s="815"/>
      <c r="H50" s="815"/>
      <c r="I50" s="815"/>
      <c r="J50" s="815"/>
      <c r="K50" s="815"/>
      <c r="L50" s="815"/>
      <c r="M50" s="815"/>
      <c r="S50" s="452"/>
      <c r="T50" s="815"/>
      <c r="AA50" s="837" t="s">
        <v>287</v>
      </c>
      <c r="AB50" s="1184"/>
      <c r="AC50" s="1184" t="s">
        <v>563</v>
      </c>
      <c r="AD50" s="853">
        <f>+AD48*AD49/1000</f>
        <v>86.192736043889553</v>
      </c>
      <c r="AE50" s="838"/>
      <c r="AF50" s="872"/>
      <c r="AG50" s="844"/>
      <c r="AH50" s="839"/>
      <c r="AI50" s="888"/>
      <c r="AJ50" s="1307"/>
      <c r="AK50" s="1307"/>
      <c r="AL50" s="845"/>
      <c r="AM50" s="886"/>
      <c r="AW50" s="193"/>
      <c r="BC50" s="879"/>
      <c r="BD50" s="879"/>
      <c r="BE50" s="879"/>
      <c r="BF50" s="879"/>
      <c r="BG50" s="879"/>
      <c r="BH50" s="879"/>
      <c r="BI50" s="879"/>
      <c r="BJ50" s="879"/>
      <c r="BK50" s="879"/>
      <c r="BL50" s="879"/>
      <c r="BM50" s="879"/>
      <c r="BN50" s="879"/>
      <c r="BO50" s="879"/>
      <c r="BP50" s="879"/>
      <c r="BQ50" s="879"/>
      <c r="BR50" s="879"/>
      <c r="BS50" s="879"/>
      <c r="BT50" s="879"/>
      <c r="BU50" s="879"/>
      <c r="BV50" s="879"/>
      <c r="BW50" s="879"/>
    </row>
    <row r="51" spans="1:75" ht="20.100000000000001" customHeight="1">
      <c r="A51" s="815"/>
      <c r="B51" s="451"/>
      <c r="C51" s="815"/>
      <c r="D51" s="1328"/>
      <c r="E51" s="1328"/>
      <c r="F51" s="815"/>
      <c r="G51" s="815"/>
      <c r="H51" s="815"/>
      <c r="I51" s="815"/>
      <c r="J51" s="815"/>
      <c r="K51" s="815"/>
      <c r="L51" s="815"/>
      <c r="M51" s="815"/>
      <c r="N51" s="815"/>
      <c r="O51" s="815"/>
      <c r="P51" s="815"/>
      <c r="Q51" s="815"/>
      <c r="R51" s="815"/>
      <c r="S51" s="452"/>
      <c r="T51" s="815"/>
      <c r="U51" s="1280"/>
      <c r="AA51" s="837" t="s">
        <v>564</v>
      </c>
      <c r="AB51" s="1184"/>
      <c r="AC51" s="1184" t="s">
        <v>37</v>
      </c>
      <c r="AD51" s="1109"/>
      <c r="AE51" s="838"/>
      <c r="AF51" s="872"/>
      <c r="AG51" s="844"/>
      <c r="AH51" s="847"/>
      <c r="AL51" s="839"/>
      <c r="AM51" s="847"/>
      <c r="AS51" s="855"/>
      <c r="AT51" s="855"/>
      <c r="AU51" s="855"/>
      <c r="AV51" s="855"/>
      <c r="AW51" s="193"/>
      <c r="BC51" s="879"/>
      <c r="BD51" s="879"/>
      <c r="BE51" s="879"/>
      <c r="BF51" s="879"/>
      <c r="BG51" s="879"/>
      <c r="BH51" s="879"/>
      <c r="BI51" s="879"/>
      <c r="BJ51" s="879"/>
      <c r="BK51" s="879"/>
      <c r="BL51" s="879"/>
      <c r="BM51" s="879"/>
      <c r="BN51" s="879"/>
      <c r="BO51" s="879"/>
      <c r="BP51" s="879"/>
      <c r="BQ51" s="879"/>
      <c r="BR51" s="879"/>
      <c r="BS51" s="879"/>
      <c r="BT51" s="879"/>
      <c r="BU51" s="879"/>
      <c r="BV51" s="879"/>
      <c r="BW51" s="879"/>
    </row>
    <row r="52" spans="1:75" ht="20.100000000000001" customHeight="1">
      <c r="A52" s="815"/>
      <c r="B52" s="451"/>
      <c r="C52" s="815"/>
      <c r="D52" s="1328"/>
      <c r="E52" s="1328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452"/>
      <c r="T52" s="815"/>
      <c r="AA52" s="837" t="s">
        <v>565</v>
      </c>
      <c r="AB52" s="1184"/>
      <c r="AC52" s="1184" t="s">
        <v>597</v>
      </c>
      <c r="AD52" s="853">
        <f>+AD51/AD50</f>
        <v>0</v>
      </c>
      <c r="AE52" s="838"/>
      <c r="AF52" s="872"/>
      <c r="AG52" s="854"/>
      <c r="AW52" s="193"/>
      <c r="BC52" s="879"/>
      <c r="BD52" s="879"/>
      <c r="BE52" s="879"/>
      <c r="BF52" s="879"/>
      <c r="BG52" s="879"/>
      <c r="BH52" s="879"/>
      <c r="BI52" s="879"/>
      <c r="BJ52" s="879"/>
      <c r="BK52" s="879"/>
      <c r="BL52" s="879"/>
      <c r="BM52" s="879"/>
      <c r="BN52" s="879"/>
      <c r="BO52" s="879"/>
      <c r="BP52" s="879"/>
      <c r="BQ52" s="879"/>
      <c r="BR52" s="879"/>
      <c r="BS52" s="879"/>
      <c r="BT52" s="879"/>
      <c r="BU52" s="879"/>
      <c r="BV52" s="879"/>
      <c r="BW52" s="879"/>
    </row>
    <row r="53" spans="1:75" ht="20.100000000000001" customHeight="1">
      <c r="A53" s="815"/>
      <c r="B53" s="451"/>
      <c r="C53" s="815"/>
      <c r="D53" s="1328"/>
      <c r="E53" s="1328"/>
      <c r="F53" s="815"/>
      <c r="G53" s="815"/>
      <c r="H53" s="815"/>
      <c r="I53" s="815"/>
      <c r="J53" s="815"/>
      <c r="K53" s="815"/>
      <c r="L53" s="815"/>
      <c r="M53" s="815"/>
      <c r="N53" s="815"/>
      <c r="O53" s="815"/>
      <c r="P53" s="815"/>
      <c r="Q53" s="815"/>
      <c r="R53" s="815"/>
      <c r="S53" s="452"/>
      <c r="T53" s="815"/>
      <c r="AG53" s="847"/>
      <c r="AH53" s="847"/>
      <c r="AL53" s="839"/>
      <c r="AM53" s="839"/>
      <c r="AW53" s="193"/>
      <c r="BC53" s="879"/>
      <c r="BD53" s="879"/>
      <c r="BE53" s="879"/>
      <c r="BF53" s="879"/>
      <c r="BG53" s="879"/>
      <c r="BH53" s="879"/>
      <c r="BI53" s="879"/>
      <c r="BJ53" s="879"/>
      <c r="BK53" s="879"/>
      <c r="BL53" s="879"/>
      <c r="BM53" s="879"/>
      <c r="BN53" s="879"/>
      <c r="BO53" s="879"/>
      <c r="BP53" s="879"/>
      <c r="BQ53" s="879"/>
      <c r="BR53" s="879"/>
      <c r="BS53" s="879"/>
      <c r="BT53" s="879"/>
      <c r="BU53" s="879"/>
      <c r="BV53" s="879"/>
      <c r="BW53" s="879"/>
    </row>
    <row r="54" spans="1:75" ht="20.100000000000001" customHeight="1">
      <c r="A54" s="815"/>
      <c r="B54" s="451"/>
      <c r="C54" s="815"/>
      <c r="D54" s="1328"/>
      <c r="E54" s="1328"/>
      <c r="F54" s="815"/>
      <c r="G54" s="815"/>
      <c r="H54" s="815"/>
      <c r="I54" s="815"/>
      <c r="J54" s="815"/>
      <c r="K54" s="815"/>
      <c r="L54" s="815"/>
      <c r="M54" s="815"/>
      <c r="N54" s="815"/>
      <c r="O54" s="815"/>
      <c r="P54" s="815"/>
      <c r="Q54" s="815"/>
      <c r="R54" s="815"/>
      <c r="S54" s="452"/>
      <c r="T54" s="815"/>
      <c r="AA54" s="1308" t="s">
        <v>598</v>
      </c>
      <c r="AB54" s="297"/>
      <c r="AG54" s="860"/>
      <c r="AJ54" s="860"/>
      <c r="AK54" s="860"/>
      <c r="AW54" s="193"/>
      <c r="BC54" s="879"/>
      <c r="BD54" s="879"/>
      <c r="BE54" s="879"/>
      <c r="BF54" s="879"/>
      <c r="BG54" s="879"/>
      <c r="BH54" s="879"/>
      <c r="BI54" s="879"/>
      <c r="BJ54" s="879"/>
      <c r="BK54" s="879"/>
      <c r="BL54" s="879"/>
      <c r="BM54" s="879"/>
      <c r="BN54" s="879"/>
      <c r="BO54" s="879"/>
      <c r="BP54" s="879"/>
      <c r="BQ54" s="879"/>
      <c r="BR54" s="879"/>
      <c r="BS54" s="879"/>
      <c r="BT54" s="879"/>
      <c r="BU54" s="879"/>
      <c r="BV54" s="879"/>
      <c r="BW54" s="879"/>
    </row>
    <row r="55" spans="1:75" ht="20.100000000000001" customHeight="1">
      <c r="A55" s="815"/>
      <c r="B55" s="451"/>
      <c r="C55" s="815"/>
      <c r="D55" s="1328"/>
      <c r="E55" s="1328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452"/>
      <c r="T55" s="815"/>
      <c r="AG55" s="887" t="s">
        <v>570</v>
      </c>
      <c r="AH55" s="860"/>
      <c r="AI55" s="860"/>
      <c r="AJ55" s="860"/>
      <c r="AK55" s="860"/>
      <c r="AL55" s="860"/>
      <c r="AM55" s="860"/>
      <c r="AW55" s="193"/>
      <c r="BC55" s="879"/>
      <c r="BD55" s="879"/>
      <c r="BE55" s="879"/>
      <c r="BF55" s="879"/>
      <c r="BG55" s="879"/>
      <c r="BH55" s="879"/>
      <c r="BI55" s="879"/>
      <c r="BJ55" s="879"/>
      <c r="BK55" s="879"/>
      <c r="BL55" s="879"/>
      <c r="BM55" s="879"/>
      <c r="BN55" s="879"/>
      <c r="BO55" s="879"/>
      <c r="BP55" s="879"/>
      <c r="BQ55" s="879"/>
      <c r="BR55" s="879"/>
      <c r="BS55" s="879"/>
      <c r="BT55" s="879"/>
      <c r="BU55" s="879"/>
      <c r="BV55" s="879"/>
      <c r="BW55" s="879"/>
    </row>
    <row r="56" spans="1:75" ht="20.100000000000001" customHeight="1">
      <c r="A56" s="815"/>
      <c r="B56" s="451"/>
      <c r="C56" s="815"/>
      <c r="D56" s="1328"/>
      <c r="E56" s="1328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452"/>
      <c r="T56" s="815"/>
      <c r="AA56" s="1291" t="s">
        <v>571</v>
      </c>
      <c r="AB56" s="888"/>
      <c r="AC56" s="888"/>
      <c r="AD56" s="863" t="s">
        <v>572</v>
      </c>
      <c r="AE56" s="1180" t="s">
        <v>573</v>
      </c>
      <c r="AF56" s="864"/>
      <c r="AG56" s="888" t="s">
        <v>574</v>
      </c>
      <c r="AH56" s="888"/>
      <c r="AI56" s="863" t="s">
        <v>575</v>
      </c>
      <c r="AJ56" s="864" t="s">
        <v>576</v>
      </c>
      <c r="AK56" s="888"/>
      <c r="AL56" s="888" t="s">
        <v>577</v>
      </c>
      <c r="AM56" s="1292"/>
      <c r="AW56" s="193"/>
      <c r="BC56" s="879"/>
      <c r="BD56" s="879"/>
      <c r="BE56" s="879"/>
      <c r="BF56" s="879"/>
      <c r="BG56" s="879"/>
      <c r="BH56" s="879"/>
      <c r="BI56" s="879"/>
      <c r="BJ56" s="879"/>
      <c r="BK56" s="879"/>
      <c r="BL56" s="879"/>
      <c r="BM56" s="879"/>
      <c r="BN56" s="879"/>
      <c r="BO56" s="879"/>
      <c r="BP56" s="879"/>
      <c r="BQ56" s="879"/>
      <c r="BR56" s="879"/>
      <c r="BS56" s="879"/>
      <c r="BT56" s="879"/>
      <c r="BU56" s="879"/>
      <c r="BV56" s="879"/>
      <c r="BW56" s="879"/>
    </row>
    <row r="57" spans="1:75" ht="26.25" customHeight="1">
      <c r="A57" s="815"/>
      <c r="B57" s="451"/>
      <c r="C57" s="815"/>
      <c r="E57" s="815"/>
      <c r="F57" s="815"/>
      <c r="G57" s="815"/>
      <c r="H57" s="815"/>
      <c r="I57" s="815"/>
      <c r="J57" s="815"/>
      <c r="K57" s="815"/>
      <c r="L57" s="815"/>
      <c r="M57" s="815"/>
      <c r="N57" s="815"/>
      <c r="O57" s="815"/>
      <c r="P57" s="815"/>
      <c r="Q57" s="815"/>
      <c r="R57" s="815"/>
      <c r="S57" s="452"/>
      <c r="T57" s="815"/>
      <c r="AA57" s="1293" t="s">
        <v>578</v>
      </c>
      <c r="AD57" s="866" t="s">
        <v>579</v>
      </c>
      <c r="AE57" s="1181"/>
      <c r="AF57" s="1182"/>
      <c r="AG57" s="855" t="s">
        <v>15</v>
      </c>
      <c r="AH57" s="873"/>
      <c r="AI57" s="867" t="s">
        <v>580</v>
      </c>
      <c r="AJ57" s="868" t="s">
        <v>167</v>
      </c>
      <c r="AK57" s="873"/>
      <c r="AM57" s="868"/>
      <c r="AW57" s="193"/>
      <c r="BC57" s="879"/>
      <c r="BD57" s="879"/>
      <c r="BE57" s="879"/>
      <c r="BF57" s="879"/>
      <c r="BG57" s="879"/>
      <c r="BH57" s="879"/>
      <c r="BI57" s="879"/>
      <c r="BJ57" s="879"/>
      <c r="BK57" s="879"/>
      <c r="BL57" s="879"/>
      <c r="BM57" s="879"/>
      <c r="BN57" s="879"/>
      <c r="BO57" s="879"/>
      <c r="BP57" s="879"/>
      <c r="BQ57" s="879"/>
      <c r="BR57" s="879"/>
      <c r="BS57" s="879"/>
      <c r="BT57" s="879"/>
      <c r="BU57" s="879"/>
      <c r="BV57" s="879"/>
      <c r="BW57" s="879"/>
    </row>
    <row r="58" spans="1:75" ht="26.25" customHeight="1">
      <c r="A58" s="815"/>
      <c r="B58" s="451"/>
      <c r="C58" s="815"/>
      <c r="K58" s="815"/>
      <c r="L58" s="815"/>
      <c r="M58" s="815"/>
      <c r="N58" s="815"/>
      <c r="O58" s="815"/>
      <c r="P58" s="815"/>
      <c r="Q58" s="815"/>
      <c r="R58" s="815"/>
      <c r="S58" s="452"/>
      <c r="T58" s="815"/>
      <c r="U58" s="1309"/>
      <c r="Y58" s="1310"/>
      <c r="Z58" s="1310"/>
      <c r="AA58" s="837"/>
      <c r="AB58" s="1184"/>
      <c r="AC58" s="1184"/>
      <c r="AD58" s="871" t="s">
        <v>583</v>
      </c>
      <c r="AE58" s="1183" t="s">
        <v>390</v>
      </c>
      <c r="AF58" s="872"/>
      <c r="AG58" s="1184" t="s">
        <v>584</v>
      </c>
      <c r="AH58" s="1184"/>
      <c r="AI58" s="871" t="s">
        <v>585</v>
      </c>
      <c r="AJ58" s="872" t="s">
        <v>586</v>
      </c>
      <c r="AK58" s="1183" t="s">
        <v>587</v>
      </c>
      <c r="AL58" s="1184"/>
      <c r="AM58" s="872"/>
      <c r="AS58" s="1310"/>
      <c r="AT58" s="1310"/>
      <c r="AU58" s="1310"/>
      <c r="AV58" s="1310"/>
      <c r="AW58" s="193"/>
      <c r="BC58" s="879"/>
      <c r="BD58" s="879"/>
      <c r="BE58" s="879"/>
      <c r="BF58" s="879"/>
      <c r="BG58" s="879"/>
      <c r="BH58" s="879"/>
      <c r="BI58" s="879"/>
      <c r="BJ58" s="879"/>
      <c r="BK58" s="879"/>
      <c r="BL58" s="879"/>
      <c r="BM58" s="879"/>
      <c r="BN58" s="879"/>
      <c r="BO58" s="879"/>
      <c r="BP58" s="879"/>
      <c r="BQ58" s="879"/>
      <c r="BR58" s="879"/>
      <c r="BS58" s="879"/>
      <c r="BT58" s="879"/>
      <c r="BU58" s="879"/>
      <c r="BV58" s="879"/>
      <c r="BW58" s="879"/>
    </row>
    <row r="59" spans="1:75" ht="20.100000000000001" customHeight="1">
      <c r="A59" s="815"/>
      <c r="B59" s="451"/>
      <c r="C59" s="815"/>
      <c r="K59" s="815"/>
      <c r="L59" s="815"/>
      <c r="M59" s="815"/>
      <c r="N59" s="815"/>
      <c r="O59" s="815"/>
      <c r="P59" s="815"/>
      <c r="Q59" s="815"/>
      <c r="R59" s="815"/>
      <c r="S59" s="452"/>
      <c r="T59" s="815"/>
      <c r="Y59" s="873">
        <f t="shared" ref="Y59:Y83" si="14">AL59</f>
        <v>0</v>
      </c>
      <c r="AA59" s="869">
        <v>0</v>
      </c>
      <c r="AB59" s="870"/>
      <c r="AC59" s="870"/>
      <c r="AD59" s="853">
        <f>+AA59/100</f>
        <v>0</v>
      </c>
      <c r="AE59" s="1296">
        <f>+(AD59/$AD$49)*100</f>
        <v>0</v>
      </c>
      <c r="AF59" s="1297"/>
      <c r="AG59" s="1356">
        <v>0</v>
      </c>
      <c r="AH59" s="1357"/>
      <c r="AI59" s="853">
        <f>+$AM$49*AG59</f>
        <v>0</v>
      </c>
      <c r="AJ59" s="1297">
        <f>+AD48</f>
        <v>1134.1149479459152</v>
      </c>
      <c r="AK59" s="1357"/>
      <c r="AL59" s="881">
        <f>+AI59/AJ59*10000</f>
        <v>0</v>
      </c>
      <c r="AM59" s="874"/>
      <c r="AW59" s="193"/>
      <c r="BC59" s="879"/>
      <c r="BD59" s="879"/>
      <c r="BE59" s="879"/>
      <c r="BF59" s="879"/>
      <c r="BG59" s="879"/>
      <c r="BH59" s="879"/>
      <c r="BI59" s="879"/>
      <c r="BJ59" s="879"/>
      <c r="BK59" s="879"/>
      <c r="BL59" s="879"/>
      <c r="BM59" s="879"/>
      <c r="BN59" s="879"/>
      <c r="BO59" s="879"/>
      <c r="BP59" s="879"/>
      <c r="BQ59" s="879"/>
      <c r="BR59" s="879"/>
      <c r="BS59" s="879"/>
      <c r="BT59" s="879"/>
      <c r="BU59" s="879"/>
      <c r="BV59" s="879"/>
      <c r="BW59" s="879"/>
    </row>
    <row r="60" spans="1:75">
      <c r="A60" s="815"/>
      <c r="B60" s="451"/>
      <c r="C60" s="815"/>
      <c r="K60" s="815"/>
      <c r="L60" s="815"/>
      <c r="M60" s="815"/>
      <c r="N60" s="815"/>
      <c r="O60" s="815"/>
      <c r="P60" s="815"/>
      <c r="Q60" s="815"/>
      <c r="R60" s="815"/>
      <c r="S60" s="452"/>
      <c r="T60" s="815"/>
      <c r="Y60" s="873" t="e">
        <f t="shared" si="14"/>
        <v>#VALUE!</v>
      </c>
      <c r="AA60" s="1354">
        <f>IF(AG60&lt;&gt;"",AA59+50,"")</f>
        <v>50</v>
      </c>
      <c r="AB60" s="1351"/>
      <c r="AC60" s="870"/>
      <c r="AD60" s="853">
        <f>IF(AG60&lt;&gt;"",AA60/100,"")</f>
        <v>0.5</v>
      </c>
      <c r="AE60" s="1296">
        <f t="shared" ref="AE60:AE83" si="15">IF(AG60&lt;&gt;"",(AD60/$AD$8)*100,"")</f>
        <v>0.6578947368421052</v>
      </c>
      <c r="AF60" s="854"/>
      <c r="AG60" s="1352" t="str" cm="1">
        <f t="array" ref="AG60">_xlfn._xlws.FILTER(W11:W34, W11:W34&lt;&gt;"")</f>
        <v>&lt;&gt;</v>
      </c>
      <c r="AH60" s="1184"/>
      <c r="AI60" s="853" t="e">
        <f t="shared" ref="AI60:AI83" si="16">IF(AG60&lt;&gt;"",$AM$10*AG60/100,"")</f>
        <v>#VALUE!</v>
      </c>
      <c r="AJ60" s="1297">
        <f t="shared" ref="AJ60:AJ83" si="17">IF(AE60&lt;&gt;"",$AJ$18/(1-(AE60/100)),"")</f>
        <v>1141.6256429654245</v>
      </c>
      <c r="AK60" s="1357"/>
      <c r="AL60" s="881" t="e">
        <f>IF(OR(AI60="",AJ60=""),"",AI60/AJ60*10000)</f>
        <v>#VALUE!</v>
      </c>
      <c r="AM60" s="874"/>
      <c r="AW60" s="193"/>
      <c r="BC60" s="879"/>
      <c r="BD60" s="879"/>
      <c r="BE60" s="879"/>
      <c r="BF60" s="879"/>
      <c r="BG60" s="879"/>
      <c r="BH60" s="879"/>
      <c r="BI60" s="879"/>
      <c r="BJ60" s="879"/>
      <c r="BK60" s="879"/>
      <c r="BL60" s="879"/>
      <c r="BM60" s="879"/>
      <c r="BN60" s="879"/>
      <c r="BO60" s="879"/>
      <c r="BP60" s="879"/>
      <c r="BQ60" s="879"/>
      <c r="BR60" s="879"/>
      <c r="BS60" s="879"/>
      <c r="BT60" s="879"/>
      <c r="BU60" s="879"/>
      <c r="BV60" s="879"/>
      <c r="BW60" s="879"/>
    </row>
    <row r="61" spans="1:75" ht="21" customHeight="1">
      <c r="A61" s="815"/>
      <c r="B61" s="851"/>
      <c r="C61" s="850"/>
      <c r="K61" s="850"/>
      <c r="L61" s="850"/>
      <c r="M61" s="850"/>
      <c r="N61" s="850"/>
      <c r="O61" s="850"/>
      <c r="P61" s="850"/>
      <c r="Q61" s="850"/>
      <c r="R61" s="850"/>
      <c r="S61" s="852"/>
      <c r="T61" s="815"/>
      <c r="Y61" s="873" t="str">
        <f t="shared" si="14"/>
        <v/>
      </c>
      <c r="AA61" s="1354" t="str">
        <f t="shared" ref="AA61:AA83" si="18">IF(AG61&lt;&gt;"",AA60+50,"")</f>
        <v/>
      </c>
      <c r="AB61" s="1351"/>
      <c r="AC61" s="870"/>
      <c r="AD61" s="853" t="str">
        <f t="shared" ref="AD61:AD83" si="19">IF(AG61&lt;&gt;"",AA61/100,"")</f>
        <v/>
      </c>
      <c r="AE61" s="1296" t="str">
        <f t="shared" si="15"/>
        <v/>
      </c>
      <c r="AF61" s="854"/>
      <c r="AG61" s="1358"/>
      <c r="AH61" s="1184"/>
      <c r="AI61" s="853" t="str">
        <f t="shared" si="16"/>
        <v/>
      </c>
      <c r="AJ61" s="1297" t="str">
        <f t="shared" si="17"/>
        <v/>
      </c>
      <c r="AK61" s="1357"/>
      <c r="AL61" s="881" t="str">
        <f t="shared" ref="AL61:AL83" si="20">IF(OR(AI61="",AJ61=""),"",AI61/AJ61*10000)</f>
        <v/>
      </c>
      <c r="AM61" s="874"/>
      <c r="AW61" s="193"/>
      <c r="BC61" s="879"/>
      <c r="BD61" s="879"/>
      <c r="BE61" s="879"/>
      <c r="BF61" s="879"/>
      <c r="BG61" s="879"/>
      <c r="BH61" s="879"/>
      <c r="BI61" s="879"/>
      <c r="BJ61" s="879"/>
      <c r="BK61" s="879"/>
      <c r="BL61" s="879"/>
      <c r="BM61" s="879"/>
      <c r="BN61" s="879"/>
      <c r="BO61" s="879"/>
      <c r="BP61" s="879"/>
      <c r="BQ61" s="879"/>
      <c r="BR61" s="879"/>
      <c r="BS61" s="879"/>
      <c r="BT61" s="879"/>
      <c r="BU61" s="879"/>
      <c r="BV61" s="879"/>
      <c r="BW61" s="879"/>
    </row>
    <row r="62" spans="1:75" ht="21" customHeight="1">
      <c r="A62" s="815"/>
      <c r="B62" s="836"/>
      <c r="C62" s="889"/>
      <c r="D62" s="889"/>
      <c r="E62" s="889"/>
      <c r="F62" s="889"/>
      <c r="G62" s="889"/>
      <c r="H62" s="889"/>
      <c r="I62" s="889"/>
      <c r="J62" s="889"/>
      <c r="K62" s="889"/>
      <c r="L62" s="889"/>
      <c r="M62" s="889"/>
      <c r="N62" s="889"/>
      <c r="O62" s="889"/>
      <c r="P62" s="889"/>
      <c r="Q62" s="889"/>
      <c r="R62" s="889"/>
      <c r="S62" s="890"/>
      <c r="T62" s="815"/>
      <c r="Y62" s="873" t="str">
        <f t="shared" si="14"/>
        <v/>
      </c>
      <c r="AA62" s="1354" t="str">
        <f t="shared" si="18"/>
        <v/>
      </c>
      <c r="AB62" s="1351"/>
      <c r="AC62" s="870"/>
      <c r="AD62" s="853" t="str">
        <f t="shared" si="19"/>
        <v/>
      </c>
      <c r="AE62" s="1296" t="str">
        <f t="shared" si="15"/>
        <v/>
      </c>
      <c r="AF62" s="854"/>
      <c r="AG62" s="1358"/>
      <c r="AH62" s="1184"/>
      <c r="AI62" s="853" t="str">
        <f t="shared" si="16"/>
        <v/>
      </c>
      <c r="AJ62" s="1297" t="str">
        <f t="shared" si="17"/>
        <v/>
      </c>
      <c r="AK62" s="1357"/>
      <c r="AL62" s="881" t="str">
        <f t="shared" si="20"/>
        <v/>
      </c>
      <c r="AM62" s="874"/>
      <c r="AW62" s="193"/>
      <c r="BC62" s="879"/>
      <c r="BD62" s="879"/>
      <c r="BE62" s="879"/>
      <c r="BF62" s="879"/>
      <c r="BG62" s="879"/>
      <c r="BH62" s="879"/>
      <c r="BI62" s="879"/>
      <c r="BJ62" s="879"/>
      <c r="BK62" s="879"/>
      <c r="BL62" s="879"/>
      <c r="BM62" s="879"/>
      <c r="BN62" s="879"/>
      <c r="BO62" s="879"/>
      <c r="BP62" s="879"/>
      <c r="BQ62" s="879"/>
      <c r="BR62" s="879"/>
      <c r="BS62" s="879"/>
      <c r="BT62" s="879"/>
      <c r="BU62" s="879"/>
      <c r="BV62" s="879"/>
      <c r="BW62" s="879"/>
    </row>
    <row r="63" spans="1:75" ht="21" customHeight="1">
      <c r="A63" s="815"/>
      <c r="B63" s="818"/>
      <c r="C63" s="818"/>
      <c r="D63" s="818"/>
      <c r="E63" s="818"/>
      <c r="F63" s="818"/>
      <c r="G63" s="818"/>
      <c r="H63" s="818"/>
      <c r="I63" s="818"/>
      <c r="J63" s="818"/>
      <c r="K63" s="818"/>
      <c r="L63" s="818"/>
      <c r="M63" s="818"/>
      <c r="N63" s="818"/>
      <c r="O63" s="818"/>
      <c r="P63" s="818"/>
      <c r="Q63" s="818"/>
      <c r="R63" s="1056"/>
      <c r="S63" s="818"/>
      <c r="T63" s="815"/>
      <c r="Y63" s="873" t="str">
        <f t="shared" si="14"/>
        <v/>
      </c>
      <c r="AA63" s="1354" t="str">
        <f t="shared" si="18"/>
        <v/>
      </c>
      <c r="AB63" s="1351"/>
      <c r="AC63" s="870"/>
      <c r="AD63" s="853" t="str">
        <f t="shared" si="19"/>
        <v/>
      </c>
      <c r="AE63" s="1296" t="str">
        <f t="shared" si="15"/>
        <v/>
      </c>
      <c r="AF63" s="854"/>
      <c r="AG63" s="1358"/>
      <c r="AH63" s="1184"/>
      <c r="AI63" s="853" t="str">
        <f t="shared" si="16"/>
        <v/>
      </c>
      <c r="AJ63" s="1297" t="str">
        <f t="shared" si="17"/>
        <v/>
      </c>
      <c r="AK63" s="1357"/>
      <c r="AL63" s="881" t="str">
        <f t="shared" si="20"/>
        <v/>
      </c>
      <c r="AM63" s="874"/>
      <c r="AW63" s="193"/>
      <c r="BC63" s="879"/>
      <c r="BD63" s="879"/>
      <c r="BE63" s="879"/>
      <c r="BF63" s="879"/>
      <c r="BG63" s="879"/>
      <c r="BH63" s="879"/>
      <c r="BI63" s="879"/>
      <c r="BJ63" s="879"/>
      <c r="BK63" s="879"/>
      <c r="BL63" s="879"/>
      <c r="BM63" s="879"/>
      <c r="BN63" s="879"/>
      <c r="BO63" s="879"/>
      <c r="BP63" s="879"/>
      <c r="BQ63" s="879"/>
      <c r="BR63" s="879"/>
      <c r="BS63" s="879"/>
      <c r="BT63" s="879"/>
      <c r="BU63" s="879"/>
      <c r="BV63" s="879"/>
      <c r="BW63" s="879"/>
    </row>
    <row r="64" spans="1:75" ht="21" customHeight="1">
      <c r="A64" s="815"/>
      <c r="T64" s="815"/>
      <c r="Y64" s="873" t="str">
        <f t="shared" si="14"/>
        <v/>
      </c>
      <c r="AA64" s="1354" t="str">
        <f t="shared" si="18"/>
        <v/>
      </c>
      <c r="AB64" s="1351"/>
      <c r="AC64" s="870"/>
      <c r="AD64" s="853" t="str">
        <f t="shared" si="19"/>
        <v/>
      </c>
      <c r="AE64" s="1296" t="str">
        <f t="shared" si="15"/>
        <v/>
      </c>
      <c r="AF64" s="854"/>
      <c r="AG64" s="1358"/>
      <c r="AH64" s="1184"/>
      <c r="AI64" s="853" t="str">
        <f t="shared" si="16"/>
        <v/>
      </c>
      <c r="AJ64" s="1297" t="str">
        <f t="shared" si="17"/>
        <v/>
      </c>
      <c r="AK64" s="1357"/>
      <c r="AL64" s="881" t="str">
        <f t="shared" si="20"/>
        <v/>
      </c>
      <c r="AM64" s="874"/>
      <c r="AW64" s="193"/>
      <c r="BC64" s="879"/>
      <c r="BD64" s="879"/>
      <c r="BE64" s="879"/>
      <c r="BF64" s="879"/>
      <c r="BG64" s="879"/>
      <c r="BH64" s="879"/>
      <c r="BI64" s="879"/>
      <c r="BJ64" s="879"/>
      <c r="BK64" s="879"/>
      <c r="BL64" s="879"/>
      <c r="BM64" s="879"/>
      <c r="BN64" s="879"/>
      <c r="BO64" s="879"/>
      <c r="BP64" s="879"/>
      <c r="BQ64" s="879"/>
      <c r="BR64" s="879"/>
      <c r="BS64" s="879"/>
      <c r="BT64" s="879"/>
      <c r="BU64" s="879"/>
      <c r="BV64" s="879"/>
      <c r="BW64" s="879"/>
    </row>
    <row r="65" spans="1:75">
      <c r="A65" s="815"/>
      <c r="C65" s="897" t="s">
        <v>795</v>
      </c>
      <c r="D65" s="815"/>
      <c r="E65" s="815"/>
      <c r="F65" s="815"/>
      <c r="G65" s="815"/>
      <c r="H65" s="815"/>
      <c r="I65" s="815"/>
      <c r="T65" s="815"/>
      <c r="Y65" s="873" t="str">
        <f t="shared" si="14"/>
        <v/>
      </c>
      <c r="AA65" s="1354" t="str">
        <f t="shared" si="18"/>
        <v/>
      </c>
      <c r="AB65" s="1351"/>
      <c r="AC65" s="870"/>
      <c r="AD65" s="853" t="str">
        <f t="shared" si="19"/>
        <v/>
      </c>
      <c r="AE65" s="1296" t="str">
        <f t="shared" si="15"/>
        <v/>
      </c>
      <c r="AF65" s="854"/>
      <c r="AG65" s="1358"/>
      <c r="AH65" s="1184"/>
      <c r="AI65" s="853" t="str">
        <f t="shared" si="16"/>
        <v/>
      </c>
      <c r="AJ65" s="1297" t="str">
        <f t="shared" si="17"/>
        <v/>
      </c>
      <c r="AK65" s="1357"/>
      <c r="AL65" s="881" t="str">
        <f t="shared" si="20"/>
        <v/>
      </c>
      <c r="AM65" s="874"/>
      <c r="AW65" s="193"/>
      <c r="BC65" s="879"/>
      <c r="BD65" s="879"/>
      <c r="BE65" s="879"/>
      <c r="BF65" s="879"/>
      <c r="BG65" s="879"/>
      <c r="BH65" s="879"/>
      <c r="BI65" s="879"/>
      <c r="BJ65" s="879"/>
      <c r="BK65" s="879"/>
      <c r="BL65" s="879"/>
      <c r="BM65" s="879"/>
      <c r="BN65" s="879"/>
      <c r="BO65" s="879"/>
      <c r="BP65" s="879"/>
      <c r="BQ65" s="879"/>
      <c r="BR65" s="879"/>
      <c r="BS65" s="879"/>
      <c r="BT65" s="879"/>
      <c r="BU65" s="879"/>
      <c r="BV65" s="879"/>
      <c r="BW65" s="879"/>
    </row>
    <row r="66" spans="1:75">
      <c r="A66" s="815"/>
      <c r="C66" s="815" t="s">
        <v>613</v>
      </c>
      <c r="D66" s="815"/>
      <c r="E66" s="815"/>
      <c r="F66" s="815"/>
      <c r="G66" s="815"/>
      <c r="H66" s="815"/>
      <c r="I66" s="815"/>
      <c r="T66" s="815"/>
      <c r="Y66" s="873" t="str">
        <f t="shared" si="14"/>
        <v/>
      </c>
      <c r="AA66" s="1354" t="str">
        <f t="shared" si="18"/>
        <v/>
      </c>
      <c r="AB66" s="1351"/>
      <c r="AC66" s="870"/>
      <c r="AD66" s="853" t="str">
        <f t="shared" si="19"/>
        <v/>
      </c>
      <c r="AE66" s="1296" t="str">
        <f t="shared" si="15"/>
        <v/>
      </c>
      <c r="AF66" s="854"/>
      <c r="AG66" s="1358"/>
      <c r="AH66" s="1184"/>
      <c r="AI66" s="853" t="str">
        <f t="shared" si="16"/>
        <v/>
      </c>
      <c r="AJ66" s="1297" t="str">
        <f t="shared" si="17"/>
        <v/>
      </c>
      <c r="AK66" s="1357"/>
      <c r="AL66" s="881" t="str">
        <f t="shared" si="20"/>
        <v/>
      </c>
      <c r="AM66" s="874"/>
      <c r="AW66" s="193"/>
      <c r="BC66" s="879"/>
      <c r="BD66" s="879"/>
      <c r="BE66" s="879"/>
      <c r="BF66" s="879"/>
      <c r="BG66" s="879"/>
      <c r="BH66" s="879"/>
      <c r="BI66" s="879"/>
      <c r="BJ66" s="879"/>
      <c r="BK66" s="879"/>
      <c r="BL66" s="879"/>
      <c r="BM66" s="879"/>
      <c r="BN66" s="879"/>
      <c r="BO66" s="879"/>
      <c r="BP66" s="879"/>
      <c r="BQ66" s="879"/>
      <c r="BR66" s="879"/>
      <c r="BS66" s="879"/>
      <c r="BT66" s="879"/>
      <c r="BU66" s="879"/>
      <c r="BV66" s="879"/>
      <c r="BW66" s="879"/>
    </row>
    <row r="67" spans="1:75">
      <c r="A67" s="815"/>
      <c r="C67" s="815" t="s">
        <v>613</v>
      </c>
      <c r="D67" s="815"/>
      <c r="E67" s="815"/>
      <c r="F67" s="815"/>
      <c r="G67" s="815"/>
      <c r="H67" s="815"/>
      <c r="I67" s="815"/>
      <c r="T67" s="815"/>
      <c r="Y67" s="873" t="str">
        <f t="shared" si="14"/>
        <v/>
      </c>
      <c r="AA67" s="1354" t="str">
        <f t="shared" si="18"/>
        <v/>
      </c>
      <c r="AB67" s="1351"/>
      <c r="AC67" s="870"/>
      <c r="AD67" s="853" t="str">
        <f t="shared" si="19"/>
        <v/>
      </c>
      <c r="AE67" s="1296" t="str">
        <f t="shared" si="15"/>
        <v/>
      </c>
      <c r="AF67" s="854"/>
      <c r="AG67" s="1358"/>
      <c r="AH67" s="1184"/>
      <c r="AI67" s="853" t="str">
        <f t="shared" si="16"/>
        <v/>
      </c>
      <c r="AJ67" s="1297" t="str">
        <f t="shared" si="17"/>
        <v/>
      </c>
      <c r="AK67" s="1357"/>
      <c r="AL67" s="881" t="str">
        <f t="shared" si="20"/>
        <v/>
      </c>
      <c r="AM67" s="874"/>
      <c r="AW67" s="193"/>
      <c r="BC67" s="879"/>
      <c r="BD67" s="879"/>
      <c r="BE67" s="879"/>
      <c r="BF67" s="879"/>
      <c r="BG67" s="879"/>
      <c r="BH67" s="879"/>
      <c r="BI67" s="879"/>
      <c r="BJ67" s="879"/>
      <c r="BK67" s="879"/>
      <c r="BL67" s="879"/>
      <c r="BM67" s="879"/>
      <c r="BN67" s="879"/>
      <c r="BO67" s="879"/>
      <c r="BP67" s="879"/>
      <c r="BQ67" s="879"/>
      <c r="BR67" s="879"/>
      <c r="BS67" s="879"/>
      <c r="BT67" s="879"/>
      <c r="BU67" s="879"/>
      <c r="BV67" s="879"/>
      <c r="BW67" s="879"/>
    </row>
    <row r="68" spans="1:75">
      <c r="A68" s="815"/>
      <c r="C68" s="815" t="s">
        <v>613</v>
      </c>
      <c r="D68" s="815"/>
      <c r="E68" s="815"/>
      <c r="F68" s="815"/>
      <c r="G68" s="815"/>
      <c r="H68" s="850"/>
      <c r="I68" s="850"/>
      <c r="T68" s="815"/>
      <c r="Y68" s="873" t="str">
        <f t="shared" si="14"/>
        <v/>
      </c>
      <c r="AA68" s="1354" t="str">
        <f t="shared" si="18"/>
        <v/>
      </c>
      <c r="AB68" s="1351"/>
      <c r="AC68" s="870"/>
      <c r="AD68" s="853" t="str">
        <f t="shared" si="19"/>
        <v/>
      </c>
      <c r="AE68" s="1296" t="str">
        <f t="shared" si="15"/>
        <v/>
      </c>
      <c r="AF68" s="854"/>
      <c r="AG68" s="1358"/>
      <c r="AH68" s="1184"/>
      <c r="AI68" s="853" t="str">
        <f t="shared" si="16"/>
        <v/>
      </c>
      <c r="AJ68" s="1297" t="str">
        <f t="shared" si="17"/>
        <v/>
      </c>
      <c r="AK68" s="1357"/>
      <c r="AL68" s="881" t="str">
        <f t="shared" si="20"/>
        <v/>
      </c>
      <c r="AM68" s="874"/>
      <c r="AW68" s="193"/>
      <c r="BC68" s="879"/>
      <c r="BD68" s="879"/>
      <c r="BE68" s="879"/>
      <c r="BF68" s="879"/>
      <c r="BG68" s="879"/>
      <c r="BH68" s="879"/>
      <c r="BI68" s="879"/>
      <c r="BJ68" s="879"/>
      <c r="BK68" s="879"/>
      <c r="BL68" s="879"/>
      <c r="BM68" s="879"/>
      <c r="BN68" s="879"/>
      <c r="BO68" s="879"/>
      <c r="BP68" s="879"/>
      <c r="BQ68" s="879"/>
      <c r="BR68" s="879"/>
      <c r="BS68" s="879"/>
      <c r="BT68" s="879"/>
      <c r="BU68" s="879"/>
      <c r="BV68" s="879"/>
      <c r="BW68" s="879"/>
    </row>
    <row r="69" spans="1:75">
      <c r="A69" s="815"/>
      <c r="C69" s="815" t="s">
        <v>613</v>
      </c>
      <c r="D69" s="850"/>
      <c r="E69" s="850"/>
      <c r="F69" s="850"/>
      <c r="G69" s="850"/>
      <c r="H69" s="850"/>
      <c r="I69" s="850"/>
      <c r="T69" s="815"/>
      <c r="Y69" s="873" t="str">
        <f t="shared" si="14"/>
        <v/>
      </c>
      <c r="AA69" s="1354" t="str">
        <f t="shared" si="18"/>
        <v/>
      </c>
      <c r="AB69" s="1351"/>
      <c r="AC69" s="870"/>
      <c r="AD69" s="853" t="str">
        <f t="shared" si="19"/>
        <v/>
      </c>
      <c r="AE69" s="1296" t="str">
        <f t="shared" si="15"/>
        <v/>
      </c>
      <c r="AF69" s="854"/>
      <c r="AG69" s="1358"/>
      <c r="AH69" s="1184"/>
      <c r="AI69" s="853" t="str">
        <f t="shared" si="16"/>
        <v/>
      </c>
      <c r="AJ69" s="1297" t="str">
        <f t="shared" si="17"/>
        <v/>
      </c>
      <c r="AK69" s="1357"/>
      <c r="AL69" s="881" t="str">
        <f t="shared" si="20"/>
        <v/>
      </c>
      <c r="AM69" s="874"/>
      <c r="AW69" s="193"/>
    </row>
    <row r="70" spans="1:75">
      <c r="A70" s="850"/>
      <c r="T70" s="815"/>
      <c r="Y70" s="873" t="str">
        <f t="shared" si="14"/>
        <v/>
      </c>
      <c r="AA70" s="1354" t="str">
        <f t="shared" si="18"/>
        <v/>
      </c>
      <c r="AB70" s="1351"/>
      <c r="AC70" s="870"/>
      <c r="AD70" s="853" t="str">
        <f t="shared" si="19"/>
        <v/>
      </c>
      <c r="AE70" s="1296" t="str">
        <f t="shared" si="15"/>
        <v/>
      </c>
      <c r="AF70" s="854"/>
      <c r="AG70" s="1358"/>
      <c r="AH70" s="1184"/>
      <c r="AI70" s="853" t="str">
        <f t="shared" si="16"/>
        <v/>
      </c>
      <c r="AJ70" s="1297" t="str">
        <f t="shared" si="17"/>
        <v/>
      </c>
      <c r="AK70" s="1357"/>
      <c r="AL70" s="881" t="str">
        <f t="shared" si="20"/>
        <v/>
      </c>
      <c r="AM70" s="874"/>
      <c r="AW70" s="193"/>
    </row>
    <row r="71" spans="1:75">
      <c r="A71" s="850"/>
      <c r="T71" s="850"/>
      <c r="Y71" s="873" t="str">
        <f t="shared" si="14"/>
        <v/>
      </c>
      <c r="AA71" s="1354" t="str">
        <f t="shared" si="18"/>
        <v/>
      </c>
      <c r="AB71" s="1351"/>
      <c r="AC71" s="870"/>
      <c r="AD71" s="853" t="str">
        <f t="shared" si="19"/>
        <v/>
      </c>
      <c r="AE71" s="1296" t="str">
        <f t="shared" si="15"/>
        <v/>
      </c>
      <c r="AF71" s="854"/>
      <c r="AG71" s="1358"/>
      <c r="AH71" s="1184"/>
      <c r="AI71" s="853" t="str">
        <f t="shared" si="16"/>
        <v/>
      </c>
      <c r="AJ71" s="1297" t="str">
        <f t="shared" si="17"/>
        <v/>
      </c>
      <c r="AK71" s="1357"/>
      <c r="AL71" s="881" t="str">
        <f t="shared" si="20"/>
        <v/>
      </c>
      <c r="AM71" s="874"/>
      <c r="AP71" s="873"/>
      <c r="AW71" s="193"/>
    </row>
    <row r="72" spans="1:75">
      <c r="A72" s="850"/>
      <c r="T72" s="850"/>
      <c r="Y72" s="873" t="str">
        <f t="shared" si="14"/>
        <v/>
      </c>
      <c r="AA72" s="1354" t="str">
        <f t="shared" si="18"/>
        <v/>
      </c>
      <c r="AB72" s="1351"/>
      <c r="AC72" s="870"/>
      <c r="AD72" s="853" t="str">
        <f t="shared" si="19"/>
        <v/>
      </c>
      <c r="AE72" s="1296" t="str">
        <f t="shared" si="15"/>
        <v/>
      </c>
      <c r="AF72" s="854"/>
      <c r="AG72" s="1358"/>
      <c r="AH72" s="1184"/>
      <c r="AI72" s="853" t="str">
        <f t="shared" si="16"/>
        <v/>
      </c>
      <c r="AJ72" s="1297" t="str">
        <f t="shared" si="17"/>
        <v/>
      </c>
      <c r="AK72" s="1357"/>
      <c r="AL72" s="881" t="str">
        <f t="shared" si="20"/>
        <v/>
      </c>
      <c r="AM72" s="874"/>
      <c r="AW72" s="193"/>
    </row>
    <row r="73" spans="1:75">
      <c r="A73" s="850"/>
      <c r="T73" s="850"/>
      <c r="Y73" s="873" t="str">
        <f t="shared" si="14"/>
        <v/>
      </c>
      <c r="AA73" s="1354" t="str">
        <f t="shared" si="18"/>
        <v/>
      </c>
      <c r="AB73" s="1351"/>
      <c r="AC73" s="870"/>
      <c r="AD73" s="853" t="str">
        <f t="shared" si="19"/>
        <v/>
      </c>
      <c r="AE73" s="1296" t="str">
        <f t="shared" si="15"/>
        <v/>
      </c>
      <c r="AF73" s="854"/>
      <c r="AG73" s="1358"/>
      <c r="AH73" s="1184"/>
      <c r="AI73" s="853" t="str">
        <f t="shared" si="16"/>
        <v/>
      </c>
      <c r="AJ73" s="1297" t="str">
        <f t="shared" si="17"/>
        <v/>
      </c>
      <c r="AK73" s="1357"/>
      <c r="AL73" s="881" t="str">
        <f t="shared" si="20"/>
        <v/>
      </c>
      <c r="AM73" s="874"/>
      <c r="AW73" s="193"/>
    </row>
    <row r="74" spans="1:75">
      <c r="A74" s="850"/>
      <c r="T74" s="850"/>
      <c r="Y74" s="873" t="str">
        <f t="shared" si="14"/>
        <v/>
      </c>
      <c r="AA74" s="1354" t="str">
        <f t="shared" si="18"/>
        <v/>
      </c>
      <c r="AB74" s="1351"/>
      <c r="AC74" s="870"/>
      <c r="AD74" s="853" t="str">
        <f t="shared" si="19"/>
        <v/>
      </c>
      <c r="AE74" s="1296" t="str">
        <f t="shared" si="15"/>
        <v/>
      </c>
      <c r="AF74" s="854"/>
      <c r="AG74" s="1358"/>
      <c r="AH74" s="1184"/>
      <c r="AI74" s="853" t="str">
        <f t="shared" si="16"/>
        <v/>
      </c>
      <c r="AJ74" s="1297" t="str">
        <f t="shared" si="17"/>
        <v/>
      </c>
      <c r="AK74" s="1357"/>
      <c r="AL74" s="881" t="str">
        <f t="shared" si="20"/>
        <v/>
      </c>
      <c r="AM74" s="874"/>
      <c r="AW74" s="193"/>
    </row>
    <row r="75" spans="1:75">
      <c r="A75" s="850"/>
      <c r="T75" s="850"/>
      <c r="Y75" s="873" t="str">
        <f t="shared" si="14"/>
        <v/>
      </c>
      <c r="AA75" s="1354" t="str">
        <f t="shared" si="18"/>
        <v/>
      </c>
      <c r="AB75" s="1351"/>
      <c r="AC75" s="870"/>
      <c r="AD75" s="853" t="str">
        <f t="shared" si="19"/>
        <v/>
      </c>
      <c r="AE75" s="1296" t="str">
        <f t="shared" si="15"/>
        <v/>
      </c>
      <c r="AF75" s="854"/>
      <c r="AG75" s="1358"/>
      <c r="AH75" s="1184"/>
      <c r="AI75" s="853" t="str">
        <f t="shared" si="16"/>
        <v/>
      </c>
      <c r="AJ75" s="1297" t="str">
        <f t="shared" si="17"/>
        <v/>
      </c>
      <c r="AK75" s="1357"/>
      <c r="AL75" s="881" t="str">
        <f t="shared" si="20"/>
        <v/>
      </c>
      <c r="AM75" s="874"/>
      <c r="AW75" s="193"/>
    </row>
    <row r="76" spans="1:75">
      <c r="A76" s="850"/>
      <c r="T76" s="850"/>
      <c r="Y76" s="873" t="str">
        <f t="shared" si="14"/>
        <v/>
      </c>
      <c r="AA76" s="1354" t="str">
        <f>IF(AG76&lt;&gt;"",AA75+50,"")</f>
        <v/>
      </c>
      <c r="AB76" s="1351"/>
      <c r="AC76" s="870"/>
      <c r="AD76" s="853" t="str">
        <f t="shared" si="19"/>
        <v/>
      </c>
      <c r="AE76" s="1296" t="str">
        <f t="shared" si="15"/>
        <v/>
      </c>
      <c r="AF76" s="854"/>
      <c r="AG76" s="1358"/>
      <c r="AH76" s="1184"/>
      <c r="AI76" s="853" t="str">
        <f t="shared" si="16"/>
        <v/>
      </c>
      <c r="AJ76" s="1297" t="str">
        <f t="shared" si="17"/>
        <v/>
      </c>
      <c r="AK76" s="1357"/>
      <c r="AL76" s="881" t="str">
        <f t="shared" si="20"/>
        <v/>
      </c>
      <c r="AM76" s="874"/>
      <c r="AW76" s="193"/>
    </row>
    <row r="77" spans="1:75">
      <c r="A77" s="850"/>
      <c r="T77" s="850"/>
      <c r="Y77" s="873" t="str">
        <f t="shared" si="14"/>
        <v/>
      </c>
      <c r="AA77" s="1354" t="str">
        <f t="shared" si="18"/>
        <v/>
      </c>
      <c r="AB77" s="1351"/>
      <c r="AC77" s="870"/>
      <c r="AD77" s="853" t="str">
        <f t="shared" si="19"/>
        <v/>
      </c>
      <c r="AE77" s="1296" t="str">
        <f t="shared" si="15"/>
        <v/>
      </c>
      <c r="AF77" s="854"/>
      <c r="AG77" s="1358"/>
      <c r="AH77" s="1184"/>
      <c r="AI77" s="853" t="str">
        <f t="shared" si="16"/>
        <v/>
      </c>
      <c r="AJ77" s="1297" t="str">
        <f t="shared" si="17"/>
        <v/>
      </c>
      <c r="AK77" s="1357"/>
      <c r="AL77" s="881" t="str">
        <f t="shared" si="20"/>
        <v/>
      </c>
      <c r="AM77" s="874"/>
      <c r="AW77" s="193"/>
    </row>
    <row r="78" spans="1:75">
      <c r="A78" s="850"/>
      <c r="T78" s="850"/>
      <c r="Y78" s="873" t="str">
        <f t="shared" si="14"/>
        <v/>
      </c>
      <c r="AA78" s="1354" t="str">
        <f t="shared" si="18"/>
        <v/>
      </c>
      <c r="AB78" s="1351"/>
      <c r="AC78" s="870"/>
      <c r="AD78" s="853" t="str">
        <f t="shared" si="19"/>
        <v/>
      </c>
      <c r="AE78" s="1296" t="str">
        <f t="shared" si="15"/>
        <v/>
      </c>
      <c r="AF78" s="854"/>
      <c r="AG78" s="1358"/>
      <c r="AH78" s="1184"/>
      <c r="AI78" s="853" t="str">
        <f t="shared" si="16"/>
        <v/>
      </c>
      <c r="AJ78" s="1297" t="str">
        <f t="shared" si="17"/>
        <v/>
      </c>
      <c r="AK78" s="1357"/>
      <c r="AL78" s="881" t="str">
        <f t="shared" si="20"/>
        <v/>
      </c>
      <c r="AM78" s="874"/>
      <c r="AW78" s="193"/>
    </row>
    <row r="79" spans="1:75">
      <c r="A79" s="818"/>
      <c r="T79" s="850"/>
      <c r="Y79" s="873" t="str">
        <f t="shared" si="14"/>
        <v/>
      </c>
      <c r="AA79" s="1354" t="str">
        <f t="shared" si="18"/>
        <v/>
      </c>
      <c r="AB79" s="1351"/>
      <c r="AC79" s="870"/>
      <c r="AD79" s="853" t="str">
        <f t="shared" si="19"/>
        <v/>
      </c>
      <c r="AE79" s="1296" t="str">
        <f t="shared" si="15"/>
        <v/>
      </c>
      <c r="AF79" s="854"/>
      <c r="AG79" s="1358"/>
      <c r="AH79" s="1184"/>
      <c r="AI79" s="853" t="str">
        <f t="shared" si="16"/>
        <v/>
      </c>
      <c r="AJ79" s="1297" t="str">
        <f t="shared" si="17"/>
        <v/>
      </c>
      <c r="AK79" s="1357"/>
      <c r="AL79" s="881" t="str">
        <f t="shared" si="20"/>
        <v/>
      </c>
      <c r="AM79" s="874"/>
      <c r="AW79" s="193"/>
    </row>
    <row r="80" spans="1:75">
      <c r="A80" s="818"/>
      <c r="T80" s="818"/>
      <c r="Y80" s="873" t="str">
        <f t="shared" si="14"/>
        <v/>
      </c>
      <c r="AA80" s="1354" t="str">
        <f t="shared" si="18"/>
        <v/>
      </c>
      <c r="AB80" s="1351"/>
      <c r="AC80" s="870"/>
      <c r="AD80" s="853" t="str">
        <f t="shared" si="19"/>
        <v/>
      </c>
      <c r="AE80" s="1296" t="str">
        <f t="shared" si="15"/>
        <v/>
      </c>
      <c r="AF80" s="854"/>
      <c r="AG80" s="1358"/>
      <c r="AH80" s="1184"/>
      <c r="AI80" s="853" t="str">
        <f t="shared" si="16"/>
        <v/>
      </c>
      <c r="AJ80" s="1297" t="str">
        <f t="shared" si="17"/>
        <v/>
      </c>
      <c r="AK80" s="1357"/>
      <c r="AL80" s="881" t="str">
        <f t="shared" si="20"/>
        <v/>
      </c>
      <c r="AM80" s="874"/>
      <c r="AW80" s="193"/>
    </row>
    <row r="81" spans="20:49">
      <c r="T81" s="818"/>
      <c r="Y81" s="873" t="str">
        <f t="shared" si="14"/>
        <v/>
      </c>
      <c r="AA81" s="1354" t="str">
        <f t="shared" si="18"/>
        <v/>
      </c>
      <c r="AB81" s="1351"/>
      <c r="AC81" s="870"/>
      <c r="AD81" s="853" t="str">
        <f t="shared" si="19"/>
        <v/>
      </c>
      <c r="AE81" s="1296" t="str">
        <f t="shared" si="15"/>
        <v/>
      </c>
      <c r="AF81" s="854"/>
      <c r="AG81" s="1358"/>
      <c r="AH81" s="1184"/>
      <c r="AI81" s="853" t="str">
        <f t="shared" si="16"/>
        <v/>
      </c>
      <c r="AJ81" s="1297" t="str">
        <f t="shared" si="17"/>
        <v/>
      </c>
      <c r="AK81" s="1357"/>
      <c r="AL81" s="881" t="str">
        <f t="shared" si="20"/>
        <v/>
      </c>
      <c r="AM81" s="874"/>
      <c r="AW81" s="193"/>
    </row>
    <row r="82" spans="20:49">
      <c r="Y82" s="873" t="str">
        <f t="shared" si="14"/>
        <v/>
      </c>
      <c r="AA82" s="1354" t="str">
        <f t="shared" si="18"/>
        <v/>
      </c>
      <c r="AB82" s="1351"/>
      <c r="AC82" s="870"/>
      <c r="AD82" s="853" t="str">
        <f t="shared" si="19"/>
        <v/>
      </c>
      <c r="AE82" s="1296" t="str">
        <f t="shared" si="15"/>
        <v/>
      </c>
      <c r="AF82" s="854"/>
      <c r="AG82" s="1358"/>
      <c r="AH82" s="1184"/>
      <c r="AI82" s="853" t="str">
        <f t="shared" si="16"/>
        <v/>
      </c>
      <c r="AJ82" s="1297" t="str">
        <f t="shared" si="17"/>
        <v/>
      </c>
      <c r="AK82" s="1357"/>
      <c r="AL82" s="881" t="str">
        <f t="shared" si="20"/>
        <v/>
      </c>
      <c r="AM82" s="874"/>
      <c r="AW82" s="193"/>
    </row>
    <row r="83" spans="20:49">
      <c r="Y83" s="873" t="str">
        <f t="shared" si="14"/>
        <v/>
      </c>
      <c r="AA83" s="1354" t="str">
        <f t="shared" si="18"/>
        <v/>
      </c>
      <c r="AB83" s="870"/>
      <c r="AC83" s="870"/>
      <c r="AD83" s="853" t="str">
        <f t="shared" si="19"/>
        <v/>
      </c>
      <c r="AE83" s="1296" t="str">
        <f t="shared" si="15"/>
        <v/>
      </c>
      <c r="AF83" s="854"/>
      <c r="AG83" s="1358"/>
      <c r="AH83" s="1184"/>
      <c r="AI83" s="853" t="str">
        <f t="shared" si="16"/>
        <v/>
      </c>
      <c r="AJ83" s="1297" t="str">
        <f t="shared" si="17"/>
        <v/>
      </c>
      <c r="AK83" s="1357"/>
      <c r="AL83" s="881" t="str">
        <f t="shared" si="20"/>
        <v/>
      </c>
      <c r="AM83" s="874"/>
      <c r="AW83" s="193"/>
    </row>
  </sheetData>
  <mergeCells count="26">
    <mergeCell ref="O17:S17"/>
    <mergeCell ref="E4:R4"/>
    <mergeCell ref="C10:R10"/>
    <mergeCell ref="C11:R11"/>
    <mergeCell ref="AZ10:BA10"/>
    <mergeCell ref="AZ11:BA11"/>
    <mergeCell ref="E5:R5"/>
    <mergeCell ref="E6:R6"/>
    <mergeCell ref="E7:R7"/>
    <mergeCell ref="E8:R8"/>
    <mergeCell ref="H25:H26"/>
    <mergeCell ref="F25:G26"/>
    <mergeCell ref="C24:E26"/>
    <mergeCell ref="F24:H24"/>
    <mergeCell ref="O13:S13"/>
    <mergeCell ref="O14:S14"/>
    <mergeCell ref="O15:S15"/>
    <mergeCell ref="G14:K14"/>
    <mergeCell ref="G15:K15"/>
    <mergeCell ref="G16:K16"/>
    <mergeCell ref="G17:K17"/>
    <mergeCell ref="G18:K18"/>
    <mergeCell ref="G19:K19"/>
    <mergeCell ref="G20:K20"/>
    <mergeCell ref="G21:K21"/>
    <mergeCell ref="O16:S16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71" orientation="portrait" r:id="rId1"/>
  <headerFooter>
    <oddFooter>&amp;R&amp;"Aptos,Regular"&amp;10Page &amp;P of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7BCD410-32DF-42E8-957F-2F7EC1AD1AF2}">
          <x14:formula1>
            <xm:f>Details!$D$2:$D$7</xm:f>
          </x14:formula1>
          <xm:sqref>O13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D334E-9F39-44D6-A865-4E6B6E4872A5}">
  <sheetPr>
    <tabColor rgb="FFC00000"/>
    <pageSetUpPr fitToPage="1"/>
  </sheetPr>
  <dimension ref="B2:AU121"/>
  <sheetViews>
    <sheetView showGridLines="0" zoomScaleNormal="100" workbookViewId="0">
      <selection activeCell="R18" sqref="R18"/>
    </sheetView>
  </sheetViews>
  <sheetFormatPr defaultColWidth="10" defaultRowHeight="15.75"/>
  <cols>
    <col min="1" max="1" width="1.5" style="920" customWidth="1"/>
    <col min="2" max="2" width="1.875" style="920" customWidth="1"/>
    <col min="3" max="3" width="2.875" style="920" customWidth="1"/>
    <col min="4" max="4" width="2.625" style="920" customWidth="1"/>
    <col min="5" max="6" width="6" style="920" customWidth="1"/>
    <col min="7" max="7" width="6.75" style="920" customWidth="1"/>
    <col min="8" max="8" width="1.25" style="920" bestFit="1" customWidth="1"/>
    <col min="9" max="9" width="6" style="920" customWidth="1"/>
    <col min="10" max="10" width="8.125" style="920" customWidth="1"/>
    <col min="11" max="11" width="6" style="920" customWidth="1"/>
    <col min="12" max="15" width="6" style="922" customWidth="1"/>
    <col min="16" max="18" width="6" style="920" customWidth="1"/>
    <col min="19" max="19" width="5.625" style="920" customWidth="1"/>
    <col min="20" max="20" width="1.5" style="920" customWidth="1"/>
    <col min="21" max="23" width="5.625" style="920" customWidth="1"/>
    <col min="24" max="24" width="10.125" style="920" customWidth="1"/>
    <col min="25" max="25" width="1.875" style="920" customWidth="1"/>
    <col min="26" max="27" width="7.5" style="920" customWidth="1"/>
    <col min="28" max="29" width="8.375" style="920" customWidth="1"/>
    <col min="30" max="30" width="8.375" style="922" customWidth="1"/>
    <col min="31" max="31" width="7.875" style="922" customWidth="1"/>
    <col min="32" max="33" width="7.5" style="922" customWidth="1"/>
    <col min="34" max="34" width="7.5" style="920" customWidth="1"/>
    <col min="35" max="35" width="10" style="920" customWidth="1"/>
    <col min="36" max="36" width="9" style="920" customWidth="1"/>
    <col min="37" max="39" width="7.5" style="920" customWidth="1"/>
    <col min="40" max="40" width="10" style="920"/>
    <col min="41" max="41" width="17.75" style="920" customWidth="1"/>
    <col min="42" max="42" width="7.25" style="920" bestFit="1" customWidth="1"/>
    <col min="43" max="43" width="13.625" style="920" bestFit="1" customWidth="1"/>
    <col min="44" max="16384" width="10" style="920"/>
  </cols>
  <sheetData>
    <row r="2" spans="2:44" ht="10.5" customHeight="1">
      <c r="B2" s="916"/>
      <c r="C2" s="917"/>
      <c r="D2" s="917"/>
      <c r="E2" s="917"/>
      <c r="F2" s="917"/>
      <c r="G2" s="917"/>
      <c r="H2" s="917"/>
      <c r="I2" s="917"/>
      <c r="J2" s="917"/>
      <c r="K2" s="917"/>
      <c r="L2" s="918"/>
      <c r="M2" s="918"/>
      <c r="N2" s="918"/>
      <c r="O2" s="918"/>
      <c r="P2" s="917"/>
      <c r="Q2" s="917"/>
      <c r="R2" s="917"/>
      <c r="S2" s="917"/>
      <c r="T2" s="917"/>
      <c r="U2" s="917"/>
      <c r="V2" s="971"/>
      <c r="W2" s="917"/>
      <c r="X2" s="917"/>
      <c r="Y2" s="919"/>
      <c r="AC2" s="921"/>
    </row>
    <row r="3" spans="2:44" ht="20.25">
      <c r="B3" s="923"/>
      <c r="C3" s="924"/>
      <c r="D3" s="925"/>
      <c r="E3" s="925"/>
      <c r="F3" s="925"/>
      <c r="G3" s="1" t="s">
        <v>821</v>
      </c>
      <c r="H3" s="4107"/>
      <c r="I3" s="4107"/>
      <c r="J3" s="4107"/>
      <c r="K3" s="4107"/>
      <c r="L3" s="4107"/>
      <c r="M3" s="4107"/>
      <c r="N3" s="4107"/>
      <c r="O3" s="4107"/>
      <c r="P3" s="4107"/>
      <c r="Q3" s="4107"/>
      <c r="R3" s="4107"/>
      <c r="S3" s="4107"/>
      <c r="T3" s="4107"/>
      <c r="U3" s="4107"/>
      <c r="V3" s="1"/>
      <c r="W3" s="4107"/>
      <c r="X3" s="4108"/>
      <c r="Y3" s="926"/>
      <c r="Z3" s="927"/>
      <c r="AH3" s="927"/>
      <c r="AI3" s="927"/>
      <c r="AJ3" s="927"/>
      <c r="AK3" s="927"/>
      <c r="AL3" s="927"/>
      <c r="AM3" s="927"/>
      <c r="AN3" s="927"/>
      <c r="AO3" s="927"/>
      <c r="AP3" s="927"/>
      <c r="AQ3" s="927"/>
      <c r="AR3" s="927"/>
    </row>
    <row r="4" spans="2:44">
      <c r="B4" s="923"/>
      <c r="C4" s="678"/>
      <c r="D4" s="673"/>
      <c r="E4" s="673"/>
      <c r="F4" s="673"/>
      <c r="G4" s="4109" t="s">
        <v>819</v>
      </c>
      <c r="H4" s="4110"/>
      <c r="I4" s="4110"/>
      <c r="J4" s="4110"/>
      <c r="K4" s="4110"/>
      <c r="L4" s="4110"/>
      <c r="M4" s="4110"/>
      <c r="N4" s="4110"/>
      <c r="O4" s="4110"/>
      <c r="P4" s="4110"/>
      <c r="Q4" s="4110"/>
      <c r="R4" s="4110"/>
      <c r="S4" s="4110"/>
      <c r="T4" s="4110"/>
      <c r="U4" s="4110"/>
      <c r="V4" s="4109"/>
      <c r="W4" s="4110"/>
      <c r="X4" s="4111"/>
      <c r="Y4" s="926"/>
      <c r="Z4" s="927"/>
      <c r="AA4" s="939" t="s">
        <v>706</v>
      </c>
      <c r="AB4" s="939"/>
      <c r="AC4" s="1345">
        <f>PI()*(AF5/2)^2</f>
        <v>27.711674638050212</v>
      </c>
      <c r="AD4" s="1012"/>
      <c r="AE4" s="1012" t="s">
        <v>707</v>
      </c>
      <c r="AF4" s="1346">
        <v>2.4900000000000002</v>
      </c>
      <c r="AH4" s="927"/>
      <c r="AI4" s="927"/>
      <c r="AJ4" s="927"/>
      <c r="AK4" s="927"/>
      <c r="AL4" s="927"/>
      <c r="AM4" s="927"/>
      <c r="AN4" s="927"/>
      <c r="AO4" s="927"/>
      <c r="AP4" s="927"/>
      <c r="AQ4" s="927"/>
      <c r="AR4" s="927"/>
    </row>
    <row r="5" spans="2:44">
      <c r="B5" s="923"/>
      <c r="C5" s="678"/>
      <c r="D5" s="673"/>
      <c r="E5" s="673"/>
      <c r="F5" s="673"/>
      <c r="G5" s="4109" t="s">
        <v>820</v>
      </c>
      <c r="H5" s="4110"/>
      <c r="I5" s="4110"/>
      <c r="J5" s="4110"/>
      <c r="K5" s="4110"/>
      <c r="L5" s="4110"/>
      <c r="M5" s="4110"/>
      <c r="N5" s="4110"/>
      <c r="O5" s="4110"/>
      <c r="P5" s="4110"/>
      <c r="Q5" s="4110"/>
      <c r="R5" s="4110"/>
      <c r="S5" s="4110"/>
      <c r="T5" s="4110"/>
      <c r="U5" s="4110"/>
      <c r="V5" s="4109"/>
      <c r="W5" s="4110"/>
      <c r="X5" s="4111"/>
      <c r="Y5" s="926"/>
      <c r="Z5" s="927"/>
      <c r="AA5" s="939" t="s">
        <v>708</v>
      </c>
      <c r="AB5" s="939"/>
      <c r="AC5" s="1345">
        <f>AC4*AF4</f>
        <v>69.002069848745037</v>
      </c>
      <c r="AD5" s="1012"/>
      <c r="AE5" s="1012" t="s">
        <v>709</v>
      </c>
      <c r="AF5" s="1346">
        <v>5.94</v>
      </c>
      <c r="AH5" s="927"/>
      <c r="AI5" s="927"/>
      <c r="AJ5" s="927"/>
      <c r="AK5" s="927"/>
      <c r="AL5" s="927"/>
      <c r="AM5" s="927"/>
      <c r="AN5" s="927"/>
      <c r="AO5" s="927"/>
      <c r="AP5" s="927"/>
      <c r="AQ5" s="927"/>
      <c r="AR5" s="927"/>
    </row>
    <row r="6" spans="2:44">
      <c r="B6" s="923"/>
      <c r="C6" s="678"/>
      <c r="D6" s="673"/>
      <c r="E6" s="673"/>
      <c r="F6" s="673"/>
      <c r="G6" s="4109" t="s">
        <v>830</v>
      </c>
      <c r="H6" s="4110"/>
      <c r="I6" s="4110"/>
      <c r="J6" s="4110"/>
      <c r="K6" s="4110"/>
      <c r="L6" s="4110"/>
      <c r="M6" s="4110"/>
      <c r="N6" s="4110"/>
      <c r="O6" s="4110"/>
      <c r="P6" s="4110"/>
      <c r="Q6" s="4110"/>
      <c r="R6" s="4110"/>
      <c r="S6" s="4110"/>
      <c r="T6" s="4110"/>
      <c r="U6" s="4110"/>
      <c r="V6" s="4109"/>
      <c r="W6" s="4110"/>
      <c r="X6" s="4111"/>
      <c r="Y6" s="926"/>
      <c r="Z6" s="930"/>
      <c r="AA6" s="939" t="s">
        <v>710</v>
      </c>
      <c r="AB6" s="939" t="s">
        <v>561</v>
      </c>
      <c r="AC6" s="1347">
        <v>0.40670000000000001</v>
      </c>
      <c r="AD6" s="1012"/>
      <c r="AE6" s="1012"/>
      <c r="AF6" s="1012"/>
      <c r="AG6" s="931"/>
      <c r="AH6" s="927"/>
      <c r="AI6" s="927"/>
      <c r="AJ6" s="927"/>
      <c r="AK6" s="927"/>
      <c r="AL6" s="927"/>
      <c r="AM6" s="927"/>
      <c r="AN6" s="927"/>
      <c r="AO6" s="927"/>
      <c r="AP6" s="927"/>
      <c r="AQ6" s="927"/>
      <c r="AR6" s="927"/>
    </row>
    <row r="7" spans="2:44">
      <c r="B7" s="923"/>
      <c r="C7" s="1194"/>
      <c r="D7" s="1190"/>
      <c r="E7" s="1190"/>
      <c r="F7" s="1190"/>
      <c r="G7" s="4112" t="s">
        <v>827</v>
      </c>
      <c r="H7" s="4113"/>
      <c r="I7" s="4113"/>
      <c r="J7" s="4113"/>
      <c r="K7" s="4113"/>
      <c r="L7" s="4113"/>
      <c r="M7" s="4113"/>
      <c r="N7" s="4113"/>
      <c r="O7" s="4113"/>
      <c r="P7" s="4113"/>
      <c r="Q7" s="4113"/>
      <c r="R7" s="4113"/>
      <c r="S7" s="4113"/>
      <c r="T7" s="4113"/>
      <c r="U7" s="4113"/>
      <c r="V7" s="4112"/>
      <c r="W7" s="4113"/>
      <c r="X7" s="4114"/>
      <c r="Y7" s="926"/>
      <c r="Z7" s="927"/>
      <c r="AG7" s="931"/>
      <c r="AH7" s="927"/>
      <c r="AI7" s="927"/>
      <c r="AJ7" s="927"/>
      <c r="AK7" s="927"/>
      <c r="AL7" s="927"/>
      <c r="AM7" s="927"/>
      <c r="AN7" s="927"/>
      <c r="AO7" s="927"/>
      <c r="AP7" s="927"/>
      <c r="AQ7" s="927"/>
      <c r="AR7" s="927"/>
    </row>
    <row r="8" spans="2:44" ht="7.5" customHeight="1">
      <c r="B8" s="923"/>
      <c r="C8" s="929"/>
      <c r="D8" s="929"/>
      <c r="E8" s="929"/>
      <c r="F8" s="929"/>
      <c r="G8" s="929"/>
      <c r="H8" s="929"/>
      <c r="I8" s="929"/>
      <c r="J8" s="929"/>
      <c r="K8" s="929"/>
      <c r="L8" s="915"/>
      <c r="M8" s="915"/>
      <c r="N8" s="915"/>
      <c r="O8" s="915"/>
      <c r="P8" s="915"/>
      <c r="Q8" s="915"/>
      <c r="R8" s="915"/>
      <c r="S8" s="33"/>
      <c r="T8" s="33"/>
      <c r="U8" s="44"/>
      <c r="V8" s="1401"/>
      <c r="W8" s="928"/>
      <c r="X8" s="928"/>
      <c r="Y8" s="926"/>
      <c r="Z8" s="932"/>
      <c r="AG8" s="931"/>
      <c r="AH8" s="927"/>
      <c r="AI8" s="927"/>
      <c r="AJ8" s="927"/>
      <c r="AK8" s="927"/>
      <c r="AL8" s="927"/>
      <c r="AM8" s="927"/>
      <c r="AN8" s="927"/>
      <c r="AO8" s="927"/>
      <c r="AP8" s="927"/>
      <c r="AQ8" s="927"/>
      <c r="AR8" s="927"/>
    </row>
    <row r="9" spans="2:44">
      <c r="B9" s="923"/>
      <c r="C9" s="4440" t="s">
        <v>711</v>
      </c>
      <c r="D9" s="4441"/>
      <c r="E9" s="4441"/>
      <c r="F9" s="4441"/>
      <c r="G9" s="4441"/>
      <c r="H9" s="4441"/>
      <c r="I9" s="4441"/>
      <c r="J9" s="4441"/>
      <c r="K9" s="4441"/>
      <c r="L9" s="4441"/>
      <c r="M9" s="4441"/>
      <c r="N9" s="4441"/>
      <c r="O9" s="4441"/>
      <c r="P9" s="4441"/>
      <c r="Q9" s="4441"/>
      <c r="R9" s="4441"/>
      <c r="S9" s="4441"/>
      <c r="T9" s="4441"/>
      <c r="U9" s="4441"/>
      <c r="V9" s="4440"/>
      <c r="W9" s="4441"/>
      <c r="X9" s="4442"/>
      <c r="Y9" s="926"/>
      <c r="Z9" s="927"/>
      <c r="AA9" s="933" t="s">
        <v>137</v>
      </c>
      <c r="AB9" s="927">
        <v>1</v>
      </c>
      <c r="AC9" s="927">
        <v>2</v>
      </c>
      <c r="AD9" s="931">
        <v>4</v>
      </c>
      <c r="AE9" s="931"/>
      <c r="AF9" s="931"/>
      <c r="AG9" s="931"/>
      <c r="AH9" s="927"/>
      <c r="AI9" s="927"/>
      <c r="AJ9" s="927"/>
      <c r="AK9" s="927"/>
      <c r="AL9" s="927"/>
      <c r="AM9" s="927"/>
      <c r="AN9" s="927"/>
      <c r="AO9" s="927"/>
      <c r="AP9" s="927"/>
      <c r="AQ9" s="927"/>
      <c r="AR9" s="927"/>
    </row>
    <row r="10" spans="2:44">
      <c r="B10" s="923"/>
      <c r="C10" s="4444" t="s">
        <v>712</v>
      </c>
      <c r="D10" s="4445"/>
      <c r="E10" s="4445"/>
      <c r="F10" s="4445"/>
      <c r="G10" s="4445"/>
      <c r="H10" s="4445"/>
      <c r="I10" s="4445"/>
      <c r="J10" s="4445"/>
      <c r="K10" s="4445"/>
      <c r="L10" s="4445"/>
      <c r="M10" s="4445"/>
      <c r="N10" s="4445"/>
      <c r="O10" s="4445"/>
      <c r="P10" s="4445"/>
      <c r="Q10" s="4445"/>
      <c r="R10" s="4445"/>
      <c r="S10" s="4445"/>
      <c r="T10" s="4445"/>
      <c r="U10" s="4445"/>
      <c r="V10" s="4445"/>
      <c r="W10" s="4445"/>
      <c r="X10" s="4446"/>
      <c r="Y10" s="926"/>
      <c r="Z10" s="934"/>
      <c r="AA10" s="927" t="s">
        <v>713</v>
      </c>
      <c r="AB10" s="927" t="s">
        <v>714</v>
      </c>
      <c r="AC10" s="927"/>
      <c r="AD10" s="927"/>
      <c r="AE10" s="927" t="s">
        <v>715</v>
      </c>
      <c r="AF10" s="927"/>
      <c r="AG10" s="927"/>
      <c r="AH10" s="927"/>
      <c r="AI10" s="927"/>
      <c r="AJ10" s="927"/>
      <c r="AK10" s="927"/>
      <c r="AL10" s="927"/>
      <c r="AM10" s="927"/>
      <c r="AN10" s="927"/>
      <c r="AO10" s="927"/>
      <c r="AP10" s="927"/>
      <c r="AQ10" s="927"/>
      <c r="AR10" s="927"/>
    </row>
    <row r="11" spans="2:44" ht="21.75" customHeight="1">
      <c r="B11" s="923"/>
      <c r="C11" s="1400" t="s">
        <v>95</v>
      </c>
      <c r="D11" s="1399"/>
      <c r="E11" s="935"/>
      <c r="I11" s="927"/>
      <c r="J11" s="936"/>
      <c r="K11" s="927"/>
      <c r="L11" s="931"/>
      <c r="M11" s="931"/>
      <c r="N11" s="937"/>
      <c r="O11" s="937"/>
      <c r="P11" s="938"/>
      <c r="Q11" s="938"/>
      <c r="R11" s="4447"/>
      <c r="S11" s="4447"/>
      <c r="T11" s="4447"/>
      <c r="U11" s="927"/>
      <c r="Y11" s="926"/>
      <c r="Z11" s="934"/>
      <c r="AA11" s="1047" t="s">
        <v>169</v>
      </c>
      <c r="AB11" s="1047" t="s">
        <v>124</v>
      </c>
      <c r="AC11" s="1047" t="s">
        <v>123</v>
      </c>
      <c r="AD11" s="1047" t="s">
        <v>163</v>
      </c>
      <c r="AE11" s="1047" t="s">
        <v>124</v>
      </c>
      <c r="AF11" s="1047" t="s">
        <v>123</v>
      </c>
      <c r="AG11" s="1047" t="s">
        <v>163</v>
      </c>
      <c r="AH11" s="927"/>
      <c r="AI11" s="927"/>
      <c r="AJ11" s="927"/>
      <c r="AK11" s="927"/>
      <c r="AL11" s="927"/>
      <c r="AM11" s="927"/>
      <c r="AN11" s="927"/>
      <c r="AO11" s="927"/>
      <c r="AP11" s="927"/>
      <c r="AQ11" s="927"/>
      <c r="AR11" s="927"/>
    </row>
    <row r="12" spans="2:44" ht="22.5" customHeight="1">
      <c r="B12" s="923"/>
      <c r="C12" s="940" t="s">
        <v>600</v>
      </c>
      <c r="D12" s="8"/>
      <c r="E12" s="939"/>
      <c r="F12" s="940"/>
      <c r="G12" s="940"/>
      <c r="H12" s="939" t="s">
        <v>27</v>
      </c>
      <c r="I12" s="4451" t="str">
        <f>Details!B4</f>
        <v xml:space="preserve">PT Itamatra Nusantara </v>
      </c>
      <c r="J12" s="4451"/>
      <c r="K12" s="4451"/>
      <c r="L12" s="4451"/>
      <c r="M12" s="4451"/>
      <c r="N12" s="4451"/>
      <c r="O12" s="4451"/>
      <c r="P12" s="941"/>
      <c r="Q12" s="941" t="s">
        <v>394</v>
      </c>
      <c r="R12" s="942"/>
      <c r="S12" s="942"/>
      <c r="T12" s="942" t="s">
        <v>27</v>
      </c>
      <c r="U12" s="4426" t="s">
        <v>823</v>
      </c>
      <c r="V12" s="4426"/>
      <c r="W12" s="4426"/>
      <c r="X12" s="4426"/>
      <c r="Y12" s="944"/>
      <c r="Z12" s="934"/>
      <c r="AA12" s="1371">
        <v>0</v>
      </c>
      <c r="AB12" s="1359">
        <v>0</v>
      </c>
      <c r="AC12" s="1359">
        <v>0</v>
      </c>
      <c r="AD12" s="1359">
        <v>0</v>
      </c>
      <c r="AE12" s="945">
        <f t="shared" ref="AE12:AE44" si="0">AB12*AC$6/AC$4</f>
        <v>0</v>
      </c>
      <c r="AF12" s="945">
        <f t="shared" ref="AF12:AF44" si="1">AC12*AC$6/AC$4</f>
        <v>0</v>
      </c>
      <c r="AG12" s="945">
        <f t="shared" ref="AG12:AG44" si="2">AD12*AC$6/AC$4</f>
        <v>0</v>
      </c>
      <c r="AH12" s="927"/>
      <c r="AI12" s="927"/>
      <c r="AJ12" s="927"/>
      <c r="AK12" s="927"/>
      <c r="AL12" s="927"/>
      <c r="AM12" s="927"/>
      <c r="AN12" s="927"/>
      <c r="AO12" s="927"/>
      <c r="AP12" s="927"/>
      <c r="AQ12" s="927"/>
      <c r="AR12" s="927"/>
    </row>
    <row r="13" spans="2:44" ht="22.5" customHeight="1">
      <c r="B13" s="923"/>
      <c r="C13" s="940" t="s">
        <v>842</v>
      </c>
      <c r="D13" s="8"/>
      <c r="E13" s="939"/>
      <c r="F13" s="940"/>
      <c r="G13" s="940"/>
      <c r="H13" s="939" t="s">
        <v>27</v>
      </c>
      <c r="I13" s="4451" t="str">
        <f>Details!B8</f>
        <v>hidroplogi</v>
      </c>
      <c r="J13" s="4451"/>
      <c r="K13" s="4451"/>
      <c r="L13" s="4451"/>
      <c r="M13" s="4451"/>
      <c r="N13" s="4451"/>
      <c r="O13" s="4451"/>
      <c r="P13" s="941"/>
      <c r="Q13" s="941" t="s">
        <v>822</v>
      </c>
      <c r="R13" s="941"/>
      <c r="S13" s="941"/>
      <c r="T13" s="941" t="s">
        <v>27</v>
      </c>
      <c r="U13" s="4428" t="s">
        <v>824</v>
      </c>
      <c r="V13" s="4428"/>
      <c r="W13" s="4428"/>
      <c r="X13" s="4428"/>
      <c r="Y13" s="944"/>
      <c r="Z13" s="934"/>
      <c r="AA13" s="1371">
        <v>0.2</v>
      </c>
      <c r="AB13" s="1359" t="str" cm="1">
        <f t="array" ref="AB13">_xlfn._xlws.FILTER(Data!Z3:Z34,Data!Z3:Z34,"&lt;&gt;")</f>
        <v>&lt;&gt;</v>
      </c>
      <c r="AC13" s="1359" t="str" cm="1">
        <f t="array" ref="AC13">_xlfn._xlws.FILTER(Data!AA3:AA34,Data!AA3:AA34,"&lt;&gt;")</f>
        <v>&lt;&gt;</v>
      </c>
      <c r="AD13" s="1359" t="str" cm="1">
        <f t="array" ref="AD13">_xlfn._xlws.FILTER(Data!AB3:AB34,Data!AB3:AB34,"&lt;&gt;")</f>
        <v>&lt;&gt;</v>
      </c>
      <c r="AE13" s="947" t="e">
        <f>AB13*AC$6/AC$4</f>
        <v>#VALUE!</v>
      </c>
      <c r="AF13" s="947" t="e">
        <f t="shared" si="1"/>
        <v>#VALUE!</v>
      </c>
      <c r="AG13" s="947" t="e">
        <f t="shared" si="2"/>
        <v>#VALUE!</v>
      </c>
      <c r="AH13" s="927"/>
      <c r="AI13" s="927"/>
      <c r="AJ13" s="927"/>
      <c r="AK13" s="927"/>
      <c r="AL13" s="927"/>
      <c r="AM13" s="927"/>
      <c r="AN13" s="927"/>
      <c r="AO13" s="927"/>
      <c r="AP13" s="927"/>
      <c r="AQ13" s="927"/>
      <c r="AR13" s="927"/>
    </row>
    <row r="14" spans="2:44" ht="22.5" customHeight="1">
      <c r="B14" s="2746"/>
      <c r="C14" s="940" t="s">
        <v>1312</v>
      </c>
      <c r="D14" s="8"/>
      <c r="E14" s="939"/>
      <c r="F14" s="940"/>
      <c r="G14" s="940"/>
      <c r="H14" s="939" t="s">
        <v>27</v>
      </c>
      <c r="I14" s="4451" t="str">
        <f>Details!B7</f>
        <v>23-GQT--19-UDS-1-BH-05-0,00-0,50-100726-001</v>
      </c>
      <c r="J14" s="4451"/>
      <c r="K14" s="4451"/>
      <c r="L14" s="4451"/>
      <c r="M14" s="4451"/>
      <c r="N14" s="4451"/>
      <c r="O14" s="4451"/>
      <c r="P14" s="941"/>
      <c r="Q14" s="1372" t="s">
        <v>395</v>
      </c>
      <c r="R14" s="1372"/>
      <c r="S14" s="1372"/>
      <c r="T14" s="1372" t="s">
        <v>27</v>
      </c>
      <c r="U14" s="4430">
        <f>Details!B34</f>
        <v>46221</v>
      </c>
      <c r="V14" s="4430"/>
      <c r="W14" s="4430"/>
      <c r="X14" s="4430"/>
      <c r="Y14" s="944"/>
      <c r="Z14" s="934"/>
      <c r="AA14" s="1371">
        <f t="shared" ref="AA14:AA44" si="3">AA13+0.2</f>
        <v>0.4</v>
      </c>
      <c r="AB14" s="1359"/>
      <c r="AC14" s="1359"/>
      <c r="AD14" s="1359"/>
      <c r="AE14" s="947">
        <f t="shared" si="0"/>
        <v>0</v>
      </c>
      <c r="AF14" s="947">
        <f t="shared" si="1"/>
        <v>0</v>
      </c>
      <c r="AG14" s="947">
        <f t="shared" si="2"/>
        <v>0</v>
      </c>
      <c r="AH14" s="927"/>
      <c r="AI14" s="927"/>
      <c r="AJ14" s="927"/>
      <c r="AK14" s="927"/>
      <c r="AL14" s="927"/>
      <c r="AM14" s="927"/>
      <c r="AN14" s="927"/>
      <c r="AO14" s="927"/>
      <c r="AP14" s="927"/>
      <c r="AQ14" s="927"/>
      <c r="AR14" s="927"/>
    </row>
    <row r="15" spans="2:44" ht="22.5" customHeight="1">
      <c r="B15" s="923"/>
      <c r="C15" s="940" t="s">
        <v>601</v>
      </c>
      <c r="D15" s="8"/>
      <c r="E15" s="939"/>
      <c r="F15" s="940"/>
      <c r="G15" s="940"/>
      <c r="H15" s="939" t="s">
        <v>27</v>
      </c>
      <c r="I15" s="4452" t="str">
        <f>Details!B1</f>
        <v>BH-05_UDS-01</v>
      </c>
      <c r="J15" s="4452"/>
      <c r="K15" s="4452"/>
      <c r="L15" s="4452"/>
      <c r="M15" s="4452"/>
      <c r="N15" s="4452"/>
      <c r="O15" s="4452"/>
      <c r="P15" s="940"/>
      <c r="Q15" s="941" t="s">
        <v>396</v>
      </c>
      <c r="R15" s="949"/>
      <c r="S15" s="949"/>
      <c r="T15" s="949" t="s">
        <v>27</v>
      </c>
      <c r="U15" s="4428" t="str">
        <f>Details!B22</f>
        <v>AS Sumartadji</v>
      </c>
      <c r="V15" s="4428"/>
      <c r="W15" s="4428"/>
      <c r="X15" s="4428"/>
      <c r="Y15" s="944"/>
      <c r="Z15" s="934"/>
      <c r="AA15" s="1371">
        <f t="shared" si="3"/>
        <v>0.60000000000000009</v>
      </c>
      <c r="AB15" s="1359"/>
      <c r="AC15" s="1359"/>
      <c r="AD15" s="1359"/>
      <c r="AE15" s="947">
        <f t="shared" si="0"/>
        <v>0</v>
      </c>
      <c r="AF15" s="947">
        <f t="shared" si="1"/>
        <v>0</v>
      </c>
      <c r="AG15" s="947">
        <f t="shared" si="2"/>
        <v>0</v>
      </c>
      <c r="AH15" s="927"/>
      <c r="AI15" s="927"/>
      <c r="AJ15" s="927"/>
      <c r="AK15" s="927"/>
      <c r="AL15" s="927"/>
      <c r="AM15" s="927"/>
      <c r="AN15" s="927"/>
      <c r="AO15" s="927"/>
      <c r="AP15" s="927"/>
      <c r="AQ15" s="927"/>
      <c r="AR15" s="927"/>
    </row>
    <row r="16" spans="2:44" ht="22.5" customHeight="1">
      <c r="B16" s="923"/>
      <c r="C16" s="940" t="s">
        <v>602</v>
      </c>
      <c r="D16" s="8"/>
      <c r="E16" s="939"/>
      <c r="F16" s="940"/>
      <c r="G16" s="940"/>
      <c r="H16" s="939" t="s">
        <v>27</v>
      </c>
      <c r="I16" s="4362" t="str">
        <f>Details!B13&amp;" m"</f>
        <v>0,00-0,50 m</v>
      </c>
      <c r="J16" s="4362"/>
      <c r="K16" s="4362"/>
      <c r="L16" s="4362"/>
      <c r="M16" s="4362"/>
      <c r="N16" s="4362"/>
      <c r="O16" s="4362"/>
      <c r="P16" s="946"/>
      <c r="Q16" s="941" t="s">
        <v>186</v>
      </c>
      <c r="R16" s="949"/>
      <c r="S16" s="949"/>
      <c r="T16" s="949" t="s">
        <v>27</v>
      </c>
      <c r="U16" s="4426" t="str">
        <f>Details!B2</f>
        <v>MGS/02/VI/2026</v>
      </c>
      <c r="V16" s="4426"/>
      <c r="W16" s="4426"/>
      <c r="X16" s="4426"/>
      <c r="Y16" s="944"/>
      <c r="Z16" s="934"/>
      <c r="AA16" s="1371">
        <f t="shared" si="3"/>
        <v>0.8</v>
      </c>
      <c r="AB16" s="1359"/>
      <c r="AC16" s="1359"/>
      <c r="AD16" s="1359"/>
      <c r="AE16" s="947">
        <f t="shared" si="0"/>
        <v>0</v>
      </c>
      <c r="AF16" s="947">
        <f t="shared" si="1"/>
        <v>0</v>
      </c>
      <c r="AG16" s="947">
        <f t="shared" si="2"/>
        <v>0</v>
      </c>
      <c r="AH16" s="927"/>
      <c r="AI16" s="927"/>
      <c r="AJ16" s="927"/>
      <c r="AK16" s="927"/>
      <c r="AL16" s="927"/>
      <c r="AM16" s="927"/>
      <c r="AN16" s="927"/>
      <c r="AO16" s="927"/>
      <c r="AP16" s="927"/>
      <c r="AQ16" s="927"/>
      <c r="AR16" s="927"/>
    </row>
    <row r="17" spans="2:44" ht="22.5" customHeight="1">
      <c r="B17" s="923"/>
      <c r="C17" s="940" t="s">
        <v>843</v>
      </c>
      <c r="D17" s="8"/>
      <c r="E17" s="939"/>
      <c r="F17" s="940"/>
      <c r="G17" s="940"/>
      <c r="H17" s="939" t="s">
        <v>27</v>
      </c>
      <c r="I17" s="4453" t="str">
        <f>Details!B14</f>
        <v>silty CLAY with sand</v>
      </c>
      <c r="J17" s="4453"/>
      <c r="K17" s="4453"/>
      <c r="L17" s="4453"/>
      <c r="M17" s="4453"/>
      <c r="N17" s="4453"/>
      <c r="O17" s="4453"/>
      <c r="P17" s="949"/>
      <c r="Y17" s="944"/>
      <c r="Z17" s="934"/>
      <c r="AA17" s="1371">
        <f t="shared" si="3"/>
        <v>1</v>
      </c>
      <c r="AB17" s="1359"/>
      <c r="AC17" s="1359"/>
      <c r="AD17" s="1359"/>
      <c r="AE17" s="947">
        <f t="shared" si="0"/>
        <v>0</v>
      </c>
      <c r="AF17" s="947">
        <f t="shared" si="1"/>
        <v>0</v>
      </c>
      <c r="AG17" s="947">
        <f t="shared" si="2"/>
        <v>0</v>
      </c>
      <c r="AH17" s="927"/>
      <c r="AI17" s="927"/>
      <c r="AJ17" s="927"/>
      <c r="AK17" s="927"/>
      <c r="AL17" s="927"/>
      <c r="AM17" s="927"/>
      <c r="AN17" s="927"/>
      <c r="AO17" s="927"/>
      <c r="AP17" s="927"/>
      <c r="AQ17" s="927"/>
      <c r="AR17" s="927"/>
    </row>
    <row r="18" spans="2:44" ht="22.5" customHeight="1">
      <c r="B18" s="923"/>
      <c r="C18" s="940" t="s">
        <v>603</v>
      </c>
      <c r="D18" s="8"/>
      <c r="E18" s="939"/>
      <c r="F18" s="940"/>
      <c r="G18" s="940"/>
      <c r="H18" s="939" t="s">
        <v>27</v>
      </c>
      <c r="I18" s="4451" t="str">
        <f>Details!B15</f>
        <v>Abu-abu / Gray</v>
      </c>
      <c r="J18" s="4451"/>
      <c r="K18" s="4451"/>
      <c r="L18" s="4451"/>
      <c r="M18" s="4451"/>
      <c r="N18" s="4451"/>
      <c r="O18" s="4451"/>
      <c r="P18" s="941"/>
      <c r="Q18" s="941"/>
      <c r="R18" s="941"/>
      <c r="S18" s="941"/>
      <c r="T18" s="941"/>
      <c r="U18" s="941"/>
      <c r="V18" s="943"/>
      <c r="W18" s="943"/>
      <c r="Y18" s="944"/>
      <c r="Z18" s="934"/>
      <c r="AA18" s="1371">
        <f t="shared" si="3"/>
        <v>1.2</v>
      </c>
      <c r="AB18" s="1359"/>
      <c r="AC18" s="1359"/>
      <c r="AD18" s="1359"/>
      <c r="AE18" s="947">
        <f t="shared" si="0"/>
        <v>0</v>
      </c>
      <c r="AF18" s="947">
        <f t="shared" si="1"/>
        <v>0</v>
      </c>
      <c r="AG18" s="947">
        <f t="shared" si="2"/>
        <v>0</v>
      </c>
      <c r="AH18" s="927"/>
      <c r="AI18" s="927"/>
      <c r="AJ18" s="927"/>
      <c r="AK18" s="927"/>
      <c r="AL18" s="927"/>
      <c r="AM18" s="927"/>
      <c r="AN18" s="927"/>
      <c r="AO18" s="927"/>
      <c r="AP18" s="927"/>
      <c r="AQ18" s="927"/>
      <c r="AR18" s="927"/>
    </row>
    <row r="19" spans="2:44">
      <c r="B19" s="923"/>
      <c r="C19" s="940" t="s">
        <v>844</v>
      </c>
      <c r="H19" s="920" t="s">
        <v>27</v>
      </c>
      <c r="I19" s="4452" t="str">
        <f>Details!B16</f>
        <v>Undisturbed Sample / UDS</v>
      </c>
      <c r="J19" s="4452"/>
      <c r="K19" s="4452"/>
      <c r="L19" s="4452"/>
      <c r="M19" s="4452"/>
      <c r="N19" s="4452"/>
      <c r="O19" s="4452"/>
      <c r="P19" s="935"/>
      <c r="Q19" s="935"/>
      <c r="R19" s="935"/>
      <c r="S19" s="935"/>
      <c r="T19" s="935"/>
      <c r="U19" s="935"/>
      <c r="Y19" s="944"/>
      <c r="Z19" s="934"/>
      <c r="AA19" s="1371">
        <f t="shared" si="3"/>
        <v>1.4</v>
      </c>
      <c r="AB19" s="1359"/>
      <c r="AC19" s="1359"/>
      <c r="AD19" s="1359"/>
      <c r="AE19" s="947">
        <f t="shared" si="0"/>
        <v>0</v>
      </c>
      <c r="AF19" s="947">
        <f t="shared" si="1"/>
        <v>0</v>
      </c>
      <c r="AG19" s="947">
        <f t="shared" si="2"/>
        <v>0</v>
      </c>
      <c r="AH19" s="927"/>
      <c r="AI19" s="927"/>
      <c r="AJ19" s="927"/>
      <c r="AK19" s="927"/>
      <c r="AL19" s="927"/>
      <c r="AM19" s="927"/>
      <c r="AN19" s="927"/>
      <c r="AO19" s="927"/>
      <c r="AP19" s="927"/>
      <c r="AQ19" s="927"/>
      <c r="AR19" s="927"/>
    </row>
    <row r="20" spans="2:44">
      <c r="B20" s="923"/>
      <c r="D20" s="1344" t="str">
        <f>Details!C15</f>
        <v>Disclaimer :</v>
      </c>
      <c r="F20" s="1343" t="str">
        <f>Details!C16</f>
        <v>The samples were received as Undisturbed Sample / UDS and the validity of the sampling process was not verified by the laboratory.</v>
      </c>
      <c r="S20" s="955"/>
      <c r="T20" s="1045" t="s">
        <v>795</v>
      </c>
      <c r="U20" s="938"/>
      <c r="Y20" s="944"/>
      <c r="Z20" s="934"/>
      <c r="AA20" s="1371">
        <f t="shared" si="3"/>
        <v>1.5999999999999999</v>
      </c>
      <c r="AB20" s="1359"/>
      <c r="AC20" s="1359"/>
      <c r="AD20" s="1359"/>
      <c r="AE20" s="947">
        <f t="shared" si="0"/>
        <v>0</v>
      </c>
      <c r="AF20" s="947">
        <f t="shared" si="1"/>
        <v>0</v>
      </c>
      <c r="AG20" s="947">
        <f t="shared" si="2"/>
        <v>0</v>
      </c>
      <c r="AH20" s="927"/>
      <c r="AI20" s="927"/>
      <c r="AJ20" s="927"/>
      <c r="AK20" s="927"/>
      <c r="AL20" s="927"/>
      <c r="AM20" s="927"/>
      <c r="AN20" s="927"/>
      <c r="AO20" s="927"/>
      <c r="AP20" s="927"/>
      <c r="AQ20" s="927"/>
      <c r="AR20" s="927"/>
    </row>
    <row r="21" spans="2:44">
      <c r="B21" s="923"/>
      <c r="S21" s="955"/>
      <c r="T21" s="938"/>
      <c r="U21" s="938"/>
      <c r="Y21" s="944"/>
      <c r="Z21" s="934"/>
      <c r="AA21" s="1371">
        <f t="shared" si="3"/>
        <v>1.7999999999999998</v>
      </c>
      <c r="AB21" s="1359"/>
      <c r="AC21" s="1359"/>
      <c r="AD21" s="1359"/>
      <c r="AE21" s="947">
        <f t="shared" si="0"/>
        <v>0</v>
      </c>
      <c r="AF21" s="947">
        <f t="shared" si="1"/>
        <v>0</v>
      </c>
      <c r="AG21" s="947">
        <f t="shared" si="2"/>
        <v>0</v>
      </c>
      <c r="AH21" s="927"/>
      <c r="AI21" s="927"/>
      <c r="AJ21" s="927"/>
      <c r="AK21" s="927"/>
      <c r="AL21" s="927"/>
      <c r="AM21" s="927"/>
      <c r="AN21" s="927"/>
      <c r="AO21" s="927"/>
      <c r="AP21" s="927"/>
      <c r="AQ21" s="927"/>
      <c r="AR21" s="927"/>
    </row>
    <row r="22" spans="2:44">
      <c r="B22" s="923"/>
      <c r="E22" s="4448" t="s">
        <v>716</v>
      </c>
      <c r="F22" s="4449"/>
      <c r="G22" s="4449"/>
      <c r="H22" s="4449"/>
      <c r="I22" s="4449"/>
      <c r="J22" s="4449"/>
      <c r="K22" s="4450"/>
      <c r="L22" s="951" t="s">
        <v>614</v>
      </c>
      <c r="M22" s="952">
        <v>1</v>
      </c>
      <c r="N22" s="953"/>
      <c r="O22" s="952">
        <v>2</v>
      </c>
      <c r="P22" s="953"/>
      <c r="Q22" s="952">
        <v>3</v>
      </c>
      <c r="R22" s="954"/>
      <c r="S22" s="938"/>
      <c r="T22" s="1800"/>
      <c r="U22" s="1800"/>
      <c r="V22" s="1801"/>
      <c r="W22" s="1801"/>
      <c r="X22" s="1801"/>
      <c r="Y22" s="944"/>
      <c r="Z22" s="934"/>
      <c r="AA22" s="1371">
        <f t="shared" si="3"/>
        <v>1.9999999999999998</v>
      </c>
      <c r="AB22" s="1359"/>
      <c r="AC22" s="1359"/>
      <c r="AD22" s="1359"/>
      <c r="AE22" s="947">
        <f t="shared" si="0"/>
        <v>0</v>
      </c>
      <c r="AF22" s="947">
        <f t="shared" si="1"/>
        <v>0</v>
      </c>
      <c r="AG22" s="947">
        <f t="shared" si="2"/>
        <v>0</v>
      </c>
      <c r="AH22" s="927"/>
      <c r="AI22" s="927"/>
      <c r="AJ22" s="927"/>
      <c r="AK22" s="927"/>
      <c r="AL22" s="927"/>
      <c r="AM22" s="927"/>
      <c r="AN22" s="927"/>
      <c r="AO22" s="927"/>
      <c r="AP22" s="927"/>
      <c r="AQ22" s="927"/>
      <c r="AR22" s="927"/>
    </row>
    <row r="23" spans="2:44">
      <c r="B23" s="923"/>
      <c r="E23" s="1340" t="s">
        <v>717</v>
      </c>
      <c r="F23" s="1331"/>
      <c r="G23" s="1331"/>
      <c r="H23" s="1331"/>
      <c r="I23" s="1331"/>
      <c r="J23" s="1332"/>
      <c r="K23" s="956" t="s">
        <v>718</v>
      </c>
      <c r="L23" s="957" t="s">
        <v>104</v>
      </c>
      <c r="M23" s="1362">
        <f>AF4</f>
        <v>2.4900000000000002</v>
      </c>
      <c r="N23" s="1363"/>
      <c r="O23" s="1362">
        <f>M23</f>
        <v>2.4900000000000002</v>
      </c>
      <c r="P23" s="1363"/>
      <c r="Q23" s="1362">
        <f>O23</f>
        <v>2.4900000000000002</v>
      </c>
      <c r="R23" s="1364"/>
      <c r="S23" s="938"/>
      <c r="T23" s="938"/>
      <c r="U23" s="938"/>
      <c r="Y23" s="944"/>
      <c r="Z23" s="934"/>
      <c r="AA23" s="1371">
        <f t="shared" si="3"/>
        <v>2.1999999999999997</v>
      </c>
      <c r="AB23" s="1359"/>
      <c r="AC23" s="1359"/>
      <c r="AD23" s="1359"/>
      <c r="AE23" s="947">
        <f t="shared" si="0"/>
        <v>0</v>
      </c>
      <c r="AF23" s="947">
        <f t="shared" si="1"/>
        <v>0</v>
      </c>
      <c r="AG23" s="947">
        <f t="shared" si="2"/>
        <v>0</v>
      </c>
      <c r="AH23" s="927"/>
      <c r="AI23" s="927"/>
      <c r="AJ23" s="927"/>
      <c r="AK23" s="927"/>
      <c r="AL23" s="927"/>
      <c r="AM23" s="927"/>
      <c r="AN23" s="927"/>
      <c r="AO23" s="927"/>
      <c r="AP23" s="927"/>
      <c r="AQ23" s="927"/>
      <c r="AR23" s="927"/>
    </row>
    <row r="24" spans="2:44">
      <c r="B24" s="923"/>
      <c r="E24" s="1341" t="s">
        <v>719</v>
      </c>
      <c r="F24" s="1333"/>
      <c r="G24" s="1333"/>
      <c r="H24" s="1333"/>
      <c r="I24" s="1333"/>
      <c r="J24" s="1334"/>
      <c r="K24" s="956" t="s">
        <v>720</v>
      </c>
      <c r="L24" s="956" t="s">
        <v>104</v>
      </c>
      <c r="M24" s="1365">
        <f>AE60</f>
        <v>5.94</v>
      </c>
      <c r="N24" s="1363"/>
      <c r="O24" s="1365">
        <f>AF60</f>
        <v>5.94</v>
      </c>
      <c r="P24" s="1363"/>
      <c r="Q24" s="1366">
        <f>AG60</f>
        <v>5.94</v>
      </c>
      <c r="R24" s="1364"/>
      <c r="S24" s="938"/>
      <c r="T24" s="1800"/>
      <c r="U24" s="1800"/>
      <c r="V24" s="1801"/>
      <c r="W24" s="1801"/>
      <c r="X24" s="1801"/>
      <c r="Y24" s="944"/>
      <c r="Z24" s="927"/>
      <c r="AA24" s="1371">
        <f t="shared" si="3"/>
        <v>2.4</v>
      </c>
      <c r="AB24" s="1359"/>
      <c r="AC24" s="1359"/>
      <c r="AD24" s="1359"/>
      <c r="AE24" s="947">
        <f t="shared" si="0"/>
        <v>0</v>
      </c>
      <c r="AF24" s="947">
        <f t="shared" si="1"/>
        <v>0</v>
      </c>
      <c r="AG24" s="947">
        <f t="shared" si="2"/>
        <v>0</v>
      </c>
      <c r="AH24" s="927"/>
      <c r="AI24" s="927"/>
      <c r="AJ24" s="927"/>
      <c r="AK24" s="927"/>
      <c r="AL24" s="927"/>
      <c r="AM24" s="927"/>
      <c r="AN24" s="927"/>
      <c r="AO24" s="927"/>
      <c r="AP24" s="927"/>
      <c r="AQ24" s="927"/>
      <c r="AR24" s="927"/>
    </row>
    <row r="25" spans="2:44">
      <c r="B25" s="923"/>
      <c r="E25" s="1341" t="s">
        <v>167</v>
      </c>
      <c r="F25" s="1333"/>
      <c r="G25" s="1333"/>
      <c r="H25" s="1333"/>
      <c r="I25" s="1333"/>
      <c r="J25" s="1334"/>
      <c r="K25" s="956" t="s">
        <v>124</v>
      </c>
      <c r="L25" s="956" t="s">
        <v>721</v>
      </c>
      <c r="M25" s="1365">
        <f>AE61</f>
        <v>27.697626000000007</v>
      </c>
      <c r="N25" s="1363"/>
      <c r="O25" s="1365">
        <f>AF61</f>
        <v>27.697626000000007</v>
      </c>
      <c r="P25" s="1363"/>
      <c r="Q25" s="1367">
        <f>AG61</f>
        <v>27.697626000000007</v>
      </c>
      <c r="R25" s="1364"/>
      <c r="S25" s="938"/>
      <c r="T25" s="938"/>
      <c r="U25" s="938"/>
      <c r="Y25" s="944"/>
      <c r="Z25" s="927"/>
      <c r="AA25" s="1371">
        <f t="shared" si="3"/>
        <v>2.6</v>
      </c>
      <c r="AB25" s="1359"/>
      <c r="AC25" s="1359"/>
      <c r="AD25" s="1359"/>
      <c r="AE25" s="947">
        <f t="shared" si="0"/>
        <v>0</v>
      </c>
      <c r="AF25" s="947">
        <f t="shared" si="1"/>
        <v>0</v>
      </c>
      <c r="AG25" s="947">
        <f t="shared" si="2"/>
        <v>0</v>
      </c>
      <c r="AH25" s="927"/>
      <c r="AI25" s="927"/>
      <c r="AJ25" s="927"/>
      <c r="AK25" s="927"/>
      <c r="AL25" s="927"/>
      <c r="AM25" s="927"/>
      <c r="AN25" s="927"/>
      <c r="AO25" s="927"/>
      <c r="AP25" s="927"/>
      <c r="AQ25" s="927"/>
      <c r="AR25" s="927"/>
    </row>
    <row r="26" spans="2:44">
      <c r="B26" s="923"/>
      <c r="E26" s="1341" t="s">
        <v>722</v>
      </c>
      <c r="F26" s="1333"/>
      <c r="G26" s="1333"/>
      <c r="H26" s="1333"/>
      <c r="I26" s="1333"/>
      <c r="J26" s="1334"/>
      <c r="K26" s="956" t="s">
        <v>723</v>
      </c>
      <c r="L26" s="956" t="s">
        <v>615</v>
      </c>
      <c r="M26" s="1367">
        <f>AE62</f>
        <v>68.967088740000023</v>
      </c>
      <c r="N26" s="1363"/>
      <c r="O26" s="1365">
        <f>AF62</f>
        <v>68.967088740000023</v>
      </c>
      <c r="P26" s="1363"/>
      <c r="Q26" s="1367">
        <f>AG62</f>
        <v>68.967088740000023</v>
      </c>
      <c r="R26" s="1364"/>
      <c r="T26" s="1801"/>
      <c r="U26" s="1800"/>
      <c r="V26" s="1801"/>
      <c r="W26" s="1801"/>
      <c r="X26" s="1801"/>
      <c r="Y26" s="944"/>
      <c r="Z26" s="958"/>
      <c r="AA26" s="1371">
        <f t="shared" si="3"/>
        <v>2.8000000000000003</v>
      </c>
      <c r="AB26" s="1359"/>
      <c r="AC26" s="1359"/>
      <c r="AD26" s="1359"/>
      <c r="AE26" s="947">
        <f t="shared" si="0"/>
        <v>0</v>
      </c>
      <c r="AF26" s="947">
        <f t="shared" si="1"/>
        <v>0</v>
      </c>
      <c r="AG26" s="947">
        <f t="shared" si="2"/>
        <v>0</v>
      </c>
      <c r="AH26" s="927"/>
      <c r="AI26" s="927"/>
      <c r="AJ26" s="927"/>
      <c r="AK26" s="927"/>
      <c r="AL26" s="927"/>
      <c r="AM26" s="927"/>
      <c r="AN26" s="927"/>
      <c r="AO26" s="927"/>
      <c r="AP26" s="927"/>
      <c r="AQ26" s="927"/>
      <c r="AR26" s="927"/>
    </row>
    <row r="27" spans="2:44">
      <c r="B27" s="923"/>
      <c r="E27" s="1341" t="s">
        <v>724</v>
      </c>
      <c r="F27" s="1333"/>
      <c r="G27" s="1333"/>
      <c r="H27" s="1333"/>
      <c r="I27" s="1333"/>
      <c r="J27" s="1334"/>
      <c r="K27" s="956"/>
      <c r="L27" s="956" t="s">
        <v>725</v>
      </c>
      <c r="M27" s="1368">
        <f>AC6</f>
        <v>0.40670000000000001</v>
      </c>
      <c r="N27" s="1363"/>
      <c r="O27" s="1365">
        <f>AC6</f>
        <v>0.40670000000000001</v>
      </c>
      <c r="P27" s="1363"/>
      <c r="Q27" s="1367">
        <f>AC6</f>
        <v>0.40670000000000001</v>
      </c>
      <c r="R27" s="1364"/>
      <c r="T27" s="938"/>
      <c r="U27" s="938"/>
      <c r="Y27" s="944"/>
      <c r="AA27" s="1371">
        <f t="shared" si="3"/>
        <v>3.0000000000000004</v>
      </c>
      <c r="AB27" s="1359"/>
      <c r="AC27" s="1359"/>
      <c r="AD27" s="1359"/>
      <c r="AE27" s="947">
        <f t="shared" si="0"/>
        <v>0</v>
      </c>
      <c r="AF27" s="947">
        <f t="shared" si="1"/>
        <v>0</v>
      </c>
      <c r="AG27" s="947">
        <f t="shared" si="2"/>
        <v>0</v>
      </c>
    </row>
    <row r="28" spans="2:44">
      <c r="B28" s="923"/>
      <c r="E28" s="1342"/>
      <c r="F28" s="1333"/>
      <c r="G28" s="1333"/>
      <c r="H28" s="1333"/>
      <c r="I28" s="1333"/>
      <c r="J28" s="1333"/>
      <c r="K28" s="948"/>
      <c r="L28" s="948"/>
      <c r="M28" s="1369"/>
      <c r="N28" s="1369"/>
      <c r="O28" s="1369"/>
      <c r="P28" s="1369"/>
      <c r="Q28" s="1369"/>
      <c r="R28" s="1369"/>
      <c r="T28" s="1801"/>
      <c r="U28" s="1801"/>
      <c r="V28" s="1801"/>
      <c r="W28" s="1801"/>
      <c r="X28" s="1801"/>
      <c r="Y28" s="944"/>
      <c r="AA28" s="1371">
        <f t="shared" si="3"/>
        <v>3.2000000000000006</v>
      </c>
      <c r="AB28" s="1359"/>
      <c r="AC28" s="1359"/>
      <c r="AD28" s="1359"/>
      <c r="AE28" s="947">
        <f t="shared" si="0"/>
        <v>0</v>
      </c>
      <c r="AF28" s="947">
        <f t="shared" si="1"/>
        <v>0</v>
      </c>
      <c r="AG28" s="947">
        <f t="shared" si="2"/>
        <v>0</v>
      </c>
    </row>
    <row r="29" spans="2:44">
      <c r="B29" s="923"/>
      <c r="E29" s="1341" t="s">
        <v>726</v>
      </c>
      <c r="F29" s="1333"/>
      <c r="G29" s="1333"/>
      <c r="H29" s="1333"/>
      <c r="I29" s="1333"/>
      <c r="J29" s="1334"/>
      <c r="K29" s="956" t="s">
        <v>727</v>
      </c>
      <c r="L29" s="956" t="s">
        <v>728</v>
      </c>
      <c r="M29" s="1365">
        <f>AE67</f>
        <v>-1.7133099592685515</v>
      </c>
      <c r="N29" s="1363"/>
      <c r="O29" s="1365">
        <f>AF67</f>
        <v>-1.7133099592685515</v>
      </c>
      <c r="P29" s="1363"/>
      <c r="Q29" s="1367">
        <f>AG67</f>
        <v>-1.7133099592685515</v>
      </c>
      <c r="R29" s="1363"/>
      <c r="T29" s="938"/>
      <c r="U29" s="960"/>
      <c r="V29" s="960"/>
      <c r="Y29" s="926"/>
      <c r="AA29" s="1371">
        <f t="shared" si="3"/>
        <v>3.4000000000000008</v>
      </c>
      <c r="AB29" s="1359"/>
      <c r="AC29" s="1359"/>
      <c r="AD29" s="1359"/>
      <c r="AE29" s="947">
        <f t="shared" si="0"/>
        <v>0</v>
      </c>
      <c r="AF29" s="947">
        <f t="shared" si="1"/>
        <v>0</v>
      </c>
      <c r="AG29" s="947">
        <f t="shared" si="2"/>
        <v>0</v>
      </c>
    </row>
    <row r="30" spans="2:44">
      <c r="B30" s="923"/>
      <c r="E30" s="1341" t="s">
        <v>729</v>
      </c>
      <c r="F30" s="1333"/>
      <c r="G30" s="1333"/>
      <c r="H30" s="1333"/>
      <c r="I30" s="1333"/>
      <c r="J30" s="1334"/>
      <c r="K30" s="956" t="s">
        <v>730</v>
      </c>
      <c r="L30" s="956" t="s">
        <v>728</v>
      </c>
      <c r="M30" s="1367" t="e">
        <f>AE78</f>
        <v>#N/A</v>
      </c>
      <c r="N30" s="1363"/>
      <c r="O30" s="1365" t="e">
        <f>AF78</f>
        <v>#N/A</v>
      </c>
      <c r="P30" s="1363"/>
      <c r="Q30" s="1367" t="e">
        <f>AG78</f>
        <v>#N/A</v>
      </c>
      <c r="R30" s="1363"/>
      <c r="U30" s="960"/>
      <c r="V30" s="960"/>
      <c r="Y30" s="926"/>
      <c r="AA30" s="1371">
        <f t="shared" si="3"/>
        <v>3.600000000000001</v>
      </c>
      <c r="AB30" s="1359"/>
      <c r="AC30" s="1359"/>
      <c r="AD30" s="1359"/>
      <c r="AE30" s="947">
        <f t="shared" si="0"/>
        <v>0</v>
      </c>
      <c r="AF30" s="947">
        <f t="shared" si="1"/>
        <v>0</v>
      </c>
      <c r="AG30" s="947">
        <f t="shared" si="2"/>
        <v>0</v>
      </c>
      <c r="AI30" s="962" t="s">
        <v>735</v>
      </c>
      <c r="AJ30" s="962"/>
      <c r="AK30" s="962"/>
      <c r="AL30" s="962"/>
      <c r="AM30" s="962"/>
    </row>
    <row r="31" spans="2:44">
      <c r="B31" s="923"/>
      <c r="E31" s="1341" t="s">
        <v>731</v>
      </c>
      <c r="F31" s="1333"/>
      <c r="G31" s="1333"/>
      <c r="H31" s="1333"/>
      <c r="I31" s="1333"/>
      <c r="J31" s="1334"/>
      <c r="K31" s="959" t="s">
        <v>314</v>
      </c>
      <c r="L31" s="956" t="s">
        <v>1</v>
      </c>
      <c r="M31" s="1367" t="e">
        <f>AE75</f>
        <v>#N/A</v>
      </c>
      <c r="N31" s="1363"/>
      <c r="O31" s="1365" t="e">
        <f>AF75</f>
        <v>#N/A</v>
      </c>
      <c r="P31" s="1363"/>
      <c r="Q31" s="1367" t="e">
        <f>AG75</f>
        <v>#N/A</v>
      </c>
      <c r="R31" s="1363"/>
      <c r="U31" s="960"/>
      <c r="V31" s="960"/>
      <c r="Y31" s="926"/>
      <c r="AA31" s="1371">
        <f t="shared" si="3"/>
        <v>3.8000000000000012</v>
      </c>
      <c r="AB31" s="1360"/>
      <c r="AC31" s="1360"/>
      <c r="AD31" s="1360"/>
      <c r="AE31" s="947">
        <f t="shared" si="0"/>
        <v>0</v>
      </c>
      <c r="AF31" s="947">
        <f t="shared" si="1"/>
        <v>0</v>
      </c>
      <c r="AG31" s="947">
        <f t="shared" si="2"/>
        <v>0</v>
      </c>
      <c r="AI31" s="962" t="s">
        <v>738</v>
      </c>
      <c r="AJ31" s="962"/>
      <c r="AK31" s="962"/>
      <c r="AL31" s="962"/>
      <c r="AM31" s="962"/>
    </row>
    <row r="32" spans="2:44">
      <c r="B32" s="923"/>
      <c r="E32" s="1342"/>
      <c r="F32" s="1333"/>
      <c r="G32" s="1333"/>
      <c r="H32" s="1333"/>
      <c r="I32" s="1333"/>
      <c r="J32" s="1333"/>
      <c r="K32" s="948"/>
      <c r="L32" s="948"/>
      <c r="M32" s="1017"/>
      <c r="N32" s="1017"/>
      <c r="O32" s="1369"/>
      <c r="P32" s="1369"/>
      <c r="Q32" s="1017"/>
      <c r="R32" s="1017"/>
      <c r="U32" s="960"/>
      <c r="V32" s="960"/>
      <c r="Y32" s="926"/>
      <c r="AA32" s="1371">
        <f t="shared" si="3"/>
        <v>4.0000000000000009</v>
      </c>
      <c r="AB32" s="1360"/>
      <c r="AC32" s="1360"/>
      <c r="AD32" s="1360"/>
      <c r="AE32" s="947">
        <f t="shared" si="0"/>
        <v>0</v>
      </c>
      <c r="AF32" s="947">
        <f t="shared" si="1"/>
        <v>0</v>
      </c>
      <c r="AG32" s="947">
        <f t="shared" si="2"/>
        <v>0</v>
      </c>
    </row>
    <row r="33" spans="2:47">
      <c r="B33" s="923"/>
      <c r="E33" s="1341" t="s">
        <v>732</v>
      </c>
      <c r="F33" s="1333"/>
      <c r="G33" s="1333"/>
      <c r="H33" s="1333"/>
      <c r="I33" s="1333"/>
      <c r="J33" s="1334"/>
      <c r="K33" s="956" t="s">
        <v>733</v>
      </c>
      <c r="L33" s="956" t="s">
        <v>734</v>
      </c>
      <c r="M33" s="1367">
        <f>AE47</f>
        <v>0</v>
      </c>
      <c r="N33" s="1363"/>
      <c r="O33" s="1365">
        <f>AF47</f>
        <v>0</v>
      </c>
      <c r="P33" s="1363"/>
      <c r="Q33" s="1367">
        <f>AG47</f>
        <v>0</v>
      </c>
      <c r="R33" s="1363"/>
      <c r="U33" s="960"/>
      <c r="V33" s="960"/>
      <c r="Y33" s="926"/>
      <c r="AA33" s="1371">
        <f t="shared" si="3"/>
        <v>4.2000000000000011</v>
      </c>
      <c r="AB33" s="1360"/>
      <c r="AC33" s="1360"/>
      <c r="AD33" s="1360"/>
      <c r="AE33" s="947">
        <f t="shared" si="0"/>
        <v>0</v>
      </c>
      <c r="AF33" s="947">
        <f t="shared" si="1"/>
        <v>0</v>
      </c>
      <c r="AG33" s="947">
        <f t="shared" si="2"/>
        <v>0</v>
      </c>
      <c r="AH33" s="927"/>
      <c r="AN33" s="927"/>
      <c r="AO33" s="927"/>
      <c r="AP33" s="927"/>
      <c r="AQ33" s="927"/>
      <c r="AR33" s="927"/>
    </row>
    <row r="34" spans="2:47">
      <c r="B34" s="923"/>
      <c r="E34" s="1341" t="s">
        <v>736</v>
      </c>
      <c r="F34" s="1333"/>
      <c r="G34" s="1333"/>
      <c r="H34" s="1333"/>
      <c r="I34" s="1333"/>
      <c r="J34" s="1334"/>
      <c r="K34" s="963" t="s">
        <v>737</v>
      </c>
      <c r="L34" s="956" t="s">
        <v>734</v>
      </c>
      <c r="M34" s="1366">
        <f>AA49</f>
        <v>0.36085874024622272</v>
      </c>
      <c r="N34" s="1363"/>
      <c r="O34" s="1365">
        <f>AA50</f>
        <v>0.72171748049244544</v>
      </c>
      <c r="P34" s="1363"/>
      <c r="Q34" s="1366">
        <f>AB51</f>
        <v>0</v>
      </c>
      <c r="R34" s="1363"/>
      <c r="U34" s="960"/>
      <c r="V34" s="960"/>
      <c r="Y34" s="926"/>
      <c r="AA34" s="1371">
        <f t="shared" si="3"/>
        <v>4.4000000000000012</v>
      </c>
      <c r="AB34" s="1360"/>
      <c r="AC34" s="1360"/>
      <c r="AD34" s="1360"/>
      <c r="AE34" s="947">
        <f t="shared" si="0"/>
        <v>0</v>
      </c>
      <c r="AF34" s="947">
        <f t="shared" si="1"/>
        <v>0</v>
      </c>
      <c r="AG34" s="947">
        <f t="shared" si="2"/>
        <v>0</v>
      </c>
      <c r="AH34" s="927"/>
      <c r="AN34" s="927"/>
      <c r="AO34" s="927"/>
      <c r="AP34" s="927"/>
      <c r="AQ34" s="927"/>
      <c r="AR34" s="927"/>
    </row>
    <row r="35" spans="2:47">
      <c r="B35" s="923"/>
      <c r="E35" s="1342"/>
      <c r="F35" s="1333"/>
      <c r="G35" s="1333"/>
      <c r="H35" s="1333"/>
      <c r="I35" s="1333"/>
      <c r="J35" s="1333"/>
      <c r="K35" s="948"/>
      <c r="L35" s="948"/>
      <c r="M35" s="1370"/>
      <c r="N35" s="1370"/>
      <c r="O35" s="1369"/>
      <c r="P35" s="1369"/>
      <c r="Q35" s="1370"/>
      <c r="R35" s="1370"/>
      <c r="U35" s="967"/>
      <c r="V35" s="967"/>
      <c r="Y35" s="926"/>
      <c r="AA35" s="1371">
        <f t="shared" si="3"/>
        <v>4.6000000000000014</v>
      </c>
      <c r="AB35" s="1360"/>
      <c r="AC35" s="1360"/>
      <c r="AD35" s="1360"/>
      <c r="AE35" s="947">
        <f t="shared" si="0"/>
        <v>0</v>
      </c>
      <c r="AF35" s="947">
        <f t="shared" si="1"/>
        <v>0</v>
      </c>
      <c r="AG35" s="947">
        <f t="shared" si="2"/>
        <v>0</v>
      </c>
      <c r="AH35" s="927"/>
      <c r="AI35" s="970" t="s">
        <v>748</v>
      </c>
      <c r="AJ35" s="971"/>
      <c r="AK35" s="972"/>
      <c r="AL35" s="964" t="s">
        <v>37</v>
      </c>
      <c r="AM35" s="964">
        <v>161.80000000000001</v>
      </c>
      <c r="AN35" s="927"/>
      <c r="AO35" s="927"/>
      <c r="AP35" s="927"/>
      <c r="AQ35" s="927"/>
      <c r="AR35" s="927"/>
    </row>
    <row r="36" spans="2:47">
      <c r="B36" s="923"/>
      <c r="E36" s="1341" t="s">
        <v>739</v>
      </c>
      <c r="F36" s="1333"/>
      <c r="G36" s="1333"/>
      <c r="H36" s="1333"/>
      <c r="I36" s="1333"/>
      <c r="J36" s="1334"/>
      <c r="K36" s="956" t="s">
        <v>354</v>
      </c>
      <c r="L36" s="966" t="s">
        <v>188</v>
      </c>
      <c r="M36" s="1366">
        <f>AD51</f>
        <v>0</v>
      </c>
      <c r="N36" s="1363"/>
      <c r="O36" s="1365">
        <f>AD51</f>
        <v>0</v>
      </c>
      <c r="P36" s="1363"/>
      <c r="Q36" s="1366">
        <f>AD51</f>
        <v>0</v>
      </c>
      <c r="R36" s="1363"/>
      <c r="U36" s="960"/>
      <c r="V36" s="960"/>
      <c r="Y36" s="926"/>
      <c r="AA36" s="1371">
        <f t="shared" si="3"/>
        <v>4.8000000000000016</v>
      </c>
      <c r="AB36" s="1360"/>
      <c r="AC36" s="1360"/>
      <c r="AD36" s="1360"/>
      <c r="AE36" s="947">
        <f t="shared" si="0"/>
        <v>0</v>
      </c>
      <c r="AF36" s="947">
        <f t="shared" si="1"/>
        <v>0</v>
      </c>
      <c r="AG36" s="947">
        <f t="shared" si="2"/>
        <v>0</v>
      </c>
      <c r="AH36" s="927"/>
      <c r="AI36" s="970" t="s">
        <v>750</v>
      </c>
      <c r="AJ36" s="971"/>
      <c r="AK36" s="972"/>
      <c r="AL36" s="964" t="s">
        <v>37</v>
      </c>
      <c r="AM36" s="1024"/>
      <c r="AN36" s="927"/>
      <c r="AO36" s="927"/>
      <c r="AP36" s="927"/>
      <c r="AQ36" s="927"/>
      <c r="AR36" s="927"/>
    </row>
    <row r="37" spans="2:47">
      <c r="B37" s="923"/>
      <c r="E37" s="1341" t="s">
        <v>741</v>
      </c>
      <c r="F37" s="1333"/>
      <c r="G37" s="1333"/>
      <c r="H37" s="1333"/>
      <c r="I37" s="1333"/>
      <c r="J37" s="1334"/>
      <c r="K37" s="956" t="s">
        <v>742</v>
      </c>
      <c r="L37" s="956" t="s">
        <v>734</v>
      </c>
      <c r="M37" s="1366">
        <f>AB48</f>
        <v>0</v>
      </c>
      <c r="N37" s="1363"/>
      <c r="O37" s="1366">
        <f>M37</f>
        <v>0</v>
      </c>
      <c r="P37" s="1363"/>
      <c r="Q37" s="1366">
        <f>M37</f>
        <v>0</v>
      </c>
      <c r="R37" s="1363"/>
      <c r="U37" s="960"/>
      <c r="V37" s="973"/>
      <c r="Y37" s="926"/>
      <c r="AA37" s="1371">
        <f t="shared" si="3"/>
        <v>5.0000000000000018</v>
      </c>
      <c r="AB37" s="1360"/>
      <c r="AC37" s="1360"/>
      <c r="AD37" s="1360"/>
      <c r="AE37" s="947">
        <f t="shared" si="0"/>
        <v>0</v>
      </c>
      <c r="AF37" s="947">
        <f t="shared" si="1"/>
        <v>0</v>
      </c>
      <c r="AG37" s="947">
        <f t="shared" si="2"/>
        <v>0</v>
      </c>
      <c r="AH37" s="927"/>
      <c r="AI37" s="970" t="s">
        <v>751</v>
      </c>
      <c r="AJ37" s="971"/>
      <c r="AK37" s="972"/>
      <c r="AL37" s="964" t="s">
        <v>37</v>
      </c>
      <c r="AM37" s="964">
        <f>AM36-AM35</f>
        <v>-161.80000000000001</v>
      </c>
      <c r="AN37" s="927"/>
      <c r="AO37" s="927"/>
      <c r="AP37" s="927"/>
      <c r="AQ37" s="927"/>
      <c r="AR37" s="927"/>
    </row>
    <row r="38" spans="2:47">
      <c r="B38" s="923"/>
      <c r="E38" s="1188" t="s">
        <v>745</v>
      </c>
      <c r="F38" s="1335"/>
      <c r="G38" s="1335"/>
      <c r="H38" s="1335"/>
      <c r="I38" s="1335"/>
      <c r="J38" s="1336"/>
      <c r="K38" s="956" t="s">
        <v>746</v>
      </c>
      <c r="L38" s="956" t="s">
        <v>734</v>
      </c>
      <c r="M38" s="1366">
        <f>M34*TAN(RADIANS(M36))+M37</f>
        <v>0</v>
      </c>
      <c r="N38" s="1363"/>
      <c r="O38" s="1366">
        <f>O34*TAN(RADIANS(O36))+O37</f>
        <v>0</v>
      </c>
      <c r="P38" s="1363"/>
      <c r="Q38" s="1366">
        <f>Q34*TAN(RADIANS(Q36))+Q37</f>
        <v>0</v>
      </c>
      <c r="R38" s="1363"/>
      <c r="U38" s="960"/>
      <c r="V38" s="975"/>
      <c r="Y38" s="926"/>
      <c r="AA38" s="1371">
        <f t="shared" si="3"/>
        <v>5.200000000000002</v>
      </c>
      <c r="AB38" s="1360"/>
      <c r="AC38" s="1360"/>
      <c r="AD38" s="1360"/>
      <c r="AE38" s="947">
        <f t="shared" si="0"/>
        <v>0</v>
      </c>
      <c r="AF38" s="947">
        <f t="shared" si="1"/>
        <v>0</v>
      </c>
      <c r="AG38" s="947">
        <f t="shared" si="2"/>
        <v>0</v>
      </c>
      <c r="AH38" s="927"/>
      <c r="AI38" s="970"/>
      <c r="AJ38" s="971"/>
      <c r="AK38" s="972"/>
      <c r="AL38" s="964"/>
      <c r="AM38" s="964"/>
      <c r="AN38" s="927"/>
      <c r="AO38" s="927"/>
      <c r="AP38" s="927"/>
      <c r="AQ38" s="927"/>
      <c r="AR38" s="927"/>
    </row>
    <row r="39" spans="2:47">
      <c r="B39" s="923"/>
      <c r="E39" s="1337"/>
      <c r="F39" s="1338"/>
      <c r="G39" s="1338"/>
      <c r="H39" s="1338"/>
      <c r="I39" s="1338"/>
      <c r="J39" s="1339"/>
      <c r="K39" s="956"/>
      <c r="L39" s="956" t="s">
        <v>749</v>
      </c>
      <c r="M39" s="1366">
        <f>M38*98.0665</f>
        <v>0</v>
      </c>
      <c r="N39" s="1363"/>
      <c r="O39" s="1366">
        <f>O38*98.0665</f>
        <v>0</v>
      </c>
      <c r="P39" s="1363"/>
      <c r="Q39" s="1366">
        <f>Q38*98.0665</f>
        <v>0</v>
      </c>
      <c r="R39" s="1363"/>
      <c r="U39" s="960"/>
      <c r="V39" s="960"/>
      <c r="Y39" s="926"/>
      <c r="AA39" s="1371">
        <f t="shared" si="3"/>
        <v>5.4000000000000021</v>
      </c>
      <c r="AB39" s="1360"/>
      <c r="AC39" s="1360"/>
      <c r="AD39" s="1360"/>
      <c r="AE39" s="947">
        <f t="shared" si="0"/>
        <v>0</v>
      </c>
      <c r="AF39" s="947">
        <f t="shared" si="1"/>
        <v>0</v>
      </c>
      <c r="AG39" s="947">
        <f t="shared" si="2"/>
        <v>0</v>
      </c>
      <c r="AH39" s="927"/>
      <c r="AI39" s="970" t="s">
        <v>752</v>
      </c>
      <c r="AJ39" s="971"/>
      <c r="AK39" s="972"/>
      <c r="AL39" s="964" t="s">
        <v>563</v>
      </c>
      <c r="AM39" s="964">
        <f>1000-130</f>
        <v>870</v>
      </c>
      <c r="AN39" s="927"/>
      <c r="AO39" s="927"/>
      <c r="AP39" s="927"/>
      <c r="AQ39" s="927"/>
      <c r="AR39" s="927"/>
    </row>
    <row r="40" spans="2:47">
      <c r="B40" s="923"/>
      <c r="I40" s="938"/>
      <c r="U40" s="967"/>
      <c r="V40" s="960"/>
      <c r="Y40" s="926"/>
      <c r="AA40" s="1371">
        <f t="shared" si="3"/>
        <v>5.6000000000000023</v>
      </c>
      <c r="AB40" s="1360"/>
      <c r="AC40" s="1360"/>
      <c r="AD40" s="1360"/>
      <c r="AE40" s="947">
        <f t="shared" si="0"/>
        <v>0</v>
      </c>
      <c r="AF40" s="947">
        <f t="shared" si="1"/>
        <v>0</v>
      </c>
      <c r="AG40" s="947">
        <f t="shared" si="2"/>
        <v>0</v>
      </c>
      <c r="AH40" s="927"/>
      <c r="AI40" s="970"/>
      <c r="AJ40" s="971"/>
      <c r="AK40" s="972"/>
      <c r="AL40" s="964"/>
      <c r="AM40" s="964"/>
      <c r="AN40" s="927"/>
      <c r="AO40" s="927"/>
      <c r="AP40" s="927"/>
      <c r="AQ40" s="927"/>
      <c r="AR40" s="927"/>
    </row>
    <row r="41" spans="2:47">
      <c r="B41" s="923"/>
      <c r="I41" s="938"/>
      <c r="U41" s="967"/>
      <c r="V41" s="960"/>
      <c r="Y41" s="926"/>
      <c r="AA41" s="1371">
        <f t="shared" si="3"/>
        <v>5.8000000000000025</v>
      </c>
      <c r="AB41" s="1360"/>
      <c r="AC41" s="1360"/>
      <c r="AD41" s="1360"/>
      <c r="AE41" s="947">
        <f t="shared" si="0"/>
        <v>0</v>
      </c>
      <c r="AF41" s="947">
        <f t="shared" si="1"/>
        <v>0</v>
      </c>
      <c r="AG41" s="947">
        <f t="shared" si="2"/>
        <v>0</v>
      </c>
      <c r="AH41" s="927"/>
      <c r="AI41" s="970" t="s">
        <v>753</v>
      </c>
      <c r="AJ41" s="971"/>
      <c r="AK41" s="972"/>
      <c r="AL41" s="964" t="s">
        <v>397</v>
      </c>
      <c r="AM41" s="964">
        <f>AM37/AM39</f>
        <v>-0.18597701149425289</v>
      </c>
      <c r="AN41" s="927"/>
      <c r="AO41" s="927"/>
      <c r="AP41" s="927"/>
      <c r="AQ41" s="927"/>
      <c r="AR41" s="927"/>
    </row>
    <row r="42" spans="2:47">
      <c r="B42" s="923"/>
      <c r="I42" s="938"/>
      <c r="U42" s="977"/>
      <c r="V42" s="967"/>
      <c r="W42" s="967"/>
      <c r="Y42" s="926"/>
      <c r="AA42" s="1371">
        <f t="shared" si="3"/>
        <v>6.0000000000000027</v>
      </c>
      <c r="AB42" s="1360"/>
      <c r="AC42" s="1360"/>
      <c r="AD42" s="1360"/>
      <c r="AE42" s="947">
        <f t="shared" si="0"/>
        <v>0</v>
      </c>
      <c r="AF42" s="947">
        <f t="shared" si="1"/>
        <v>0</v>
      </c>
      <c r="AG42" s="947">
        <f t="shared" si="2"/>
        <v>0</v>
      </c>
      <c r="AH42" s="927"/>
      <c r="AI42" s="970"/>
      <c r="AJ42" s="971"/>
      <c r="AK42" s="972"/>
      <c r="AL42" s="964"/>
      <c r="AM42" s="964"/>
      <c r="AN42" s="927"/>
      <c r="AO42" s="927"/>
      <c r="AP42" s="927"/>
      <c r="AQ42" s="927"/>
      <c r="AR42" s="927"/>
    </row>
    <row r="43" spans="2:47">
      <c r="B43" s="923"/>
      <c r="I43" s="938"/>
      <c r="U43" s="977"/>
      <c r="V43" s="967"/>
      <c r="W43" s="967"/>
      <c r="Y43" s="926"/>
      <c r="Z43" s="976"/>
      <c r="AA43" s="1371">
        <f t="shared" si="3"/>
        <v>6.2000000000000028</v>
      </c>
      <c r="AB43" s="1360"/>
      <c r="AC43" s="1360"/>
      <c r="AD43" s="1360"/>
      <c r="AE43" s="947">
        <f t="shared" si="0"/>
        <v>0</v>
      </c>
      <c r="AF43" s="947">
        <f t="shared" si="1"/>
        <v>0</v>
      </c>
      <c r="AG43" s="947">
        <f t="shared" si="2"/>
        <v>0</v>
      </c>
      <c r="AH43" s="976"/>
      <c r="AI43" s="970" t="s">
        <v>754</v>
      </c>
      <c r="AJ43" s="971"/>
      <c r="AK43" s="972"/>
      <c r="AL43" s="964" t="s">
        <v>414</v>
      </c>
      <c r="AM43" s="1024"/>
      <c r="AN43" s="976"/>
      <c r="AO43" s="976"/>
      <c r="AP43" s="927"/>
      <c r="AQ43" s="927"/>
      <c r="AR43" s="976"/>
      <c r="AS43" s="979"/>
      <c r="AT43" s="979"/>
    </row>
    <row r="44" spans="2:47">
      <c r="B44" s="923"/>
      <c r="I44" s="938"/>
      <c r="U44" s="977"/>
      <c r="V44" s="967"/>
      <c r="W44" s="967"/>
      <c r="Y44" s="926"/>
      <c r="Z44" s="976"/>
      <c r="AA44" s="1371">
        <f t="shared" si="3"/>
        <v>6.400000000000003</v>
      </c>
      <c r="AB44" s="1360"/>
      <c r="AC44" s="1360"/>
      <c r="AD44" s="1360"/>
      <c r="AE44" s="947">
        <f t="shared" si="0"/>
        <v>0</v>
      </c>
      <c r="AF44" s="947">
        <f t="shared" si="1"/>
        <v>0</v>
      </c>
      <c r="AG44" s="947">
        <f t="shared" si="2"/>
        <v>0</v>
      </c>
      <c r="AH44" s="976"/>
      <c r="AI44" s="970" t="s">
        <v>755</v>
      </c>
      <c r="AJ44" s="971"/>
      <c r="AK44" s="972"/>
      <c r="AL44" s="964" t="s">
        <v>414</v>
      </c>
      <c r="AM44" s="964">
        <f>AM43-AM35</f>
        <v>-161.80000000000001</v>
      </c>
      <c r="AN44" s="976"/>
      <c r="AO44" s="927"/>
      <c r="AP44" s="927"/>
      <c r="AQ44" s="927"/>
      <c r="AR44" s="976"/>
      <c r="AS44" s="979"/>
    </row>
    <row r="45" spans="2:47">
      <c r="B45" s="923"/>
      <c r="I45" s="938"/>
      <c r="Y45" s="926"/>
      <c r="Z45" s="976"/>
      <c r="AH45" s="927"/>
      <c r="AI45" s="970"/>
      <c r="AJ45" s="971"/>
      <c r="AK45" s="972"/>
      <c r="AL45" s="964"/>
      <c r="AM45" s="964"/>
      <c r="AN45" s="927"/>
      <c r="AO45" s="927"/>
      <c r="AP45" s="927"/>
      <c r="AQ45" s="927"/>
      <c r="AR45" s="927"/>
    </row>
    <row r="46" spans="2:47">
      <c r="B46" s="923"/>
      <c r="I46" s="938"/>
      <c r="Y46" s="926"/>
      <c r="Z46" s="976"/>
      <c r="AH46" s="927"/>
      <c r="AI46" s="970" t="s">
        <v>758</v>
      </c>
      <c r="AJ46" s="971"/>
      <c r="AK46" s="972"/>
      <c r="AL46" s="964" t="s">
        <v>397</v>
      </c>
      <c r="AM46" s="964">
        <f>AM44/AM39</f>
        <v>-0.18597701149425289</v>
      </c>
      <c r="AN46" s="927"/>
      <c r="AO46" s="927"/>
      <c r="AP46" s="927"/>
      <c r="AQ46" s="976"/>
      <c r="AR46" s="976"/>
    </row>
    <row r="47" spans="2:47">
      <c r="B47" s="923"/>
      <c r="I47" s="938"/>
      <c r="Y47" s="926"/>
      <c r="Z47" s="976"/>
      <c r="AA47" s="968" t="s">
        <v>743</v>
      </c>
      <c r="AB47" s="932" t="s">
        <v>744</v>
      </c>
      <c r="AD47" s="965" t="s">
        <v>740</v>
      </c>
      <c r="AE47" s="1452">
        <f>MAX(AE14:AE46)</f>
        <v>0</v>
      </c>
      <c r="AF47" s="1452">
        <f>MAX(AF14:AF46)</f>
        <v>0</v>
      </c>
      <c r="AG47" s="1452">
        <f>MAX(AG14:AG46)</f>
        <v>0</v>
      </c>
      <c r="AU47" s="979"/>
    </row>
    <row r="48" spans="2:47">
      <c r="B48" s="923"/>
      <c r="I48" s="938"/>
      <c r="Y48" s="926"/>
      <c r="Z48" s="976"/>
      <c r="AA48" s="969">
        <v>0</v>
      </c>
      <c r="AB48" s="969">
        <f>(((AA48-AA49)/(AA51-AA49))*(AB51-AB49)+AB49)</f>
        <v>0</v>
      </c>
      <c r="AG48" s="931"/>
      <c r="AU48" s="979"/>
    </row>
    <row r="49" spans="2:47">
      <c r="B49" s="923"/>
      <c r="I49" s="938"/>
      <c r="J49" s="938"/>
      <c r="K49" s="938"/>
      <c r="L49" s="988"/>
      <c r="M49" s="988"/>
      <c r="N49" s="988"/>
      <c r="O49" s="988"/>
      <c r="P49" s="938"/>
      <c r="Q49" s="938"/>
      <c r="R49" s="938"/>
      <c r="S49" s="938"/>
      <c r="T49" s="938"/>
      <c r="U49" s="938"/>
      <c r="Y49" s="926"/>
      <c r="Z49" s="976"/>
      <c r="AA49" s="969">
        <f>AB9/AC4*10</f>
        <v>0.36085874024622272</v>
      </c>
      <c r="AB49" s="969">
        <f>AE47</f>
        <v>0</v>
      </c>
      <c r="AD49" s="927" t="s">
        <v>747</v>
      </c>
      <c r="AG49" s="931"/>
      <c r="AU49" s="979"/>
    </row>
    <row r="50" spans="2:47">
      <c r="B50" s="923"/>
      <c r="I50" s="938"/>
      <c r="J50" s="938"/>
      <c r="K50" s="938"/>
      <c r="L50" s="988"/>
      <c r="M50" s="988"/>
      <c r="N50" s="988"/>
      <c r="O50" s="988"/>
      <c r="P50" s="938"/>
      <c r="Q50" s="938"/>
      <c r="R50" s="938"/>
      <c r="S50" s="938"/>
      <c r="T50" s="938"/>
      <c r="U50" s="990"/>
      <c r="Y50" s="926"/>
      <c r="Z50" s="976"/>
      <c r="AA50" s="969">
        <f>AC9/AC4*10</f>
        <v>0.72171748049244544</v>
      </c>
      <c r="AB50" s="969">
        <f>AF47</f>
        <v>0</v>
      </c>
      <c r="AC50" s="927"/>
      <c r="AD50" s="969">
        <f>((AB51-AB49)/(AA51-AA49))</f>
        <v>0</v>
      </c>
      <c r="AF50" s="969" t="s">
        <v>743</v>
      </c>
      <c r="AG50" s="978" t="s">
        <v>744</v>
      </c>
      <c r="AU50" s="979"/>
    </row>
    <row r="51" spans="2:47">
      <c r="B51" s="923"/>
      <c r="I51" s="938"/>
      <c r="J51" s="938"/>
      <c r="K51" s="938"/>
      <c r="L51" s="988"/>
      <c r="M51" s="988"/>
      <c r="N51" s="988"/>
      <c r="O51" s="988"/>
      <c r="P51" s="938"/>
      <c r="Q51" s="938"/>
      <c r="R51" s="938"/>
      <c r="S51" s="938"/>
      <c r="T51" s="938"/>
      <c r="U51" s="990"/>
      <c r="Y51" s="926"/>
      <c r="Z51" s="976"/>
      <c r="AA51" s="969">
        <f>AD9/AC4*10</f>
        <v>1.4434349609848909</v>
      </c>
      <c r="AB51" s="969">
        <f>AG47</f>
        <v>0</v>
      </c>
      <c r="AC51" s="927"/>
      <c r="AD51" s="974">
        <f>DEGREES(ATAN(AD50))</f>
        <v>0</v>
      </c>
      <c r="AF51" s="969">
        <f>AA48</f>
        <v>0</v>
      </c>
      <c r="AG51" s="969">
        <f>AB48</f>
        <v>0</v>
      </c>
      <c r="AU51" s="979"/>
    </row>
    <row r="52" spans="2:47">
      <c r="B52" s="923"/>
      <c r="I52" s="938"/>
      <c r="J52" s="938"/>
      <c r="K52" s="938"/>
      <c r="L52" s="988"/>
      <c r="M52" s="988"/>
      <c r="N52" s="988"/>
      <c r="O52" s="988"/>
      <c r="P52" s="938"/>
      <c r="Q52" s="938"/>
      <c r="R52" s="938"/>
      <c r="S52" s="938"/>
      <c r="T52" s="938"/>
      <c r="U52" s="938"/>
      <c r="Y52" s="926"/>
      <c r="Z52" s="976"/>
      <c r="AA52" s="969">
        <v>6</v>
      </c>
      <c r="AB52" s="969">
        <f>(((AA52-AA49)/(AA51-AA49)*(AB51-AB49)+AB49))</f>
        <v>0</v>
      </c>
      <c r="AF52" s="969">
        <f>AA51</f>
        <v>1.4434349609848909</v>
      </c>
      <c r="AG52" s="969">
        <f>AB51</f>
        <v>0</v>
      </c>
      <c r="AU52" s="979"/>
    </row>
    <row r="53" spans="2:47">
      <c r="B53" s="923"/>
      <c r="I53" s="938"/>
      <c r="J53" s="938"/>
      <c r="K53" s="938"/>
      <c r="L53" s="988"/>
      <c r="M53" s="988"/>
      <c r="N53" s="988"/>
      <c r="O53" s="988"/>
      <c r="P53" s="938"/>
      <c r="Q53" s="938"/>
      <c r="R53" s="938"/>
      <c r="S53" s="938"/>
      <c r="T53" s="938"/>
      <c r="U53" s="938"/>
      <c r="Y53" s="926"/>
      <c r="Z53" s="976"/>
      <c r="AA53" s="920" t="s">
        <v>756</v>
      </c>
      <c r="AT53" s="920" t="s">
        <v>764</v>
      </c>
      <c r="AU53" s="979"/>
    </row>
    <row r="54" spans="2:47">
      <c r="B54" s="923"/>
      <c r="I54" s="938"/>
      <c r="J54" s="938"/>
      <c r="K54" s="938"/>
      <c r="L54" s="988"/>
      <c r="M54" s="988"/>
      <c r="N54" s="988"/>
      <c r="O54" s="988"/>
      <c r="P54" s="938"/>
      <c r="Q54" s="938"/>
      <c r="R54" s="938"/>
      <c r="S54" s="938"/>
      <c r="T54" s="938"/>
      <c r="U54" s="938"/>
      <c r="Y54" s="926"/>
      <c r="Z54" s="976"/>
      <c r="AA54" s="1048" t="s">
        <v>757</v>
      </c>
      <c r="AB54" s="1049"/>
      <c r="AC54" s="1050"/>
      <c r="AD54" s="1051"/>
      <c r="AE54" s="1051" t="s">
        <v>124</v>
      </c>
      <c r="AF54" s="1051" t="s">
        <v>123</v>
      </c>
      <c r="AG54" s="1051" t="s">
        <v>163</v>
      </c>
      <c r="AI54" s="920" t="s">
        <v>1094</v>
      </c>
      <c r="AJ54" s="920" t="s">
        <v>1340</v>
      </c>
      <c r="AU54" s="979"/>
    </row>
    <row r="55" spans="2:47">
      <c r="B55" s="923"/>
      <c r="I55" s="938"/>
      <c r="J55" s="938"/>
      <c r="K55" s="938"/>
      <c r="L55" s="988"/>
      <c r="M55" s="988"/>
      <c r="N55" s="988"/>
      <c r="O55" s="988"/>
      <c r="P55" s="938"/>
      <c r="Q55" s="938"/>
      <c r="R55" s="938"/>
      <c r="S55" s="938"/>
      <c r="T55" s="938"/>
      <c r="U55" s="938"/>
      <c r="Y55" s="926"/>
      <c r="Z55" s="976"/>
      <c r="AA55" s="984" t="s">
        <v>759</v>
      </c>
      <c r="AB55" s="985"/>
      <c r="AC55" s="986"/>
      <c r="AD55" s="987" t="s">
        <v>414</v>
      </c>
      <c r="AE55" s="1100"/>
      <c r="AF55" s="1100"/>
      <c r="AG55" s="1100"/>
      <c r="AI55" s="922" t="s">
        <v>124</v>
      </c>
      <c r="AJ55" s="1013">
        <v>9.6329999999999991</v>
      </c>
      <c r="AU55" s="979"/>
    </row>
    <row r="56" spans="2:47">
      <c r="B56" s="923"/>
      <c r="I56" s="938"/>
      <c r="J56" s="938"/>
      <c r="K56" s="938"/>
      <c r="L56" s="988"/>
      <c r="M56" s="988"/>
      <c r="N56" s="988"/>
      <c r="O56" s="988"/>
      <c r="P56" s="938"/>
      <c r="Q56" s="938"/>
      <c r="R56" s="938"/>
      <c r="S56" s="938"/>
      <c r="T56" s="938"/>
      <c r="U56" s="938"/>
      <c r="Y56" s="926"/>
      <c r="Z56" s="976"/>
      <c r="AA56" s="984" t="s">
        <v>760</v>
      </c>
      <c r="AB56" s="985"/>
      <c r="AC56" s="986"/>
      <c r="AD56" s="989" t="s">
        <v>414</v>
      </c>
      <c r="AE56" s="1101">
        <v>118.16200000000001</v>
      </c>
      <c r="AF56" s="1100">
        <f>AE56</f>
        <v>118.16200000000001</v>
      </c>
      <c r="AG56" s="1100">
        <f>AE56</f>
        <v>118.16200000000001</v>
      </c>
      <c r="AI56" s="922" t="s">
        <v>123</v>
      </c>
      <c r="AJ56" s="1013">
        <v>9.6929999999999996</v>
      </c>
      <c r="AU56" s="979"/>
    </row>
    <row r="57" spans="2:47">
      <c r="B57" s="923"/>
      <c r="I57" s="938"/>
      <c r="J57" s="938"/>
      <c r="K57" s="938"/>
      <c r="L57" s="988"/>
      <c r="M57" s="988"/>
      <c r="N57" s="988"/>
      <c r="O57" s="988"/>
      <c r="P57" s="938"/>
      <c r="Q57" s="938"/>
      <c r="R57" s="938"/>
      <c r="S57" s="938"/>
      <c r="T57" s="938"/>
      <c r="U57" s="938"/>
      <c r="Y57" s="926"/>
      <c r="Z57" s="976"/>
      <c r="AA57" s="984"/>
      <c r="AB57" s="985"/>
      <c r="AC57" s="986"/>
      <c r="AD57" s="989"/>
      <c r="AE57" s="1102"/>
      <c r="AF57" s="1103"/>
      <c r="AG57" s="1103"/>
      <c r="AI57" s="922" t="s">
        <v>163</v>
      </c>
      <c r="AJ57" s="1013">
        <v>9.8000000000000007</v>
      </c>
      <c r="AU57" s="979"/>
    </row>
    <row r="58" spans="2:47">
      <c r="B58" s="923"/>
      <c r="I58" s="938"/>
      <c r="J58" s="938"/>
      <c r="K58" s="938"/>
      <c r="L58" s="988"/>
      <c r="M58" s="988"/>
      <c r="N58" s="988"/>
      <c r="O58" s="988"/>
      <c r="P58" s="938"/>
      <c r="Q58" s="938"/>
      <c r="R58" s="938"/>
      <c r="S58" s="938"/>
      <c r="T58" s="938"/>
      <c r="U58" s="938"/>
      <c r="Y58" s="926"/>
      <c r="Z58" s="976"/>
      <c r="AA58" s="984" t="s">
        <v>761</v>
      </c>
      <c r="AB58" s="985"/>
      <c r="AC58" s="986"/>
      <c r="AD58" s="987" t="s">
        <v>104</v>
      </c>
      <c r="AE58" s="1100">
        <v>2.4900000000000002</v>
      </c>
      <c r="AF58" s="1100">
        <f>AE58</f>
        <v>2.4900000000000002</v>
      </c>
      <c r="AG58" s="1100">
        <f>AE58</f>
        <v>2.4900000000000002</v>
      </c>
      <c r="AI58" s="922" t="s">
        <v>5</v>
      </c>
      <c r="AJ58" s="1013">
        <v>9.7569999999999997</v>
      </c>
      <c r="AU58" s="979"/>
    </row>
    <row r="59" spans="2:47">
      <c r="B59" s="923"/>
      <c r="I59" s="938"/>
      <c r="J59" s="938"/>
      <c r="K59" s="938"/>
      <c r="L59" s="988"/>
      <c r="M59" s="988"/>
      <c r="N59" s="988"/>
      <c r="O59" s="988"/>
      <c r="P59" s="938"/>
      <c r="Q59" s="938"/>
      <c r="R59" s="938"/>
      <c r="S59" s="938"/>
      <c r="T59" s="938"/>
      <c r="U59" s="938"/>
      <c r="Y59" s="926"/>
      <c r="Z59" s="976"/>
      <c r="AA59" s="993" t="s">
        <v>762</v>
      </c>
      <c r="AB59" s="994"/>
      <c r="AC59" s="995"/>
      <c r="AD59" s="996" t="s">
        <v>104</v>
      </c>
      <c r="AE59" s="1100"/>
      <c r="AF59" s="1100"/>
      <c r="AG59" s="1100"/>
      <c r="AI59" s="922" t="s">
        <v>162</v>
      </c>
      <c r="AJ59" s="2881">
        <v>9.6679999999999993</v>
      </c>
      <c r="AK59" s="998"/>
      <c r="AL59" s="998"/>
      <c r="AU59" s="979"/>
    </row>
    <row r="60" spans="2:47">
      <c r="B60" s="923"/>
      <c r="I60" s="938"/>
      <c r="J60" s="938"/>
      <c r="K60" s="938"/>
      <c r="L60" s="988"/>
      <c r="M60" s="988"/>
      <c r="N60" s="988"/>
      <c r="O60" s="988"/>
      <c r="P60" s="938"/>
      <c r="Q60" s="938"/>
      <c r="R60" s="938"/>
      <c r="S60" s="938"/>
      <c r="T60" s="938"/>
      <c r="U60" s="938"/>
      <c r="Y60" s="926"/>
      <c r="Z60" s="976"/>
      <c r="AA60" s="984" t="s">
        <v>763</v>
      </c>
      <c r="AB60" s="985"/>
      <c r="AC60" s="986"/>
      <c r="AD60" s="999" t="s">
        <v>104</v>
      </c>
      <c r="AE60" s="1101">
        <v>5.94</v>
      </c>
      <c r="AF60" s="1100">
        <f>AE60</f>
        <v>5.94</v>
      </c>
      <c r="AG60" s="1100">
        <f>AE60</f>
        <v>5.94</v>
      </c>
      <c r="AI60" s="922" t="s">
        <v>1095</v>
      </c>
      <c r="AJ60" s="2881">
        <v>9.5749999999999993</v>
      </c>
      <c r="AK60" s="1003"/>
      <c r="AL60" s="1003"/>
    </row>
    <row r="61" spans="2:47">
      <c r="B61" s="923"/>
      <c r="I61" s="938"/>
      <c r="J61" s="938"/>
      <c r="K61" s="938"/>
      <c r="L61" s="988"/>
      <c r="M61" s="988"/>
      <c r="N61" s="988"/>
      <c r="O61" s="988"/>
      <c r="P61" s="938"/>
      <c r="Q61" s="938"/>
      <c r="R61" s="938"/>
      <c r="S61" s="938"/>
      <c r="T61" s="938"/>
      <c r="U61" s="938"/>
      <c r="Y61" s="926"/>
      <c r="Z61" s="976"/>
      <c r="AA61" s="993" t="s">
        <v>167</v>
      </c>
      <c r="AB61" s="994"/>
      <c r="AC61" s="995"/>
      <c r="AD61" s="996" t="s">
        <v>106</v>
      </c>
      <c r="AE61" s="1104">
        <f>(AE60^2/4)*3.14</f>
        <v>27.697626000000007</v>
      </c>
      <c r="AF61" s="1104">
        <f>(AF60^2/4)*3.14</f>
        <v>27.697626000000007</v>
      </c>
      <c r="AG61" s="1104">
        <f>(AG60^2/4)*3.14</f>
        <v>27.697626000000007</v>
      </c>
      <c r="AI61" s="922" t="s">
        <v>122</v>
      </c>
      <c r="AJ61" s="2881">
        <v>9.7479999999999993</v>
      </c>
      <c r="AK61" s="1005"/>
      <c r="AL61" s="1005"/>
    </row>
    <row r="62" spans="2:47">
      <c r="B62" s="923"/>
      <c r="I62" s="938"/>
      <c r="J62" s="938"/>
      <c r="K62" s="938"/>
      <c r="L62" s="988"/>
      <c r="M62" s="988"/>
      <c r="N62" s="988"/>
      <c r="O62" s="988"/>
      <c r="P62" s="938"/>
      <c r="Q62" s="938"/>
      <c r="R62" s="938"/>
      <c r="S62" s="938"/>
      <c r="T62" s="938"/>
      <c r="U62" s="938"/>
      <c r="Y62" s="926"/>
      <c r="Z62" s="976"/>
      <c r="AA62" s="984" t="s">
        <v>765</v>
      </c>
      <c r="AB62" s="985"/>
      <c r="AC62" s="986"/>
      <c r="AD62" s="999" t="s">
        <v>563</v>
      </c>
      <c r="AE62" s="1104">
        <f>AE61*AE58</f>
        <v>68.967088740000023</v>
      </c>
      <c r="AF62" s="1104">
        <f>AF61*AF58</f>
        <v>68.967088740000023</v>
      </c>
      <c r="AG62" s="1104">
        <f>AG61*AG58</f>
        <v>68.967088740000023</v>
      </c>
      <c r="AI62" s="922" t="s">
        <v>107</v>
      </c>
      <c r="AJ62" s="2881">
        <v>9.4309999999999992</v>
      </c>
      <c r="AK62" s="1005"/>
      <c r="AL62" s="1005"/>
    </row>
    <row r="63" spans="2:47">
      <c r="B63" s="923"/>
      <c r="I63" s="938"/>
      <c r="J63" s="938"/>
      <c r="K63" s="938"/>
      <c r="L63" s="988"/>
      <c r="M63" s="988"/>
      <c r="N63" s="988"/>
      <c r="O63" s="988"/>
      <c r="P63" s="938"/>
      <c r="Q63" s="938"/>
      <c r="R63" s="938"/>
      <c r="S63" s="938"/>
      <c r="T63" s="938"/>
      <c r="U63" s="938"/>
      <c r="Y63" s="926"/>
      <c r="Z63" s="976"/>
      <c r="AA63" s="993"/>
      <c r="AB63" s="994"/>
      <c r="AC63" s="995"/>
      <c r="AD63" s="996"/>
      <c r="AE63" s="1102"/>
      <c r="AF63" s="1103"/>
      <c r="AG63" s="1103"/>
      <c r="AI63" s="922" t="s">
        <v>161</v>
      </c>
      <c r="AJ63" s="2881">
        <v>9.4459999999999997</v>
      </c>
      <c r="AK63" s="1000"/>
      <c r="AL63" s="1000"/>
    </row>
    <row r="64" spans="2:47">
      <c r="B64" s="923"/>
      <c r="I64" s="938"/>
      <c r="J64" s="938"/>
      <c r="K64" s="938"/>
      <c r="L64" s="988"/>
      <c r="M64" s="988"/>
      <c r="N64" s="988"/>
      <c r="O64" s="988"/>
      <c r="P64" s="938"/>
      <c r="Q64" s="938"/>
      <c r="R64" s="938"/>
      <c r="S64" s="938"/>
      <c r="T64" s="938"/>
      <c r="U64" s="938"/>
      <c r="Y64" s="926"/>
      <c r="Z64" s="976"/>
      <c r="AA64" s="984" t="s">
        <v>751</v>
      </c>
      <c r="AB64" s="985"/>
      <c r="AC64" s="986"/>
      <c r="AD64" s="1002" t="s">
        <v>397</v>
      </c>
      <c r="AE64" s="1103">
        <f>AE55-AE56</f>
        <v>-118.16200000000001</v>
      </c>
      <c r="AF64" s="1103">
        <f>AF55-AF56</f>
        <v>-118.16200000000001</v>
      </c>
      <c r="AG64" s="1103">
        <f>AG55-AG56</f>
        <v>-118.16200000000001</v>
      </c>
      <c r="AI64" s="922" t="s">
        <v>160</v>
      </c>
      <c r="AJ64" s="2881">
        <v>9.5779999999999994</v>
      </c>
      <c r="AK64" s="1000"/>
      <c r="AL64" s="1000"/>
    </row>
    <row r="65" spans="2:41">
      <c r="B65" s="923"/>
      <c r="I65" s="938"/>
      <c r="J65" s="938"/>
      <c r="K65" s="938"/>
      <c r="L65" s="988"/>
      <c r="M65" s="988"/>
      <c r="N65" s="988"/>
      <c r="O65" s="988"/>
      <c r="P65" s="938"/>
      <c r="Q65" s="938"/>
      <c r="R65" s="938"/>
      <c r="S65" s="938"/>
      <c r="T65" s="938"/>
      <c r="U65" s="938"/>
      <c r="Y65" s="926"/>
      <c r="Z65" s="976"/>
      <c r="AA65" s="984" t="s">
        <v>766</v>
      </c>
      <c r="AB65" s="985"/>
      <c r="AC65" s="986"/>
      <c r="AD65" s="1002" t="s">
        <v>397</v>
      </c>
      <c r="AE65" s="1103">
        <f>AVERAGE(AE64:AG64)</f>
        <v>-118.16199999999999</v>
      </c>
      <c r="AF65" s="1103"/>
      <c r="AG65" s="1103"/>
      <c r="AI65" s="922" t="s">
        <v>4</v>
      </c>
      <c r="AJ65" s="2881">
        <v>9.5579999999999998</v>
      </c>
      <c r="AK65" s="1000"/>
      <c r="AL65" s="1000"/>
    </row>
    <row r="66" spans="2:41">
      <c r="B66" s="923"/>
      <c r="I66" s="938"/>
      <c r="J66" s="938"/>
      <c r="K66" s="938"/>
      <c r="L66" s="988"/>
      <c r="M66" s="988"/>
      <c r="N66" s="988"/>
      <c r="O66" s="988"/>
      <c r="P66" s="938"/>
      <c r="Q66" s="938"/>
      <c r="R66" s="938"/>
      <c r="S66" s="938"/>
      <c r="T66" s="938"/>
      <c r="U66" s="938"/>
      <c r="Y66" s="926"/>
      <c r="Z66" s="976"/>
      <c r="AA66" s="993"/>
      <c r="AB66" s="994"/>
      <c r="AC66" s="995"/>
      <c r="AD66" s="996"/>
      <c r="AE66" s="1104"/>
      <c r="AF66" s="1104"/>
      <c r="AG66" s="1104"/>
      <c r="AI66" s="922" t="s">
        <v>881</v>
      </c>
      <c r="AJ66" s="2881">
        <v>9.7040000000000006</v>
      </c>
      <c r="AK66" s="1000"/>
      <c r="AL66" s="1000"/>
    </row>
    <row r="67" spans="2:41">
      <c r="B67" s="923"/>
      <c r="I67" s="938"/>
      <c r="J67" s="938"/>
      <c r="K67" s="938"/>
      <c r="L67" s="988"/>
      <c r="M67" s="988"/>
      <c r="N67" s="988"/>
      <c r="O67" s="988"/>
      <c r="P67" s="938"/>
      <c r="Q67" s="938"/>
      <c r="R67" s="938"/>
      <c r="S67" s="938"/>
      <c r="T67" s="938"/>
      <c r="U67" s="938"/>
      <c r="Y67" s="926"/>
      <c r="Z67" s="976"/>
      <c r="AA67" s="993" t="s">
        <v>767</v>
      </c>
      <c r="AB67" s="994"/>
      <c r="AC67" s="995"/>
      <c r="AD67" s="996" t="s">
        <v>566</v>
      </c>
      <c r="AE67" s="1104">
        <f>AE64/AE62</f>
        <v>-1.7133099592685515</v>
      </c>
      <c r="AF67" s="1104">
        <f>AF64/AF62</f>
        <v>-1.7133099592685515</v>
      </c>
      <c r="AG67" s="1104">
        <f>AG64/AG62</f>
        <v>-1.7133099592685515</v>
      </c>
      <c r="AJ67" s="997"/>
      <c r="AK67" s="1000"/>
      <c r="AL67" s="1000"/>
    </row>
    <row r="68" spans="2:41">
      <c r="B68" s="923"/>
      <c r="I68" s="938"/>
      <c r="J68" s="938"/>
      <c r="K68" s="938"/>
      <c r="L68" s="988"/>
      <c r="M68" s="988"/>
      <c r="N68" s="988"/>
      <c r="O68" s="988"/>
      <c r="P68" s="938"/>
      <c r="Q68" s="938"/>
      <c r="R68" s="938"/>
      <c r="S68" s="938"/>
      <c r="T68" s="938"/>
      <c r="U68" s="938"/>
      <c r="Y68" s="926"/>
      <c r="Z68" s="976"/>
      <c r="AA68" s="985"/>
      <c r="AB68" s="985"/>
      <c r="AC68" s="985"/>
      <c r="AD68" s="1004"/>
      <c r="AE68" s="1105"/>
      <c r="AF68" s="1106"/>
      <c r="AG68" s="1106"/>
      <c r="AJ68" s="997"/>
      <c r="AK68" s="998"/>
      <c r="AL68" s="998"/>
    </row>
    <row r="69" spans="2:41">
      <c r="B69" s="923"/>
      <c r="I69" s="938"/>
      <c r="J69" s="938"/>
      <c r="K69" s="938"/>
      <c r="L69" s="988"/>
      <c r="M69" s="988"/>
      <c r="N69" s="988"/>
      <c r="O69" s="988"/>
      <c r="P69" s="938"/>
      <c r="Q69" s="938"/>
      <c r="R69" s="938"/>
      <c r="S69" s="938"/>
      <c r="T69" s="938"/>
      <c r="U69" s="938"/>
      <c r="Y69" s="926"/>
      <c r="Z69" s="1006"/>
      <c r="AA69" s="984" t="s">
        <v>768</v>
      </c>
      <c r="AB69" s="985"/>
      <c r="AC69" s="986"/>
      <c r="AD69" s="999"/>
      <c r="AE69" s="1812"/>
      <c r="AF69" s="1813"/>
      <c r="AG69" s="1813"/>
      <c r="AJ69" s="997"/>
      <c r="AK69" s="998"/>
      <c r="AL69" s="998"/>
    </row>
    <row r="70" spans="2:41">
      <c r="B70" s="923"/>
      <c r="I70" s="938"/>
      <c r="J70" s="938"/>
      <c r="K70" s="938"/>
      <c r="L70" s="988"/>
      <c r="M70" s="988"/>
      <c r="N70" s="988"/>
      <c r="O70" s="988"/>
      <c r="P70" s="938"/>
      <c r="Q70" s="938"/>
      <c r="R70" s="938"/>
      <c r="S70" s="938"/>
      <c r="T70" s="938"/>
      <c r="U70" s="938"/>
      <c r="Y70" s="926"/>
      <c r="Z70" s="1006"/>
      <c r="AA70" s="984" t="s">
        <v>769</v>
      </c>
      <c r="AB70" s="985"/>
      <c r="AC70" s="986"/>
      <c r="AD70" s="991" t="s">
        <v>414</v>
      </c>
      <c r="AE70" s="1100"/>
      <c r="AF70" s="1100"/>
      <c r="AG70" s="1100"/>
      <c r="AJ70" s="997"/>
      <c r="AK70" s="938"/>
      <c r="AL70" s="938"/>
      <c r="AM70" s="938"/>
      <c r="AN70" s="938"/>
      <c r="AO70" s="938"/>
    </row>
    <row r="71" spans="2:41">
      <c r="B71" s="923"/>
      <c r="I71" s="938"/>
      <c r="J71" s="938"/>
      <c r="K71" s="938"/>
      <c r="L71" s="988"/>
      <c r="M71" s="988"/>
      <c r="N71" s="988"/>
      <c r="O71" s="988"/>
      <c r="P71" s="938"/>
      <c r="Q71" s="938"/>
      <c r="R71" s="938"/>
      <c r="S71" s="938"/>
      <c r="T71" s="938"/>
      <c r="U71" s="938"/>
      <c r="Y71" s="926"/>
      <c r="Z71" s="1006"/>
      <c r="AA71" s="984" t="s">
        <v>770</v>
      </c>
      <c r="AB71" s="985"/>
      <c r="AC71" s="986"/>
      <c r="AD71" s="999" t="s">
        <v>414</v>
      </c>
      <c r="AE71" s="1101"/>
      <c r="AF71" s="1100"/>
      <c r="AG71" s="1100"/>
      <c r="AJ71" s="997"/>
      <c r="AK71" s="938"/>
      <c r="AL71" s="938"/>
      <c r="AM71" s="938"/>
      <c r="AN71" s="938"/>
      <c r="AO71" s="938"/>
    </row>
    <row r="72" spans="2:41">
      <c r="B72" s="1007"/>
      <c r="C72" s="1008"/>
      <c r="D72" s="1008"/>
      <c r="E72" s="1008"/>
      <c r="F72" s="1008"/>
      <c r="G72" s="1008"/>
      <c r="H72" s="1008"/>
      <c r="I72" s="1009"/>
      <c r="J72" s="1009"/>
      <c r="K72" s="1009"/>
      <c r="L72" s="1010"/>
      <c r="M72" s="1010"/>
      <c r="N72" s="1010"/>
      <c r="O72" s="1010"/>
      <c r="P72" s="1009"/>
      <c r="Q72" s="1009"/>
      <c r="R72" s="1009"/>
      <c r="S72" s="1009"/>
      <c r="T72" s="1009"/>
      <c r="U72" s="1009"/>
      <c r="V72" s="1008"/>
      <c r="W72" s="1008"/>
      <c r="X72" s="1008"/>
      <c r="Y72" s="1011"/>
      <c r="Z72" s="979"/>
      <c r="AA72" s="984" t="s">
        <v>771</v>
      </c>
      <c r="AB72" s="985"/>
      <c r="AC72" s="986"/>
      <c r="AD72" s="999" t="s">
        <v>414</v>
      </c>
      <c r="AE72" s="1107">
        <f>AE70-AE71</f>
        <v>0</v>
      </c>
      <c r="AF72" s="1107">
        <f>AF70-AF71</f>
        <v>0</v>
      </c>
      <c r="AG72" s="1107">
        <f>AG70-AG71</f>
        <v>0</v>
      </c>
      <c r="AJ72" s="992"/>
      <c r="AK72" s="938"/>
      <c r="AL72" s="938"/>
      <c r="AM72" s="938"/>
      <c r="AN72" s="938"/>
      <c r="AO72" s="938"/>
    </row>
    <row r="73" spans="2:41">
      <c r="I73" s="938"/>
      <c r="J73" s="938"/>
      <c r="K73" s="938"/>
      <c r="L73" s="988"/>
      <c r="M73" s="988"/>
      <c r="N73" s="988"/>
      <c r="O73" s="988"/>
      <c r="P73" s="938"/>
      <c r="Q73" s="938"/>
      <c r="R73" s="938"/>
      <c r="S73" s="938"/>
      <c r="T73" s="938"/>
      <c r="U73" s="938"/>
      <c r="W73" s="1057"/>
      <c r="Z73" s="979"/>
      <c r="AA73" s="984" t="s">
        <v>772</v>
      </c>
      <c r="AB73" s="985"/>
      <c r="AC73" s="986"/>
      <c r="AD73" s="987" t="s">
        <v>414</v>
      </c>
      <c r="AE73" s="1811" t="e">
        <f>VLOOKUP(AE69,$AI$54:$AJ$66,2,0)</f>
        <v>#N/A</v>
      </c>
      <c r="AF73" s="1811" t="e">
        <f>VLOOKUP(AF69,$AI$54:$AJ$66,2,0)</f>
        <v>#N/A</v>
      </c>
      <c r="AG73" s="1811" t="e">
        <f>VLOOKUP(AG69,$AI$54:$AJ$66,2,0)</f>
        <v>#N/A</v>
      </c>
      <c r="AJ73" s="992"/>
      <c r="AK73" s="938"/>
      <c r="AL73" s="938"/>
      <c r="AM73" s="938"/>
      <c r="AN73" s="938"/>
      <c r="AO73" s="938"/>
    </row>
    <row r="74" spans="2:41">
      <c r="I74" s="938"/>
      <c r="J74" s="938"/>
      <c r="K74" s="938"/>
      <c r="L74" s="988"/>
      <c r="M74" s="988"/>
      <c r="N74" s="988"/>
      <c r="O74" s="988"/>
      <c r="P74" s="938"/>
      <c r="Q74" s="938"/>
      <c r="R74" s="938"/>
      <c r="S74" s="938"/>
      <c r="T74" s="938"/>
      <c r="U74" s="938"/>
      <c r="Z74" s="979"/>
      <c r="AA74" s="980" t="s">
        <v>773</v>
      </c>
      <c r="AB74" s="981"/>
      <c r="AC74" s="982"/>
      <c r="AD74" s="983" t="s">
        <v>414</v>
      </c>
      <c r="AE74" s="1108" t="e">
        <f>AE71-AE73</f>
        <v>#N/A</v>
      </c>
      <c r="AF74" s="1108" t="e">
        <f>AF71-AF73</f>
        <v>#N/A</v>
      </c>
      <c r="AG74" s="1108" t="e">
        <f>AG71-AG73</f>
        <v>#N/A</v>
      </c>
      <c r="AJ74" s="992"/>
    </row>
    <row r="75" spans="2:41">
      <c r="I75" s="938"/>
      <c r="J75" s="938"/>
      <c r="K75" s="938"/>
      <c r="L75" s="988"/>
      <c r="M75" s="988"/>
      <c r="N75" s="988"/>
      <c r="O75" s="988"/>
      <c r="P75" s="938"/>
      <c r="Q75" s="938"/>
      <c r="R75" s="938"/>
      <c r="S75" s="938"/>
      <c r="T75" s="938"/>
      <c r="U75" s="938"/>
      <c r="Z75" s="979"/>
      <c r="AA75" s="980" t="s">
        <v>774</v>
      </c>
      <c r="AB75" s="981"/>
      <c r="AC75" s="982"/>
      <c r="AD75" s="983" t="s">
        <v>1</v>
      </c>
      <c r="AE75" s="1108" t="e">
        <f>AE72/AE74*100</f>
        <v>#N/A</v>
      </c>
      <c r="AF75" s="1108" t="e">
        <f>AF72/AF74*100</f>
        <v>#N/A</v>
      </c>
      <c r="AG75" s="1108" t="e">
        <f>AG72/AG74*100</f>
        <v>#N/A</v>
      </c>
      <c r="AJ75" s="1001"/>
    </row>
    <row r="76" spans="2:41">
      <c r="I76" s="938"/>
      <c r="J76" s="938"/>
      <c r="K76" s="938"/>
      <c r="L76" s="988"/>
      <c r="M76" s="988"/>
      <c r="N76" s="988"/>
      <c r="O76" s="988"/>
      <c r="P76" s="938"/>
      <c r="Q76" s="938"/>
      <c r="R76" s="938"/>
      <c r="S76" s="938"/>
      <c r="T76" s="938"/>
      <c r="U76" s="938"/>
      <c r="AA76" s="980" t="s">
        <v>775</v>
      </c>
      <c r="AB76" s="981"/>
      <c r="AC76" s="982"/>
      <c r="AD76" s="983" t="s">
        <v>1</v>
      </c>
      <c r="AE76" s="1108" t="e">
        <f>AVERAGE(AE75:AG75)</f>
        <v>#N/A</v>
      </c>
      <c r="AF76" s="1108"/>
      <c r="AG76" s="1108"/>
      <c r="AJ76" s="1001"/>
    </row>
    <row r="77" spans="2:41">
      <c r="I77" s="938"/>
      <c r="J77" s="938"/>
      <c r="K77" s="938"/>
      <c r="L77" s="988"/>
      <c r="M77" s="988"/>
      <c r="N77" s="988"/>
      <c r="O77" s="988"/>
      <c r="P77" s="938"/>
      <c r="Q77" s="938"/>
      <c r="R77" s="938"/>
      <c r="S77" s="938"/>
      <c r="T77" s="938"/>
      <c r="U77" s="938"/>
      <c r="AA77" s="993"/>
      <c r="AB77" s="994"/>
      <c r="AC77" s="995"/>
      <c r="AD77" s="996"/>
      <c r="AE77" s="1361"/>
      <c r="AF77" s="1361"/>
      <c r="AG77" s="1361"/>
      <c r="AJ77" s="1001"/>
    </row>
    <row r="78" spans="2:41">
      <c r="I78" s="939"/>
      <c r="J78" s="938"/>
      <c r="K78" s="938"/>
      <c r="L78" s="988"/>
      <c r="M78" s="988"/>
      <c r="N78" s="988"/>
      <c r="O78" s="988"/>
      <c r="P78" s="938"/>
      <c r="Q78" s="938"/>
      <c r="R78" s="938"/>
      <c r="S78" s="938"/>
      <c r="T78" s="938"/>
      <c r="U78" s="939"/>
      <c r="AA78" s="993" t="s">
        <v>776</v>
      </c>
      <c r="AB78" s="994"/>
      <c r="AC78" s="995"/>
      <c r="AD78" s="996" t="s">
        <v>397</v>
      </c>
      <c r="AE78" s="1361" t="e">
        <f>AE74/AE62</f>
        <v>#N/A</v>
      </c>
      <c r="AF78" s="1361" t="e">
        <f>AF74/AF62</f>
        <v>#N/A</v>
      </c>
      <c r="AG78" s="1361" t="e">
        <f>AG74/AG62</f>
        <v>#N/A</v>
      </c>
    </row>
    <row r="79" spans="2:41">
      <c r="I79" s="939"/>
      <c r="J79" s="938"/>
      <c r="K79" s="938"/>
      <c r="L79" s="988"/>
      <c r="M79" s="988"/>
      <c r="N79" s="988"/>
      <c r="O79" s="988"/>
      <c r="P79" s="938"/>
      <c r="Q79" s="938"/>
      <c r="R79" s="938"/>
      <c r="S79" s="938"/>
      <c r="T79" s="938"/>
      <c r="U79" s="939"/>
    </row>
    <row r="80" spans="2:41">
      <c r="I80" s="939"/>
      <c r="J80" s="939"/>
      <c r="K80" s="939"/>
      <c r="L80" s="1012"/>
      <c r="M80" s="1012"/>
      <c r="N80" s="1012"/>
      <c r="O80" s="1012"/>
      <c r="P80" s="939"/>
      <c r="Q80" s="939"/>
      <c r="R80" s="939"/>
      <c r="S80" s="939"/>
      <c r="T80" s="939"/>
      <c r="U80" s="939"/>
    </row>
    <row r="81" spans="9:31">
      <c r="I81" s="939"/>
      <c r="J81" s="939"/>
      <c r="K81" s="939"/>
      <c r="L81" s="1012"/>
      <c r="M81" s="1012"/>
      <c r="N81" s="1012"/>
      <c r="O81" s="1012"/>
      <c r="P81" s="939"/>
      <c r="Q81" s="939"/>
      <c r="R81" s="939"/>
      <c r="S81" s="939"/>
      <c r="T81" s="939"/>
      <c r="U81" s="939"/>
    </row>
    <row r="82" spans="9:31">
      <c r="I82" s="939"/>
      <c r="J82" s="939"/>
      <c r="K82" s="939"/>
      <c r="L82" s="1012"/>
      <c r="M82" s="1012"/>
      <c r="N82" s="1012"/>
      <c r="O82" s="1012"/>
      <c r="P82" s="939"/>
      <c r="Q82" s="939"/>
      <c r="R82" s="939"/>
      <c r="S82" s="939"/>
      <c r="T82" s="939"/>
      <c r="U82" s="939"/>
    </row>
    <row r="83" spans="9:31">
      <c r="I83" s="939"/>
      <c r="J83" s="939"/>
      <c r="K83" s="939"/>
      <c r="L83" s="1012"/>
      <c r="M83" s="1012"/>
      <c r="N83" s="1012"/>
      <c r="O83" s="1012"/>
      <c r="P83" s="939"/>
      <c r="Q83" s="939"/>
      <c r="R83" s="939"/>
      <c r="S83" s="939"/>
      <c r="T83" s="939"/>
      <c r="U83" s="939"/>
    </row>
    <row r="84" spans="9:31">
      <c r="I84" s="939"/>
      <c r="J84" s="939"/>
      <c r="K84" s="939"/>
      <c r="L84" s="1012"/>
      <c r="M84" s="1012"/>
      <c r="N84" s="1012"/>
      <c r="O84" s="1012"/>
      <c r="P84" s="939"/>
      <c r="Q84" s="939"/>
      <c r="R84" s="939"/>
      <c r="S84" s="939"/>
      <c r="T84" s="939"/>
      <c r="U84" s="939"/>
      <c r="AA84" s="979"/>
      <c r="AB84" s="979"/>
      <c r="AC84" s="979"/>
      <c r="AD84" s="1013"/>
      <c r="AE84" s="1013"/>
    </row>
    <row r="85" spans="9:31">
      <c r="I85" s="939"/>
      <c r="J85" s="939"/>
      <c r="K85" s="939"/>
      <c r="L85" s="1012"/>
      <c r="M85" s="1012"/>
      <c r="N85" s="1012"/>
      <c r="O85" s="1012"/>
      <c r="P85" s="939"/>
      <c r="Q85" s="939"/>
      <c r="R85" s="939"/>
      <c r="S85" s="939"/>
      <c r="T85" s="939"/>
      <c r="U85" s="939"/>
      <c r="AA85" s="979"/>
      <c r="AB85" s="979"/>
      <c r="AC85" s="979"/>
      <c r="AD85" s="1013"/>
      <c r="AE85" s="1013"/>
    </row>
    <row r="86" spans="9:31">
      <c r="I86" s="939"/>
      <c r="J86" s="939"/>
      <c r="K86" s="939"/>
      <c r="L86" s="1012"/>
      <c r="M86" s="1012"/>
      <c r="N86" s="1012"/>
      <c r="O86" s="1012"/>
      <c r="P86" s="939"/>
      <c r="Q86" s="939"/>
      <c r="R86" s="939"/>
      <c r="S86" s="4443"/>
      <c r="T86" s="4443"/>
      <c r="U86" s="939"/>
      <c r="AA86" s="979"/>
      <c r="AB86" s="979"/>
      <c r="AC86" s="979"/>
      <c r="AD86" s="1013"/>
      <c r="AE86" s="1013"/>
    </row>
    <row r="87" spans="9:31">
      <c r="I87" s="927"/>
      <c r="J87" s="927"/>
      <c r="K87" s="927"/>
      <c r="L87" s="931"/>
      <c r="M87" s="931"/>
      <c r="N87" s="931"/>
      <c r="O87" s="931"/>
      <c r="P87" s="927"/>
      <c r="Q87" s="927"/>
      <c r="R87" s="927"/>
      <c r="S87" s="927"/>
      <c r="T87" s="927"/>
      <c r="U87" s="927"/>
      <c r="AA87" s="979"/>
      <c r="AB87" s="979"/>
      <c r="AC87" s="979"/>
      <c r="AD87" s="1013"/>
      <c r="AE87" s="1013"/>
    </row>
    <row r="88" spans="9:31">
      <c r="I88" s="927"/>
      <c r="J88" s="927"/>
      <c r="K88" s="927"/>
      <c r="L88" s="931"/>
      <c r="M88" s="931"/>
      <c r="N88" s="931"/>
      <c r="O88" s="931"/>
      <c r="P88" s="927"/>
      <c r="Q88" s="927"/>
      <c r="R88" s="927"/>
      <c r="S88" s="927"/>
      <c r="T88" s="927"/>
      <c r="U88" s="927"/>
      <c r="AA88" s="979"/>
      <c r="AB88" s="979"/>
      <c r="AC88" s="979"/>
      <c r="AD88" s="1013"/>
      <c r="AE88" s="1013"/>
    </row>
    <row r="89" spans="9:31">
      <c r="I89" s="927"/>
      <c r="J89" s="927"/>
      <c r="K89" s="927"/>
      <c r="L89" s="931"/>
      <c r="M89" s="931"/>
      <c r="N89" s="931"/>
      <c r="O89" s="931"/>
      <c r="P89" s="927"/>
      <c r="Q89" s="927"/>
      <c r="R89" s="927"/>
      <c r="S89" s="927"/>
      <c r="T89" s="927"/>
      <c r="U89" s="927"/>
    </row>
    <row r="92" spans="9:31">
      <c r="J92" s="967"/>
      <c r="K92" s="1014"/>
      <c r="L92" s="960"/>
      <c r="M92" s="960"/>
      <c r="N92" s="960"/>
      <c r="O92" s="960"/>
      <c r="P92" s="960"/>
    </row>
    <row r="93" spans="9:31">
      <c r="J93" s="967"/>
      <c r="K93" s="967"/>
      <c r="L93" s="960"/>
      <c r="M93" s="960"/>
      <c r="N93" s="960"/>
      <c r="O93" s="961"/>
      <c r="P93" s="1015"/>
    </row>
    <row r="94" spans="9:31">
      <c r="J94" s="967"/>
      <c r="K94" s="967"/>
      <c r="L94" s="960"/>
      <c r="M94" s="960"/>
      <c r="N94" s="960"/>
      <c r="O94" s="961"/>
      <c r="P94" s="1015"/>
    </row>
    <row r="95" spans="9:31">
      <c r="J95" s="967"/>
      <c r="K95" s="967"/>
      <c r="L95" s="960"/>
      <c r="M95" s="960"/>
      <c r="N95" s="960"/>
      <c r="O95" s="961"/>
      <c r="P95" s="1015"/>
    </row>
    <row r="96" spans="9:31">
      <c r="J96" s="967"/>
      <c r="K96" s="967"/>
      <c r="L96" s="960"/>
      <c r="M96" s="960"/>
      <c r="N96" s="960"/>
      <c r="O96" s="961"/>
      <c r="P96" s="1015"/>
    </row>
    <row r="97" spans="10:16">
      <c r="J97" s="1016"/>
      <c r="K97" s="967"/>
      <c r="L97" s="960"/>
      <c r="M97" s="960"/>
      <c r="N97" s="960"/>
      <c r="O97" s="1017"/>
      <c r="P97" s="1018"/>
    </row>
    <row r="98" spans="10:16">
      <c r="J98" s="1016"/>
      <c r="K98" s="967"/>
      <c r="L98" s="960"/>
      <c r="M98" s="960"/>
      <c r="N98" s="960"/>
      <c r="O98" s="961"/>
      <c r="P98" s="1015"/>
    </row>
    <row r="99" spans="10:16">
      <c r="J99" s="1016"/>
      <c r="K99" s="967"/>
      <c r="L99" s="960"/>
      <c r="M99" s="960"/>
      <c r="N99" s="960"/>
      <c r="O99" s="961"/>
      <c r="P99" s="1015"/>
    </row>
    <row r="100" spans="10:16">
      <c r="J100" s="1019"/>
      <c r="K100" s="960"/>
      <c r="L100" s="960"/>
      <c r="M100" s="960"/>
      <c r="N100" s="960"/>
      <c r="O100" s="961"/>
      <c r="P100" s="1015"/>
    </row>
    <row r="101" spans="10:16">
      <c r="J101" s="1019"/>
      <c r="K101" s="960"/>
      <c r="L101" s="960"/>
      <c r="M101" s="960"/>
      <c r="N101" s="960"/>
      <c r="O101" s="961"/>
      <c r="P101" s="1015"/>
    </row>
    <row r="102" spans="10:16">
      <c r="J102" s="1019"/>
      <c r="K102" s="960"/>
      <c r="L102" s="960"/>
      <c r="M102" s="960"/>
      <c r="N102" s="960"/>
      <c r="O102" s="960"/>
      <c r="P102" s="967"/>
    </row>
    <row r="103" spans="10:16">
      <c r="J103" s="967"/>
      <c r="K103" s="967"/>
      <c r="L103" s="960"/>
      <c r="M103" s="960"/>
      <c r="N103" s="960"/>
      <c r="O103" s="960"/>
      <c r="P103" s="967"/>
    </row>
    <row r="104" spans="10:16">
      <c r="J104" s="967"/>
      <c r="K104" s="967"/>
      <c r="L104" s="960"/>
      <c r="M104" s="960"/>
      <c r="N104" s="960"/>
      <c r="O104" s="960"/>
      <c r="P104" s="1020"/>
    </row>
    <row r="105" spans="10:16">
      <c r="J105" s="1021"/>
      <c r="K105" s="1021"/>
      <c r="L105" s="1022"/>
      <c r="M105" s="1021"/>
      <c r="N105" s="1021"/>
      <c r="P105" s="977"/>
    </row>
    <row r="106" spans="10:16">
      <c r="J106" s="1021"/>
      <c r="K106" s="1021"/>
      <c r="L106" s="1021"/>
      <c r="M106" s="1021"/>
      <c r="N106" s="1021"/>
      <c r="O106" s="1021"/>
      <c r="P106" s="977"/>
    </row>
    <row r="107" spans="10:16">
      <c r="J107" s="1014"/>
      <c r="K107" s="1014"/>
      <c r="L107" s="1021"/>
      <c r="M107" s="1021"/>
      <c r="N107" s="1021"/>
      <c r="O107" s="1021"/>
      <c r="P107" s="977"/>
    </row>
    <row r="121" spans="43:43">
      <c r="AQ121" s="920">
        <v>45</v>
      </c>
    </row>
  </sheetData>
  <mergeCells count="23">
    <mergeCell ref="U16:X16"/>
    <mergeCell ref="S86:T86"/>
    <mergeCell ref="C10:X10"/>
    <mergeCell ref="R11:T11"/>
    <mergeCell ref="E22:K22"/>
    <mergeCell ref="U14:X14"/>
    <mergeCell ref="I12:O12"/>
    <mergeCell ref="I13:O13"/>
    <mergeCell ref="I14:O14"/>
    <mergeCell ref="I15:O15"/>
    <mergeCell ref="I16:O16"/>
    <mergeCell ref="I17:O17"/>
    <mergeCell ref="I18:O18"/>
    <mergeCell ref="I19:O19"/>
    <mergeCell ref="U12:X12"/>
    <mergeCell ref="U13:X13"/>
    <mergeCell ref="U15:X15"/>
    <mergeCell ref="C9:X9"/>
    <mergeCell ref="G3:X3"/>
    <mergeCell ref="G4:X4"/>
    <mergeCell ref="G5:X5"/>
    <mergeCell ref="G6:X6"/>
    <mergeCell ref="G7:X7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71" orientation="portrait" r:id="rId1"/>
  <headerFooter>
    <oddFooter>&amp;R&amp;"Aptos,Regular"&amp;10Page &amp;P of &amp;N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9DF85BB-1871-4380-8F10-8F9EAFB78C04}">
          <x14:formula1>
            <xm:f>Details!$D$2:$D$7</xm:f>
          </x14:formula1>
          <xm:sqref>U12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5BEE5-4D5B-4B1D-B3BD-989E33D8A403}">
  <sheetPr>
    <tabColor rgb="FFC00000"/>
    <pageSetUpPr fitToPage="1"/>
  </sheetPr>
  <dimension ref="B2:AP117"/>
  <sheetViews>
    <sheetView showGridLines="0" topLeftCell="A4" zoomScaleNormal="100" workbookViewId="0">
      <selection activeCell="U28" sqref="U28"/>
    </sheetView>
  </sheetViews>
  <sheetFormatPr defaultColWidth="10" defaultRowHeight="15.75"/>
  <cols>
    <col min="1" max="1" width="1.5" style="920" customWidth="1"/>
    <col min="2" max="2" width="1.625" style="920" customWidth="1"/>
    <col min="3" max="3" width="2.875" style="920" customWidth="1"/>
    <col min="4" max="4" width="11.125" style="920" customWidth="1"/>
    <col min="5" max="6" width="3.625" style="920" customWidth="1"/>
    <col min="7" max="7" width="2.375" style="920" customWidth="1"/>
    <col min="8" max="8" width="6.875" style="920" customWidth="1"/>
    <col min="9" max="9" width="3.625" style="920" customWidth="1"/>
    <col min="10" max="10" width="10.125" style="920" customWidth="1"/>
    <col min="11" max="14" width="10.125" style="922" customWidth="1"/>
    <col min="15" max="15" width="10.125" style="920" customWidth="1"/>
    <col min="16" max="16" width="1.625" style="920" customWidth="1"/>
    <col min="17" max="17" width="7.5" style="920" customWidth="1"/>
    <col min="18" max="18" width="11.375" style="920" customWidth="1"/>
    <col min="19" max="19" width="7.25" style="920" customWidth="1"/>
    <col min="20" max="20" width="1.875" style="920" customWidth="1"/>
    <col min="21" max="21" width="7.5" style="920" customWidth="1"/>
    <col min="22" max="16384" width="10" style="920"/>
  </cols>
  <sheetData>
    <row r="2" spans="2:21" ht="10.5" customHeight="1">
      <c r="B2" s="916"/>
      <c r="C2" s="917"/>
      <c r="D2" s="917"/>
      <c r="E2" s="917"/>
      <c r="F2" s="917"/>
      <c r="G2" s="917"/>
      <c r="H2" s="917"/>
      <c r="I2" s="917"/>
      <c r="J2" s="917"/>
      <c r="K2" s="918"/>
      <c r="L2" s="918"/>
      <c r="M2" s="918"/>
      <c r="N2" s="918"/>
      <c r="O2" s="917"/>
      <c r="P2" s="917"/>
      <c r="Q2" s="917"/>
      <c r="R2" s="917"/>
      <c r="S2" s="917"/>
      <c r="T2" s="919"/>
    </row>
    <row r="3" spans="2:21" ht="20.25">
      <c r="B3" s="923"/>
      <c r="C3" s="1454"/>
      <c r="D3" s="1455"/>
      <c r="E3" s="1455"/>
      <c r="F3" s="4482" t="s">
        <v>821</v>
      </c>
      <c r="G3" s="4483"/>
      <c r="H3" s="4483"/>
      <c r="I3" s="4483"/>
      <c r="J3" s="4483"/>
      <c r="K3" s="4483"/>
      <c r="L3" s="4483"/>
      <c r="M3" s="4483"/>
      <c r="N3" s="4483"/>
      <c r="O3" s="4483"/>
      <c r="P3" s="4483"/>
      <c r="Q3" s="4483"/>
      <c r="R3" s="4483"/>
      <c r="S3" s="4484"/>
      <c r="T3" s="926"/>
      <c r="U3" s="927"/>
    </row>
    <row r="4" spans="2:21">
      <c r="B4" s="923"/>
      <c r="C4" s="1456"/>
      <c r="D4" s="1457"/>
      <c r="E4" s="1457"/>
      <c r="F4" s="4485" t="s">
        <v>819</v>
      </c>
      <c r="G4" s="4486"/>
      <c r="H4" s="4486"/>
      <c r="I4" s="4486"/>
      <c r="J4" s="4486"/>
      <c r="K4" s="4486"/>
      <c r="L4" s="4486"/>
      <c r="M4" s="4486"/>
      <c r="N4" s="4486"/>
      <c r="O4" s="4486"/>
      <c r="P4" s="4486"/>
      <c r="Q4" s="4486"/>
      <c r="R4" s="4486"/>
      <c r="S4" s="4487"/>
      <c r="T4" s="926"/>
      <c r="U4" s="927"/>
    </row>
    <row r="5" spans="2:21">
      <c r="B5" s="923"/>
      <c r="C5" s="1456"/>
      <c r="D5" s="1457"/>
      <c r="E5" s="1457"/>
      <c r="F5" s="4485" t="s">
        <v>820</v>
      </c>
      <c r="G5" s="4486"/>
      <c r="H5" s="4486"/>
      <c r="I5" s="4486"/>
      <c r="J5" s="4486"/>
      <c r="K5" s="4486"/>
      <c r="L5" s="4486"/>
      <c r="M5" s="4486"/>
      <c r="N5" s="4486"/>
      <c r="O5" s="4486"/>
      <c r="P5" s="4486"/>
      <c r="Q5" s="4486"/>
      <c r="R5" s="4486"/>
      <c r="S5" s="4487"/>
      <c r="T5" s="926"/>
      <c r="U5" s="927"/>
    </row>
    <row r="6" spans="2:21">
      <c r="B6" s="923"/>
      <c r="C6" s="1456"/>
      <c r="D6" s="1457"/>
      <c r="E6" s="1457"/>
      <c r="F6" s="4485" t="s">
        <v>830</v>
      </c>
      <c r="G6" s="4486"/>
      <c r="H6" s="4486"/>
      <c r="I6" s="4486"/>
      <c r="J6" s="4486"/>
      <c r="K6" s="4486"/>
      <c r="L6" s="4486"/>
      <c r="M6" s="4486"/>
      <c r="N6" s="4486"/>
      <c r="O6" s="4486"/>
      <c r="P6" s="4486"/>
      <c r="Q6" s="4486"/>
      <c r="R6" s="4486"/>
      <c r="S6" s="4487"/>
      <c r="T6" s="926"/>
      <c r="U6" s="930"/>
    </row>
    <row r="7" spans="2:21">
      <c r="B7" s="923"/>
      <c r="C7" s="1458"/>
      <c r="D7" s="1459"/>
      <c r="E7" s="1459"/>
      <c r="F7" s="4488" t="s">
        <v>827</v>
      </c>
      <c r="G7" s="4489"/>
      <c r="H7" s="4489"/>
      <c r="I7" s="4489"/>
      <c r="J7" s="4489"/>
      <c r="K7" s="4489"/>
      <c r="L7" s="4489"/>
      <c r="M7" s="4489"/>
      <c r="N7" s="4489"/>
      <c r="O7" s="4489"/>
      <c r="P7" s="4489"/>
      <c r="Q7" s="4489"/>
      <c r="R7" s="4489"/>
      <c r="S7" s="4490"/>
      <c r="T7" s="926"/>
      <c r="U7" s="927"/>
    </row>
    <row r="8" spans="2:21" ht="7.5" customHeight="1">
      <c r="B8" s="923"/>
      <c r="C8" s="1460"/>
      <c r="D8" s="1460"/>
      <c r="E8" s="1460"/>
      <c r="F8" s="1460"/>
      <c r="G8" s="1460"/>
      <c r="H8" s="1460"/>
      <c r="I8" s="1460"/>
      <c r="J8" s="1460"/>
      <c r="K8" s="1461"/>
      <c r="L8" s="1461"/>
      <c r="M8" s="1461"/>
      <c r="N8" s="1461"/>
      <c r="O8" s="1461"/>
      <c r="P8" s="1461"/>
      <c r="Q8" s="1461"/>
      <c r="R8" s="1462"/>
      <c r="S8" s="1463"/>
      <c r="T8" s="926"/>
      <c r="U8" s="932"/>
    </row>
    <row r="9" spans="2:21">
      <c r="B9" s="923"/>
      <c r="C9" s="4492" t="s">
        <v>873</v>
      </c>
      <c r="D9" s="4493"/>
      <c r="E9" s="4493"/>
      <c r="F9" s="4493"/>
      <c r="G9" s="4493"/>
      <c r="H9" s="4493"/>
      <c r="I9" s="4493"/>
      <c r="J9" s="4493"/>
      <c r="K9" s="4493"/>
      <c r="L9" s="4493"/>
      <c r="M9" s="4493"/>
      <c r="N9" s="4493"/>
      <c r="O9" s="4493"/>
      <c r="P9" s="4493"/>
      <c r="Q9" s="4493"/>
      <c r="R9" s="4493"/>
      <c r="S9" s="4494"/>
      <c r="T9" s="926"/>
      <c r="U9" s="927"/>
    </row>
    <row r="10" spans="2:21">
      <c r="B10" s="923"/>
      <c r="C10" s="4495" t="s">
        <v>872</v>
      </c>
      <c r="D10" s="4496"/>
      <c r="E10" s="4496"/>
      <c r="F10" s="4496"/>
      <c r="G10" s="4496"/>
      <c r="H10" s="4496"/>
      <c r="I10" s="4496"/>
      <c r="J10" s="4496"/>
      <c r="K10" s="4496"/>
      <c r="L10" s="4496"/>
      <c r="M10" s="4496"/>
      <c r="N10" s="4496"/>
      <c r="O10" s="4496"/>
      <c r="P10" s="4496"/>
      <c r="Q10" s="4496"/>
      <c r="R10" s="4496"/>
      <c r="S10" s="4497"/>
      <c r="T10" s="926"/>
      <c r="U10" s="934"/>
    </row>
    <row r="11" spans="2:21" ht="21.75" customHeight="1">
      <c r="B11" s="923"/>
      <c r="C11" s="1400" t="s">
        <v>95</v>
      </c>
      <c r="D11" s="935"/>
      <c r="H11" s="927"/>
      <c r="I11" s="936"/>
      <c r="J11" s="927"/>
      <c r="K11" s="931"/>
      <c r="L11" s="931"/>
      <c r="M11" s="937"/>
      <c r="N11" s="937"/>
      <c r="O11" s="938"/>
      <c r="P11" s="938"/>
      <c r="Q11" s="4447"/>
      <c r="R11" s="4447"/>
      <c r="T11" s="926"/>
      <c r="U11" s="934"/>
    </row>
    <row r="12" spans="2:21" ht="22.5" customHeight="1">
      <c r="B12" s="923"/>
      <c r="C12" s="940" t="s">
        <v>600</v>
      </c>
      <c r="D12" s="939"/>
      <c r="E12" s="940"/>
      <c r="F12" s="940"/>
      <c r="G12" s="939" t="s">
        <v>27</v>
      </c>
      <c r="H12" s="4451" t="str">
        <f>Details!B4</f>
        <v xml:space="preserve">PT Itamatra Nusantara </v>
      </c>
      <c r="I12" s="4451"/>
      <c r="J12" s="4451"/>
      <c r="K12" s="4451"/>
      <c r="L12" s="4451"/>
      <c r="M12" s="4451"/>
      <c r="N12" s="941" t="s">
        <v>394</v>
      </c>
      <c r="P12" s="942" t="s">
        <v>27</v>
      </c>
      <c r="Q12" s="4426" t="s">
        <v>823</v>
      </c>
      <c r="R12" s="4426"/>
      <c r="S12" s="4426"/>
      <c r="T12" s="944"/>
      <c r="U12" s="934"/>
    </row>
    <row r="13" spans="2:21" ht="22.5" customHeight="1">
      <c r="B13" s="923"/>
      <c r="C13" s="940" t="s">
        <v>842</v>
      </c>
      <c r="D13" s="939"/>
      <c r="E13" s="940"/>
      <c r="F13" s="940"/>
      <c r="G13" s="939" t="s">
        <v>27</v>
      </c>
      <c r="H13" s="4451" t="str">
        <f>Details!B8</f>
        <v>hidroplogi</v>
      </c>
      <c r="I13" s="4451"/>
      <c r="J13" s="4451"/>
      <c r="K13" s="4451"/>
      <c r="L13" s="4451"/>
      <c r="M13" s="4451"/>
      <c r="N13" s="941" t="s">
        <v>822</v>
      </c>
      <c r="P13" s="941" t="s">
        <v>27</v>
      </c>
      <c r="Q13" s="4428" t="s">
        <v>824</v>
      </c>
      <c r="R13" s="4428"/>
      <c r="S13" s="4428"/>
      <c r="T13" s="944"/>
      <c r="U13" s="934"/>
    </row>
    <row r="14" spans="2:21" ht="22.5" customHeight="1">
      <c r="B14" s="2746"/>
      <c r="C14" s="940" t="s">
        <v>1309</v>
      </c>
      <c r="D14" s="939"/>
      <c r="E14" s="940"/>
      <c r="F14" s="940"/>
      <c r="G14" s="939" t="s">
        <v>27</v>
      </c>
      <c r="H14" s="4451" t="str">
        <f>Details!B7</f>
        <v>23-GQT--19-UDS-1-BH-05-0,00-0,50-100726-001</v>
      </c>
      <c r="I14" s="4451"/>
      <c r="J14" s="4451"/>
      <c r="K14" s="4451"/>
      <c r="L14" s="4451"/>
      <c r="M14" s="4451"/>
      <c r="N14" s="1464" t="s">
        <v>395</v>
      </c>
      <c r="P14" s="1372" t="s">
        <v>27</v>
      </c>
      <c r="Q14" s="4430">
        <f>Details!B36</f>
        <v>46224</v>
      </c>
      <c r="R14" s="4430"/>
      <c r="S14" s="4430"/>
      <c r="T14" s="944"/>
      <c r="U14" s="934"/>
    </row>
    <row r="15" spans="2:21" ht="22.5" customHeight="1">
      <c r="B15" s="923"/>
      <c r="C15" s="940" t="s">
        <v>601</v>
      </c>
      <c r="D15" s="939"/>
      <c r="E15" s="940"/>
      <c r="F15" s="940"/>
      <c r="G15" s="939" t="s">
        <v>27</v>
      </c>
      <c r="H15" s="4452" t="str">
        <f>Details!B1</f>
        <v>BH-05_UDS-01</v>
      </c>
      <c r="I15" s="4452"/>
      <c r="J15" s="4452"/>
      <c r="K15" s="4452"/>
      <c r="L15" s="4452"/>
      <c r="M15" s="4452"/>
      <c r="N15" s="941" t="s">
        <v>396</v>
      </c>
      <c r="P15" s="949" t="s">
        <v>27</v>
      </c>
      <c r="Q15" s="4428" t="str">
        <f>Details!B22</f>
        <v>AS Sumartadji</v>
      </c>
      <c r="R15" s="4428"/>
      <c r="S15" s="4428"/>
      <c r="T15" s="944"/>
      <c r="U15" s="934"/>
    </row>
    <row r="16" spans="2:21" ht="22.5" customHeight="1">
      <c r="B16" s="923"/>
      <c r="C16" s="940" t="s">
        <v>602</v>
      </c>
      <c r="D16" s="939"/>
      <c r="E16" s="940"/>
      <c r="F16" s="940"/>
      <c r="G16" s="939" t="s">
        <v>27</v>
      </c>
      <c r="H16" s="4491" t="str">
        <f>Details!B13&amp;" m"</f>
        <v>0,00-0,50 m</v>
      </c>
      <c r="I16" s="4491"/>
      <c r="J16" s="4491"/>
      <c r="K16" s="4491"/>
      <c r="L16" s="4491"/>
      <c r="M16" s="4491"/>
      <c r="N16" s="941" t="s">
        <v>186</v>
      </c>
      <c r="P16" s="949" t="s">
        <v>27</v>
      </c>
      <c r="Q16" s="4426" t="str">
        <f>Details!B2</f>
        <v>MGS/02/VI/2026</v>
      </c>
      <c r="R16" s="4426"/>
      <c r="S16" s="4426"/>
      <c r="T16" s="944"/>
      <c r="U16" s="934"/>
    </row>
    <row r="17" spans="2:22" ht="22.5" customHeight="1">
      <c r="B17" s="923"/>
      <c r="C17" s="940" t="s">
        <v>843</v>
      </c>
      <c r="D17" s="939"/>
      <c r="E17" s="940"/>
      <c r="F17" s="940"/>
      <c r="G17" s="939" t="s">
        <v>27</v>
      </c>
      <c r="H17" s="4453" t="str">
        <f>Details!B14</f>
        <v>silty CLAY with sand</v>
      </c>
      <c r="I17" s="4453"/>
      <c r="J17" s="4453"/>
      <c r="K17" s="4453"/>
      <c r="L17" s="4453"/>
      <c r="M17" s="4453"/>
      <c r="N17" s="920"/>
      <c r="T17" s="944"/>
      <c r="U17" s="934"/>
    </row>
    <row r="18" spans="2:22" ht="22.5" customHeight="1">
      <c r="B18" s="923"/>
      <c r="C18" s="940" t="s">
        <v>603</v>
      </c>
      <c r="D18" s="939"/>
      <c r="E18" s="940"/>
      <c r="F18" s="940"/>
      <c r="G18" s="939" t="s">
        <v>27</v>
      </c>
      <c r="H18" s="4451" t="str">
        <f>Details!B15</f>
        <v>Abu-abu / Gray</v>
      </c>
      <c r="I18" s="4451"/>
      <c r="J18" s="4451"/>
      <c r="K18" s="4451"/>
      <c r="L18" s="4451"/>
      <c r="M18" s="4451"/>
      <c r="N18" s="941"/>
      <c r="O18" s="941"/>
      <c r="P18" s="941"/>
      <c r="Q18" s="941"/>
      <c r="R18" s="941"/>
      <c r="T18" s="944"/>
      <c r="U18" s="934"/>
    </row>
    <row r="19" spans="2:22" ht="22.5" customHeight="1">
      <c r="B19" s="923"/>
      <c r="C19" s="940" t="s">
        <v>844</v>
      </c>
      <c r="G19" s="920" t="s">
        <v>27</v>
      </c>
      <c r="H19" s="4452" t="str">
        <f>Details!B16</f>
        <v>Undisturbed Sample / UDS</v>
      </c>
      <c r="I19" s="4452"/>
      <c r="J19" s="4452"/>
      <c r="K19" s="4452"/>
      <c r="L19" s="4452"/>
      <c r="M19" s="4452"/>
      <c r="N19" s="950"/>
      <c r="O19" s="935"/>
      <c r="P19" s="935"/>
      <c r="Q19" s="935"/>
      <c r="R19" s="935"/>
      <c r="T19" s="944"/>
      <c r="U19" s="934"/>
    </row>
    <row r="20" spans="2:22">
      <c r="B20" s="923"/>
      <c r="E20" s="1343" t="str">
        <f>Details!C16</f>
        <v>The samples were received as Undisturbed Sample / UDS and the validity of the sampling process was not verified by the laboratory.</v>
      </c>
      <c r="R20" s="955"/>
      <c r="T20" s="944"/>
      <c r="U20" s="934"/>
    </row>
    <row r="21" spans="2:22">
      <c r="B21" s="923"/>
      <c r="E21" s="1343"/>
      <c r="R21" s="955"/>
      <c r="T21" s="944"/>
      <c r="U21" s="934"/>
    </row>
    <row r="22" spans="2:22" s="940" customFormat="1" ht="15" customHeight="1">
      <c r="B22" s="1465"/>
      <c r="T22" s="1466"/>
      <c r="U22" s="1467"/>
      <c r="V22" s="940" t="s">
        <v>874</v>
      </c>
    </row>
    <row r="23" spans="2:22" s="940" customFormat="1" ht="17.25" customHeight="1">
      <c r="B23" s="1465"/>
      <c r="D23" s="1468" t="s">
        <v>875</v>
      </c>
      <c r="N23" s="1468" t="s">
        <v>876</v>
      </c>
      <c r="T23" s="1466"/>
      <c r="U23" s="1467"/>
    </row>
    <row r="24" spans="2:22" s="940" customFormat="1" ht="17.25" customHeight="1">
      <c r="B24" s="1465"/>
      <c r="D24" s="940" t="s">
        <v>315</v>
      </c>
      <c r="F24" s="1469" t="s">
        <v>877</v>
      </c>
      <c r="G24" s="948" t="s">
        <v>27</v>
      </c>
      <c r="H24" s="1369">
        <f>PP!J33</f>
        <v>44.621388989430798</v>
      </c>
      <c r="I24" s="940" t="s">
        <v>1</v>
      </c>
      <c r="N24" s="940" t="s">
        <v>589</v>
      </c>
      <c r="P24" s="940" t="s">
        <v>27</v>
      </c>
      <c r="Q24" s="1369">
        <v>6.37</v>
      </c>
      <c r="R24" s="940" t="s">
        <v>104</v>
      </c>
      <c r="T24" s="1466"/>
      <c r="U24" s="1467"/>
    </row>
    <row r="25" spans="2:22" s="940" customFormat="1" ht="17.25" customHeight="1">
      <c r="B25" s="1465"/>
      <c r="D25" s="940" t="s">
        <v>878</v>
      </c>
      <c r="F25" s="1469" t="s">
        <v>877</v>
      </c>
      <c r="G25" s="948" t="s">
        <v>27</v>
      </c>
      <c r="H25" s="1369">
        <f>Q31</f>
        <v>0</v>
      </c>
      <c r="I25" s="940" t="s">
        <v>414</v>
      </c>
      <c r="N25" s="940" t="s">
        <v>879</v>
      </c>
      <c r="P25" s="940" t="s">
        <v>27</v>
      </c>
      <c r="Q25" s="1369">
        <v>0.86599999999999999</v>
      </c>
      <c r="R25" s="940" t="s">
        <v>721</v>
      </c>
      <c r="T25" s="1466"/>
      <c r="U25" s="1467"/>
    </row>
    <row r="26" spans="2:22" s="940" customFormat="1" ht="17.25" customHeight="1">
      <c r="B26" s="1465"/>
      <c r="D26" s="940" t="s">
        <v>880</v>
      </c>
      <c r="F26" s="1469" t="s">
        <v>881</v>
      </c>
      <c r="G26" s="948" t="s">
        <v>27</v>
      </c>
      <c r="H26" s="1369">
        <v>6</v>
      </c>
      <c r="I26" s="940" t="s">
        <v>104</v>
      </c>
      <c r="N26" s="940" t="s">
        <v>882</v>
      </c>
      <c r="P26" s="940" t="s">
        <v>27</v>
      </c>
      <c r="Q26" s="1369">
        <v>31.869</v>
      </c>
      <c r="R26" s="940" t="s">
        <v>721</v>
      </c>
      <c r="T26" s="1466"/>
      <c r="U26" s="939"/>
    </row>
    <row r="27" spans="2:22" s="940" customFormat="1" ht="17.25" customHeight="1">
      <c r="B27" s="1465"/>
      <c r="D27" s="940" t="s">
        <v>883</v>
      </c>
      <c r="F27" s="1469" t="s">
        <v>418</v>
      </c>
      <c r="G27" s="948" t="s">
        <v>27</v>
      </c>
      <c r="H27" s="1369">
        <f>PP!J24</f>
        <v>2.6497359418773012</v>
      </c>
      <c r="I27" s="940" t="s">
        <v>309</v>
      </c>
      <c r="N27" s="940" t="s">
        <v>884</v>
      </c>
      <c r="Q27" s="948"/>
      <c r="T27" s="1466"/>
      <c r="U27" s="939"/>
    </row>
    <row r="28" spans="2:22" s="940" customFormat="1" ht="17.25" customHeight="1">
      <c r="B28" s="1465"/>
      <c r="D28" s="940" t="s">
        <v>310</v>
      </c>
      <c r="F28" s="1469" t="s">
        <v>885</v>
      </c>
      <c r="G28" s="948" t="s">
        <v>27</v>
      </c>
      <c r="H28" s="1369">
        <f>PP!J39</f>
        <v>1.684979787857789</v>
      </c>
      <c r="I28" s="940" t="s">
        <v>728</v>
      </c>
      <c r="Q28" s="948"/>
      <c r="T28" s="1466"/>
      <c r="U28" s="1470"/>
    </row>
    <row r="29" spans="2:22" s="940" customFormat="1" ht="17.25" customHeight="1">
      <c r="B29" s="1465"/>
      <c r="D29" s="940" t="s">
        <v>886</v>
      </c>
      <c r="F29" s="1469" t="s">
        <v>353</v>
      </c>
      <c r="G29" s="948" t="s">
        <v>27</v>
      </c>
      <c r="H29" s="1369">
        <f>PP!J41</f>
        <v>1.1650972236070354</v>
      </c>
      <c r="I29" s="940" t="s">
        <v>728</v>
      </c>
      <c r="N29" s="940" t="s">
        <v>887</v>
      </c>
      <c r="P29" s="940" t="s">
        <v>27</v>
      </c>
      <c r="Q29" s="948"/>
      <c r="R29" s="940" t="s">
        <v>414</v>
      </c>
      <c r="T29" s="1466"/>
    </row>
    <row r="30" spans="2:22" s="940" customFormat="1" ht="17.25" customHeight="1">
      <c r="B30" s="1465"/>
      <c r="D30" s="940" t="s">
        <v>408</v>
      </c>
      <c r="F30" s="1469" t="s">
        <v>411</v>
      </c>
      <c r="G30" s="948" t="s">
        <v>27</v>
      </c>
      <c r="H30" s="1369">
        <f>PP!J43</f>
        <v>0.56029685630426251</v>
      </c>
      <c r="I30" s="940" t="s">
        <v>1</v>
      </c>
      <c r="N30" s="940" t="s">
        <v>888</v>
      </c>
      <c r="P30" s="940" t="s">
        <v>27</v>
      </c>
      <c r="Q30" s="948"/>
      <c r="R30" s="940" t="s">
        <v>414</v>
      </c>
      <c r="T30" s="1471"/>
    </row>
    <row r="31" spans="2:22" s="940" customFormat="1" ht="17.25" customHeight="1">
      <c r="B31" s="1465"/>
      <c r="D31" s="940" t="s">
        <v>889</v>
      </c>
      <c r="F31" s="1469" t="s">
        <v>358</v>
      </c>
      <c r="G31" s="948" t="s">
        <v>27</v>
      </c>
      <c r="H31" s="1369">
        <f>PP!J42</f>
        <v>1.2742616566143372</v>
      </c>
      <c r="N31" s="940" t="s">
        <v>890</v>
      </c>
      <c r="P31" s="940" t="s">
        <v>27</v>
      </c>
      <c r="Q31" s="1472">
        <f>Q30-Q29</f>
        <v>0</v>
      </c>
      <c r="R31" s="940" t="s">
        <v>414</v>
      </c>
      <c r="T31" s="1471"/>
    </row>
    <row r="32" spans="2:22" s="940" customFormat="1" ht="13.5">
      <c r="B32" s="1465"/>
      <c r="T32" s="1471"/>
    </row>
    <row r="33" spans="2:26" s="940" customFormat="1" ht="13.5">
      <c r="B33" s="1465"/>
      <c r="T33" s="1471"/>
    </row>
    <row r="34" spans="2:26" s="940" customFormat="1" ht="14.25" thickBot="1">
      <c r="B34" s="1465"/>
      <c r="T34" s="1471"/>
    </row>
    <row r="35" spans="2:26" s="940" customFormat="1" ht="15" customHeight="1">
      <c r="B35" s="1465"/>
      <c r="E35" s="4472" t="s">
        <v>76</v>
      </c>
      <c r="F35" s="4473"/>
      <c r="G35" s="4473"/>
      <c r="H35" s="4476" t="s">
        <v>16</v>
      </c>
      <c r="I35" s="4477"/>
      <c r="J35" s="1473" t="s">
        <v>10</v>
      </c>
      <c r="K35" s="1474" t="s">
        <v>891</v>
      </c>
      <c r="L35" s="1473" t="s">
        <v>892</v>
      </c>
      <c r="M35" s="4480" t="s">
        <v>893</v>
      </c>
      <c r="N35" s="4480" t="s">
        <v>894</v>
      </c>
      <c r="O35" s="1473" t="s">
        <v>895</v>
      </c>
      <c r="P35" s="4476" t="s">
        <v>896</v>
      </c>
      <c r="Q35" s="4477"/>
      <c r="R35" s="1475" t="s">
        <v>518</v>
      </c>
      <c r="T35" s="1471"/>
    </row>
    <row r="36" spans="2:26" s="940" customFormat="1" ht="14.25" thickBot="1">
      <c r="B36" s="1465"/>
      <c r="D36" s="948"/>
      <c r="E36" s="4474"/>
      <c r="F36" s="4475"/>
      <c r="G36" s="4475"/>
      <c r="H36" s="4478"/>
      <c r="I36" s="4479"/>
      <c r="J36" s="1476" t="s">
        <v>778</v>
      </c>
      <c r="K36" s="1476" t="s">
        <v>104</v>
      </c>
      <c r="L36" s="1476" t="s">
        <v>104</v>
      </c>
      <c r="M36" s="4481"/>
      <c r="N36" s="4481"/>
      <c r="O36" s="1476" t="s">
        <v>526</v>
      </c>
      <c r="P36" s="4478"/>
      <c r="Q36" s="4479"/>
      <c r="R36" s="1477" t="s">
        <v>526</v>
      </c>
      <c r="T36" s="1471"/>
      <c r="V36" s="1469" t="s">
        <v>897</v>
      </c>
      <c r="W36" s="1478"/>
      <c r="Z36" s="1478"/>
    </row>
    <row r="37" spans="2:26" s="940" customFormat="1" ht="4.5" customHeight="1">
      <c r="B37" s="1465"/>
      <c r="D37" s="948"/>
      <c r="E37" s="4469"/>
      <c r="F37" s="4470"/>
      <c r="G37" s="4471"/>
      <c r="H37" s="1479"/>
      <c r="I37" s="1480"/>
      <c r="J37" s="1481"/>
      <c r="K37" s="1481"/>
      <c r="L37" s="1481"/>
      <c r="M37" s="1482"/>
      <c r="N37" s="1482"/>
      <c r="O37" s="1481"/>
      <c r="P37" s="1479"/>
      <c r="Q37" s="1480"/>
      <c r="R37" s="1483"/>
      <c r="T37" s="1471"/>
      <c r="V37" s="1469"/>
      <c r="W37" s="1484"/>
      <c r="Z37" s="1484"/>
    </row>
    <row r="38" spans="2:26" s="948" customFormat="1" ht="21.75" customHeight="1">
      <c r="B38" s="1485"/>
      <c r="E38" s="4455">
        <f>W36</f>
        <v>0</v>
      </c>
      <c r="F38" s="4456"/>
      <c r="G38" s="4456"/>
      <c r="H38" s="4457">
        <f>W38</f>
        <v>0</v>
      </c>
      <c r="I38" s="4458"/>
      <c r="J38" s="956"/>
      <c r="K38" s="1486">
        <f>X39</f>
        <v>0</v>
      </c>
      <c r="L38" s="1486"/>
      <c r="M38" s="956"/>
      <c r="N38" s="956"/>
      <c r="O38" s="956"/>
      <c r="P38" s="4459"/>
      <c r="Q38" s="4460"/>
      <c r="R38" s="1487"/>
      <c r="T38" s="1488"/>
      <c r="V38" s="1469" t="s">
        <v>898</v>
      </c>
      <c r="W38" s="1489"/>
      <c r="X38" s="948" t="s">
        <v>899</v>
      </c>
      <c r="Z38" s="1489"/>
    </row>
    <row r="39" spans="2:26" s="948" customFormat="1" ht="21.75" customHeight="1">
      <c r="B39" s="1485"/>
      <c r="E39" s="4455">
        <f>E38</f>
        <v>0</v>
      </c>
      <c r="F39" s="4456"/>
      <c r="G39" s="4456"/>
      <c r="H39" s="4457">
        <f>H38+TIME(0,0,$J$39)</f>
        <v>0</v>
      </c>
      <c r="I39" s="4458"/>
      <c r="J39" s="956">
        <f>W39</f>
        <v>0</v>
      </c>
      <c r="K39" s="1486"/>
      <c r="L39" s="1486">
        <f>K41</f>
        <v>0</v>
      </c>
      <c r="M39" s="1490" t="str">
        <f>IFERROR(K38/L39, "")</f>
        <v/>
      </c>
      <c r="N39" s="1490" t="str">
        <f>IFERROR(LOG(M39), "")</f>
        <v/>
      </c>
      <c r="O39" s="1491" t="str">
        <f>IFERROR($H$26/J39, "")</f>
        <v/>
      </c>
      <c r="P39" s="4459">
        <v>26</v>
      </c>
      <c r="Q39" s="4460"/>
      <c r="R39" s="1492" t="str">
        <f>IFERROR((2.3*($Q$25/$Q$26)*O39*N39), "")</f>
        <v/>
      </c>
      <c r="T39" s="1488"/>
      <c r="V39" s="1469" t="s">
        <v>900</v>
      </c>
      <c r="W39" s="1484"/>
      <c r="X39" s="1493"/>
      <c r="Y39" s="948">
        <v>1</v>
      </c>
      <c r="Z39" s="1484"/>
    </row>
    <row r="40" spans="2:26" s="940" customFormat="1" ht="13.5">
      <c r="B40" s="1465"/>
      <c r="D40" s="948"/>
      <c r="E40" s="4466"/>
      <c r="F40" s="4467"/>
      <c r="G40" s="4467"/>
      <c r="H40" s="4468"/>
      <c r="I40" s="4468"/>
      <c r="J40" s="1333"/>
      <c r="K40" s="1494"/>
      <c r="L40" s="1494"/>
      <c r="M40" s="1490"/>
      <c r="N40" s="1490"/>
      <c r="O40" s="1491"/>
      <c r="P40" s="4463"/>
      <c r="Q40" s="4463"/>
      <c r="R40" s="1487"/>
      <c r="T40" s="1471"/>
      <c r="X40" s="1493"/>
      <c r="Y40" s="948">
        <v>2</v>
      </c>
    </row>
    <row r="41" spans="2:26" s="948" customFormat="1" ht="21.75" customHeight="1">
      <c r="B41" s="1485"/>
      <c r="E41" s="4455">
        <f>E39</f>
        <v>0</v>
      </c>
      <c r="F41" s="4456"/>
      <c r="G41" s="4456"/>
      <c r="H41" s="4457">
        <f>H39</f>
        <v>0</v>
      </c>
      <c r="I41" s="4458"/>
      <c r="J41" s="956"/>
      <c r="K41" s="1486">
        <f>X40</f>
        <v>0</v>
      </c>
      <c r="L41" s="1486"/>
      <c r="M41" s="1490"/>
      <c r="N41" s="1490"/>
      <c r="O41" s="1491"/>
      <c r="P41" s="4459"/>
      <c r="Q41" s="4460"/>
      <c r="R41" s="1487"/>
      <c r="T41" s="1488"/>
      <c r="X41" s="1493"/>
      <c r="Y41" s="948">
        <v>3</v>
      </c>
    </row>
    <row r="42" spans="2:26" s="948" customFormat="1" ht="21.75" customHeight="1">
      <c r="B42" s="1485"/>
      <c r="E42" s="4455">
        <f>$E$38</f>
        <v>0</v>
      </c>
      <c r="F42" s="4456"/>
      <c r="G42" s="4456"/>
      <c r="H42" s="4457">
        <f>H41+TIME(0,0,$J$39)</f>
        <v>0</v>
      </c>
      <c r="I42" s="4458"/>
      <c r="J42" s="956">
        <f>J39</f>
        <v>0</v>
      </c>
      <c r="K42" s="1486"/>
      <c r="L42" s="1486">
        <f>K44</f>
        <v>0</v>
      </c>
      <c r="M42" s="1490" t="str">
        <f>IFERROR(K41/L42, "")</f>
        <v/>
      </c>
      <c r="N42" s="1490" t="str">
        <f>IFERROR(LOG(M42), "")</f>
        <v/>
      </c>
      <c r="O42" s="1491" t="str">
        <f>IFERROR($H$26/J42, "")</f>
        <v/>
      </c>
      <c r="P42" s="4459">
        <v>26</v>
      </c>
      <c r="Q42" s="4460"/>
      <c r="R42" s="1492" t="str">
        <f>IFERROR((2.3*($Q$25/$Q$26)*O42*N42), "")</f>
        <v/>
      </c>
      <c r="T42" s="1488"/>
      <c r="X42" s="1493"/>
      <c r="Y42" s="948">
        <v>4</v>
      </c>
    </row>
    <row r="43" spans="2:26" s="940" customFormat="1" ht="13.5">
      <c r="B43" s="1465"/>
      <c r="D43" s="948"/>
      <c r="E43" s="4466"/>
      <c r="F43" s="4467"/>
      <c r="G43" s="4467"/>
      <c r="H43" s="4468"/>
      <c r="I43" s="4468"/>
      <c r="J43" s="1333"/>
      <c r="K43" s="1494"/>
      <c r="L43" s="1494"/>
      <c r="M43" s="1490"/>
      <c r="N43" s="1490"/>
      <c r="O43" s="1491"/>
      <c r="P43" s="4463"/>
      <c r="Q43" s="4463"/>
      <c r="R43" s="1487"/>
      <c r="T43" s="1471"/>
      <c r="X43" s="1493"/>
      <c r="Y43" s="948">
        <v>5</v>
      </c>
    </row>
    <row r="44" spans="2:26" s="948" customFormat="1" ht="21.75" customHeight="1">
      <c r="B44" s="1485"/>
      <c r="E44" s="4455">
        <f>$E$38</f>
        <v>0</v>
      </c>
      <c r="F44" s="4456"/>
      <c r="G44" s="4456"/>
      <c r="H44" s="4457">
        <f>H42</f>
        <v>0</v>
      </c>
      <c r="I44" s="4458"/>
      <c r="J44" s="956"/>
      <c r="K44" s="1486">
        <f>X41</f>
        <v>0</v>
      </c>
      <c r="L44" s="1486"/>
      <c r="M44" s="1490"/>
      <c r="N44" s="1490"/>
      <c r="O44" s="1491"/>
      <c r="P44" s="4459"/>
      <c r="Q44" s="4460"/>
      <c r="R44" s="1487"/>
      <c r="T44" s="1488"/>
      <c r="X44" s="1493"/>
      <c r="Y44" s="948">
        <v>6</v>
      </c>
    </row>
    <row r="45" spans="2:26" s="948" customFormat="1" ht="21.75" customHeight="1">
      <c r="B45" s="1485"/>
      <c r="E45" s="4455">
        <f>$E$38</f>
        <v>0</v>
      </c>
      <c r="F45" s="4456"/>
      <c r="G45" s="4456"/>
      <c r="H45" s="4457">
        <f>H44+TIME(0,0,$J$39)</f>
        <v>0</v>
      </c>
      <c r="I45" s="4458"/>
      <c r="J45" s="956">
        <f>J42</f>
        <v>0</v>
      </c>
      <c r="K45" s="1486"/>
      <c r="L45" s="1486">
        <f>K47</f>
        <v>0</v>
      </c>
      <c r="M45" s="1490" t="str">
        <f>IFERROR(K44/L45, "")</f>
        <v/>
      </c>
      <c r="N45" s="1490" t="str">
        <f>IFERROR(LOG(M45), "")</f>
        <v/>
      </c>
      <c r="O45" s="1491" t="str">
        <f>IFERROR($H$26/J45, "")</f>
        <v/>
      </c>
      <c r="P45" s="4459">
        <v>26</v>
      </c>
      <c r="Q45" s="4460"/>
      <c r="R45" s="1492" t="str">
        <f>IFERROR((2.3*($Q$25/$Q$26)*O45*N45), "")</f>
        <v/>
      </c>
      <c r="T45" s="1488"/>
    </row>
    <row r="46" spans="2:26" s="940" customFormat="1" ht="13.5">
      <c r="B46" s="1465"/>
      <c r="D46" s="948"/>
      <c r="E46" s="4466"/>
      <c r="F46" s="4467"/>
      <c r="G46" s="4467"/>
      <c r="H46" s="4468"/>
      <c r="I46" s="4468"/>
      <c r="J46" s="1333"/>
      <c r="K46" s="1494"/>
      <c r="L46" s="1494"/>
      <c r="M46" s="1490"/>
      <c r="N46" s="1490"/>
      <c r="O46" s="1491"/>
      <c r="P46" s="4463"/>
      <c r="Q46" s="4463"/>
      <c r="R46" s="1487"/>
      <c r="T46" s="1471"/>
    </row>
    <row r="47" spans="2:26" s="948" customFormat="1" ht="21.75" customHeight="1">
      <c r="B47" s="1485"/>
      <c r="E47" s="4455">
        <f>$E$38</f>
        <v>0</v>
      </c>
      <c r="F47" s="4456"/>
      <c r="G47" s="4456"/>
      <c r="H47" s="4457">
        <f>H45</f>
        <v>0</v>
      </c>
      <c r="I47" s="4458"/>
      <c r="J47" s="957"/>
      <c r="K47" s="1486">
        <f>X42</f>
        <v>0</v>
      </c>
      <c r="L47" s="1486"/>
      <c r="M47" s="1490"/>
      <c r="N47" s="1490"/>
      <c r="O47" s="1491"/>
      <c r="P47" s="4459"/>
      <c r="Q47" s="4460"/>
      <c r="R47" s="1487"/>
      <c r="S47" s="1369"/>
      <c r="T47" s="1488"/>
    </row>
    <row r="48" spans="2:26" s="948" customFormat="1" ht="21.75" customHeight="1">
      <c r="B48" s="1485"/>
      <c r="E48" s="4455">
        <f>$E$38</f>
        <v>0</v>
      </c>
      <c r="F48" s="4456"/>
      <c r="G48" s="4456"/>
      <c r="H48" s="4457">
        <f>H47+TIME(0,0,$J$39)</f>
        <v>0</v>
      </c>
      <c r="I48" s="4458"/>
      <c r="J48" s="957">
        <f>J45</f>
        <v>0</v>
      </c>
      <c r="K48" s="1486"/>
      <c r="L48" s="1486">
        <f>K50</f>
        <v>0</v>
      </c>
      <c r="M48" s="1490" t="str">
        <f>IFERROR(K47/L48, "")</f>
        <v/>
      </c>
      <c r="N48" s="1490" t="str">
        <f>IFERROR(LOG(M48), "")</f>
        <v/>
      </c>
      <c r="O48" s="1491" t="str">
        <f>IFERROR($H$26/J48, "")</f>
        <v/>
      </c>
      <c r="P48" s="4459">
        <v>26</v>
      </c>
      <c r="Q48" s="4460"/>
      <c r="R48" s="1492" t="str">
        <f>IFERROR((2.3*($Q$25/$Q$26)*O48*N48), "")</f>
        <v/>
      </c>
      <c r="T48" s="1488"/>
    </row>
    <row r="49" spans="2:28" s="940" customFormat="1" ht="13.5">
      <c r="B49" s="1465"/>
      <c r="D49" s="948"/>
      <c r="E49" s="4466"/>
      <c r="F49" s="4467"/>
      <c r="G49" s="4467"/>
      <c r="H49" s="4468"/>
      <c r="I49" s="4468"/>
      <c r="J49" s="1333"/>
      <c r="K49" s="1494"/>
      <c r="L49" s="1494"/>
      <c r="M49" s="1490"/>
      <c r="N49" s="1490"/>
      <c r="O49" s="1491"/>
      <c r="P49" s="4463"/>
      <c r="Q49" s="4463"/>
      <c r="R49" s="1487"/>
      <c r="T49" s="1471"/>
    </row>
    <row r="50" spans="2:28" s="948" customFormat="1" ht="21.75" customHeight="1">
      <c r="B50" s="1485"/>
      <c r="E50" s="4455">
        <f>$E$38</f>
        <v>0</v>
      </c>
      <c r="F50" s="4456"/>
      <c r="G50" s="4456"/>
      <c r="H50" s="4457">
        <f>H48</f>
        <v>0</v>
      </c>
      <c r="I50" s="4458"/>
      <c r="J50" s="956"/>
      <c r="K50" s="1486">
        <f>X43</f>
        <v>0</v>
      </c>
      <c r="L50" s="1486"/>
      <c r="M50" s="1490"/>
      <c r="N50" s="1490"/>
      <c r="O50" s="1491"/>
      <c r="P50" s="4459"/>
      <c r="Q50" s="4460"/>
      <c r="R50" s="1487"/>
      <c r="T50" s="1488"/>
    </row>
    <row r="51" spans="2:28" s="948" customFormat="1" ht="21.75" customHeight="1">
      <c r="B51" s="1485"/>
      <c r="E51" s="4455">
        <f>$E$38</f>
        <v>0</v>
      </c>
      <c r="F51" s="4456"/>
      <c r="G51" s="4456"/>
      <c r="H51" s="4457">
        <f>H50+TIME(0,0,$J$39)</f>
        <v>0</v>
      </c>
      <c r="I51" s="4458"/>
      <c r="J51" s="956">
        <f>J48</f>
        <v>0</v>
      </c>
      <c r="K51" s="1486"/>
      <c r="L51" s="1486">
        <f>X44</f>
        <v>0</v>
      </c>
      <c r="M51" s="1490" t="str">
        <f>IFERROR(K50/L51, "")</f>
        <v/>
      </c>
      <c r="N51" s="1490" t="str">
        <f>IFERROR(LOG(M51), "")</f>
        <v/>
      </c>
      <c r="O51" s="1491" t="str">
        <f>IFERROR($H$26/J51, "")</f>
        <v/>
      </c>
      <c r="P51" s="4459">
        <v>26</v>
      </c>
      <c r="Q51" s="4460"/>
      <c r="R51" s="1492" t="str">
        <f>IFERROR((2.3*($Q$25/$Q$26)*O51*N51), "")</f>
        <v/>
      </c>
      <c r="T51" s="1495"/>
    </row>
    <row r="52" spans="2:28" s="940" customFormat="1" ht="13.5">
      <c r="B52" s="1465"/>
      <c r="C52" s="1496"/>
      <c r="D52" s="1496"/>
      <c r="E52" s="4462"/>
      <c r="F52" s="4463"/>
      <c r="G52" s="4463"/>
      <c r="H52" s="4464"/>
      <c r="I52" s="4464"/>
      <c r="J52" s="1497"/>
      <c r="K52" s="1498"/>
      <c r="L52" s="1494"/>
      <c r="M52" s="1490"/>
      <c r="N52" s="1490"/>
      <c r="O52" s="1491"/>
      <c r="P52" s="4465"/>
      <c r="Q52" s="4465"/>
      <c r="R52" s="1487"/>
      <c r="T52" s="1471"/>
      <c r="U52" s="1499"/>
      <c r="W52" s="1500"/>
    </row>
    <row r="53" spans="2:28" s="948" customFormat="1" ht="21.75" customHeight="1">
      <c r="B53" s="1485"/>
      <c r="E53" s="4455"/>
      <c r="F53" s="4456"/>
      <c r="G53" s="4456"/>
      <c r="H53" s="4457"/>
      <c r="I53" s="4458"/>
      <c r="J53" s="956"/>
      <c r="K53" s="1486"/>
      <c r="L53" s="1486"/>
      <c r="M53" s="1490"/>
      <c r="N53" s="1490"/>
      <c r="O53" s="1491"/>
      <c r="P53" s="4459"/>
      <c r="Q53" s="4460"/>
      <c r="R53" s="1487"/>
      <c r="T53" s="1488"/>
    </row>
    <row r="54" spans="2:28" s="948" customFormat="1" ht="21.75" customHeight="1">
      <c r="B54" s="1485"/>
      <c r="E54" s="4455"/>
      <c r="F54" s="4456"/>
      <c r="G54" s="4456"/>
      <c r="H54" s="4457"/>
      <c r="I54" s="4458"/>
      <c r="J54" s="956"/>
      <c r="K54" s="1486"/>
      <c r="L54" s="1486"/>
      <c r="M54" s="1490" t="str">
        <f>IFERROR(K53/L54, "")</f>
        <v/>
      </c>
      <c r="N54" s="1490" t="str">
        <f>IFERROR(LOG(M54), "")</f>
        <v/>
      </c>
      <c r="O54" s="1491" t="str">
        <f>IFERROR($H$26/J54, "")</f>
        <v/>
      </c>
      <c r="P54" s="4459"/>
      <c r="Q54" s="4460"/>
      <c r="R54" s="1492" t="str">
        <f>IFERROR((2.3*($Q$25/$Q$26)*O54*N54), "")</f>
        <v/>
      </c>
      <c r="T54" s="1495"/>
    </row>
    <row r="55" spans="2:28" s="940" customFormat="1" ht="13.5">
      <c r="B55" s="1465"/>
      <c r="C55" s="1496"/>
      <c r="D55" s="1496"/>
      <c r="E55" s="1501"/>
      <c r="F55" s="948"/>
      <c r="G55" s="948"/>
      <c r="L55" s="948"/>
      <c r="M55" s="948"/>
      <c r="N55" s="948"/>
      <c r="O55" s="948"/>
      <c r="P55" s="1012"/>
      <c r="Q55" s="1012"/>
      <c r="R55" s="1502"/>
      <c r="T55" s="1471"/>
      <c r="U55" s="1499"/>
      <c r="W55" s="1500"/>
    </row>
    <row r="56" spans="2:28" s="948" customFormat="1" ht="21.75" customHeight="1" thickBot="1">
      <c r="B56" s="1485"/>
      <c r="C56" s="4461"/>
      <c r="D56" s="4461"/>
      <c r="E56" s="1503"/>
      <c r="F56" s="1504"/>
      <c r="G56" s="1504"/>
      <c r="H56" s="1504"/>
      <c r="I56" s="1504"/>
      <c r="J56" s="1504"/>
      <c r="K56" s="1504"/>
      <c r="L56" s="1505"/>
      <c r="M56" s="1505"/>
      <c r="N56" s="1505"/>
      <c r="O56" s="1506" t="s">
        <v>901</v>
      </c>
      <c r="P56" s="1505"/>
      <c r="Q56" s="1505"/>
      <c r="R56" s="1507" t="str">
        <f>IFERROR(AVERAGE(R36:R54), "")</f>
        <v/>
      </c>
      <c r="T56" s="1488"/>
      <c r="U56" s="1508"/>
      <c r="W56" s="1369"/>
    </row>
    <row r="57" spans="2:28" s="940" customFormat="1" ht="13.5">
      <c r="B57" s="1465"/>
      <c r="C57" s="4454"/>
      <c r="D57" s="4454"/>
      <c r="L57" s="1012"/>
      <c r="M57" s="1012"/>
      <c r="N57" s="1012"/>
      <c r="T57" s="1471"/>
      <c r="U57" s="1499"/>
      <c r="W57" s="1500"/>
    </row>
    <row r="58" spans="2:28" s="940" customFormat="1" ht="13.5">
      <c r="B58" s="1465"/>
      <c r="C58" s="4454"/>
      <c r="D58" s="4454"/>
      <c r="L58" s="1012"/>
      <c r="M58" s="1012"/>
      <c r="N58" s="1012"/>
      <c r="O58" s="939"/>
      <c r="P58" s="939"/>
      <c r="Q58" s="939"/>
      <c r="R58" s="939"/>
      <c r="T58" s="1471"/>
      <c r="U58" s="1499"/>
      <c r="W58" s="1500"/>
    </row>
    <row r="59" spans="2:28" s="940" customFormat="1" ht="13.5">
      <c r="B59" s="1465"/>
      <c r="C59" s="4454"/>
      <c r="D59" s="4454"/>
      <c r="H59" s="939"/>
      <c r="I59" s="939"/>
      <c r="J59" s="939"/>
      <c r="K59" s="1012"/>
      <c r="L59" s="1012"/>
      <c r="M59" s="1012"/>
      <c r="N59" s="1012"/>
      <c r="O59" s="939"/>
      <c r="P59" s="939"/>
      <c r="Q59" s="939"/>
      <c r="R59" s="939"/>
      <c r="T59" s="1471"/>
      <c r="U59" s="1499"/>
      <c r="W59" s="1500"/>
    </row>
    <row r="60" spans="2:28" s="940" customFormat="1" ht="13.5">
      <c r="B60" s="1465"/>
      <c r="H60" s="939"/>
      <c r="I60" s="939"/>
      <c r="J60" s="939"/>
      <c r="K60" s="1012"/>
      <c r="L60" s="1012"/>
      <c r="M60" s="1012"/>
      <c r="N60" s="1012"/>
      <c r="O60" s="939"/>
      <c r="P60" s="939"/>
      <c r="Q60" s="939"/>
      <c r="R60" s="939"/>
      <c r="T60" s="1471"/>
      <c r="U60" s="1499"/>
      <c r="W60" s="1045" t="s">
        <v>795</v>
      </c>
      <c r="Z60" s="939"/>
      <c r="AA60" s="939"/>
      <c r="AB60" s="939"/>
    </row>
    <row r="61" spans="2:28" s="940" customFormat="1" ht="13.5">
      <c r="B61" s="1465"/>
      <c r="K61" s="1012"/>
      <c r="L61" s="1012"/>
      <c r="M61" s="1012"/>
      <c r="N61" s="1012"/>
      <c r="O61" s="939"/>
      <c r="P61" s="939"/>
      <c r="Q61" s="939"/>
      <c r="R61" s="939"/>
      <c r="T61" s="1471"/>
      <c r="U61" s="1499"/>
      <c r="W61" s="939"/>
      <c r="Z61" s="939"/>
      <c r="AA61" s="939"/>
      <c r="AB61" s="939"/>
    </row>
    <row r="62" spans="2:28" s="940" customFormat="1" ht="13.5">
      <c r="B62" s="1465"/>
      <c r="K62" s="1012"/>
      <c r="L62" s="1012"/>
      <c r="M62" s="1012"/>
      <c r="N62" s="1012"/>
      <c r="O62" s="939"/>
      <c r="P62" s="939"/>
      <c r="Q62" s="939"/>
      <c r="R62" s="939"/>
      <c r="T62" s="1471"/>
      <c r="U62" s="1499"/>
      <c r="W62" s="1802"/>
      <c r="X62" s="1803"/>
      <c r="Y62" s="1803"/>
      <c r="Z62" s="1802"/>
      <c r="AA62" s="1802"/>
      <c r="AB62" s="1802"/>
    </row>
    <row r="63" spans="2:28" s="940" customFormat="1" ht="13.5">
      <c r="B63" s="1465"/>
      <c r="K63" s="1012"/>
      <c r="L63" s="1012"/>
      <c r="M63" s="1012"/>
      <c r="N63" s="1012"/>
      <c r="O63" s="939"/>
      <c r="P63" s="939"/>
      <c r="Q63" s="939"/>
      <c r="R63" s="939"/>
      <c r="T63" s="1471"/>
      <c r="U63" s="1499"/>
      <c r="W63" s="939"/>
      <c r="Z63" s="939"/>
      <c r="AA63" s="939"/>
      <c r="AB63" s="939"/>
    </row>
    <row r="64" spans="2:28" s="940" customFormat="1" ht="13.5">
      <c r="B64" s="1465"/>
      <c r="K64" s="1012"/>
      <c r="L64" s="1012"/>
      <c r="M64" s="1012"/>
      <c r="N64" s="1012"/>
      <c r="O64" s="939"/>
      <c r="P64" s="939"/>
      <c r="Q64" s="939"/>
      <c r="R64" s="939"/>
      <c r="T64" s="1471"/>
      <c r="U64" s="1499"/>
      <c r="W64" s="1802"/>
      <c r="X64" s="1803"/>
      <c r="Y64" s="1803"/>
      <c r="Z64" s="1802"/>
      <c r="AA64" s="1802"/>
      <c r="AB64" s="1802"/>
    </row>
    <row r="65" spans="2:28" s="940" customFormat="1" ht="13.5">
      <c r="B65" s="1465"/>
      <c r="K65" s="1012"/>
      <c r="L65" s="1012"/>
      <c r="M65" s="1012"/>
      <c r="N65" s="1012"/>
      <c r="O65" s="939"/>
      <c r="P65" s="939"/>
      <c r="Q65" s="939"/>
      <c r="R65" s="939"/>
      <c r="T65" s="1471"/>
      <c r="U65" s="1499"/>
      <c r="W65" s="939"/>
      <c r="X65" s="938"/>
      <c r="Y65" s="939"/>
      <c r="AB65" s="948"/>
    </row>
    <row r="66" spans="2:28" s="940" customFormat="1" ht="13.5">
      <c r="B66" s="1465"/>
      <c r="K66" s="1012"/>
      <c r="L66" s="1012"/>
      <c r="M66" s="1012"/>
      <c r="N66" s="1012"/>
      <c r="O66" s="939"/>
      <c r="P66" s="939"/>
      <c r="Q66" s="939"/>
      <c r="R66" s="939"/>
      <c r="T66" s="1471"/>
      <c r="U66" s="1499"/>
      <c r="W66" s="1803"/>
      <c r="X66" s="1802"/>
      <c r="Y66" s="1802"/>
      <c r="Z66" s="1803"/>
      <c r="AA66" s="1803"/>
      <c r="AB66" s="1804"/>
    </row>
    <row r="67" spans="2:28" s="940" customFormat="1" ht="13.5">
      <c r="B67" s="1465"/>
      <c r="K67" s="1012"/>
      <c r="L67" s="1012"/>
      <c r="M67" s="1012"/>
      <c r="N67" s="1012"/>
      <c r="O67" s="939"/>
      <c r="P67" s="939"/>
      <c r="Q67" s="939"/>
      <c r="R67" s="939"/>
      <c r="T67" s="1471"/>
      <c r="U67" s="1499"/>
      <c r="W67" s="939"/>
      <c r="X67" s="939"/>
      <c r="Y67" s="939"/>
      <c r="AB67" s="948"/>
    </row>
    <row r="68" spans="2:28" s="940" customFormat="1" ht="13.5">
      <c r="B68" s="1465"/>
      <c r="K68" s="1012"/>
      <c r="L68" s="1012"/>
      <c r="M68" s="1012"/>
      <c r="N68" s="1012"/>
      <c r="O68" s="939"/>
      <c r="P68" s="939"/>
      <c r="Q68" s="939"/>
      <c r="R68" s="939"/>
      <c r="T68" s="1471"/>
      <c r="U68" s="1499"/>
      <c r="W68" s="1803"/>
      <c r="X68" s="1802"/>
      <c r="Y68" s="1802"/>
      <c r="Z68" s="1802"/>
      <c r="AA68" s="1802"/>
      <c r="AB68" s="1805"/>
    </row>
    <row r="69" spans="2:28" s="940" customFormat="1" ht="13.5">
      <c r="B69" s="1465"/>
      <c r="K69" s="1012"/>
      <c r="L69" s="1012"/>
      <c r="M69" s="1012"/>
      <c r="N69" s="1012"/>
      <c r="O69" s="939"/>
      <c r="P69" s="939"/>
      <c r="Q69" s="939"/>
      <c r="R69" s="939"/>
      <c r="T69" s="1471"/>
      <c r="U69" s="1499"/>
    </row>
    <row r="70" spans="2:28" s="940" customFormat="1" ht="13.5">
      <c r="B70" s="1465"/>
      <c r="E70" s="939"/>
      <c r="F70" s="939"/>
      <c r="G70" s="939"/>
      <c r="H70" s="939"/>
      <c r="I70" s="939"/>
      <c r="J70" s="1012"/>
      <c r="K70" s="1012"/>
      <c r="L70" s="1012"/>
      <c r="M70" s="1012"/>
      <c r="N70" s="1012"/>
      <c r="O70" s="939"/>
      <c r="P70" s="939"/>
      <c r="Q70" s="939"/>
      <c r="R70" s="939"/>
      <c r="T70" s="1471"/>
      <c r="U70" s="1499"/>
    </row>
    <row r="71" spans="2:28" s="940" customFormat="1" ht="13.5">
      <c r="B71" s="1465"/>
      <c r="D71" s="1045" t="s">
        <v>795</v>
      </c>
      <c r="F71" s="939"/>
      <c r="G71" s="939"/>
      <c r="H71" s="939"/>
      <c r="I71" s="939"/>
      <c r="J71" s="1012"/>
      <c r="K71" s="1012"/>
      <c r="L71" s="1012"/>
      <c r="M71" s="1012"/>
      <c r="N71" s="1012"/>
      <c r="O71" s="939"/>
      <c r="P71" s="939"/>
      <c r="Q71" s="939"/>
      <c r="R71" s="939"/>
      <c r="T71" s="1471"/>
      <c r="U71" s="1499"/>
    </row>
    <row r="72" spans="2:28" s="940" customFormat="1" ht="13.5">
      <c r="B72" s="1465"/>
      <c r="D72" s="1802"/>
      <c r="E72" s="1802"/>
      <c r="F72" s="1802"/>
      <c r="G72" s="1802"/>
      <c r="H72" s="1802"/>
      <c r="I72" s="1802"/>
      <c r="J72" s="1012"/>
      <c r="K72" s="1012"/>
      <c r="L72" s="1012"/>
      <c r="M72" s="1012"/>
      <c r="N72" s="1012"/>
      <c r="O72" s="939"/>
      <c r="P72" s="939"/>
      <c r="Q72" s="939"/>
      <c r="R72" s="939"/>
      <c r="T72" s="1471"/>
      <c r="U72" s="1499"/>
    </row>
    <row r="73" spans="2:28" s="940" customFormat="1" ht="13.5">
      <c r="B73" s="1465"/>
      <c r="D73" s="1802"/>
      <c r="E73" s="1802"/>
      <c r="F73" s="1802"/>
      <c r="G73" s="1802"/>
      <c r="H73" s="1802"/>
      <c r="I73" s="1802"/>
      <c r="J73" s="1012"/>
      <c r="K73" s="1012"/>
      <c r="L73" s="1012"/>
      <c r="M73" s="1012"/>
      <c r="N73" s="1012"/>
      <c r="O73" s="939"/>
      <c r="P73" s="939"/>
      <c r="Q73" s="939"/>
      <c r="R73" s="939"/>
      <c r="T73" s="1471"/>
      <c r="U73" s="1509"/>
    </row>
    <row r="74" spans="2:28" s="940" customFormat="1" ht="13.5">
      <c r="B74" s="1465"/>
      <c r="G74" s="939"/>
      <c r="H74" s="939"/>
      <c r="I74" s="939"/>
      <c r="J74" s="1012"/>
      <c r="K74" s="1012"/>
      <c r="L74" s="1012"/>
      <c r="M74" s="1012"/>
      <c r="N74" s="1012"/>
      <c r="O74" s="939"/>
      <c r="P74" s="939"/>
      <c r="Q74" s="939"/>
      <c r="R74" s="939"/>
      <c r="T74" s="1471"/>
      <c r="U74" s="1509"/>
    </row>
    <row r="75" spans="2:28" s="940" customFormat="1" ht="13.5">
      <c r="B75" s="1510"/>
      <c r="C75" s="1511"/>
      <c r="D75" s="1511"/>
      <c r="E75" s="1512"/>
      <c r="F75" s="1513"/>
      <c r="G75" s="1512"/>
      <c r="H75" s="1512"/>
      <c r="I75" s="1512"/>
      <c r="J75" s="1514"/>
      <c r="K75" s="1514"/>
      <c r="L75" s="1514"/>
      <c r="M75" s="1514"/>
      <c r="N75" s="1514"/>
      <c r="O75" s="1512"/>
      <c r="P75" s="1512"/>
      <c r="Q75" s="1512"/>
      <c r="R75" s="1512"/>
      <c r="S75" s="1511"/>
      <c r="T75" s="1515"/>
      <c r="U75" s="1509"/>
    </row>
    <row r="76" spans="2:28" s="940" customFormat="1" ht="13.5">
      <c r="H76" s="939"/>
      <c r="I76" s="939"/>
      <c r="J76" s="939"/>
      <c r="K76" s="1012"/>
      <c r="L76" s="1012"/>
      <c r="M76" s="1012"/>
      <c r="N76" s="1012"/>
      <c r="O76" s="939"/>
      <c r="P76" s="939"/>
      <c r="Q76" s="939"/>
      <c r="R76" s="939"/>
      <c r="U76" s="1500"/>
    </row>
    <row r="77" spans="2:28" s="940" customFormat="1" ht="13.5">
      <c r="H77" s="939"/>
      <c r="I77" s="939"/>
      <c r="J77" s="939"/>
      <c r="K77" s="1012"/>
      <c r="L77" s="1012"/>
      <c r="M77" s="1012"/>
      <c r="N77" s="1012"/>
      <c r="O77" s="939"/>
      <c r="P77" s="939"/>
      <c r="Q77" s="939"/>
      <c r="R77" s="939"/>
      <c r="U77" s="1500"/>
    </row>
    <row r="78" spans="2:28" s="940" customFormat="1" ht="13.5">
      <c r="H78" s="939"/>
      <c r="I78" s="939"/>
      <c r="J78" s="939"/>
      <c r="K78" s="1012"/>
      <c r="L78" s="1012"/>
      <c r="M78" s="1012"/>
      <c r="N78" s="1012"/>
      <c r="O78" s="939"/>
      <c r="P78" s="939"/>
      <c r="Q78" s="939"/>
      <c r="R78" s="939"/>
      <c r="U78" s="1500"/>
    </row>
    <row r="79" spans="2:28" s="940" customFormat="1" ht="13.5">
      <c r="H79" s="939"/>
      <c r="I79" s="939"/>
      <c r="J79" s="939"/>
      <c r="K79" s="1012"/>
      <c r="L79" s="1012"/>
      <c r="M79" s="1012"/>
      <c r="N79" s="1012"/>
      <c r="O79" s="939"/>
      <c r="P79" s="939"/>
      <c r="Q79" s="939"/>
      <c r="R79" s="939"/>
      <c r="U79" s="1500"/>
    </row>
    <row r="80" spans="2:28" s="940" customFormat="1" ht="13.5">
      <c r="H80" s="939"/>
      <c r="I80" s="939"/>
      <c r="J80" s="939"/>
      <c r="K80" s="1012"/>
      <c r="L80" s="1012"/>
      <c r="M80" s="1012"/>
      <c r="N80" s="1012"/>
      <c r="O80" s="939"/>
      <c r="P80" s="939"/>
      <c r="Q80" s="939"/>
      <c r="R80" s="939"/>
    </row>
    <row r="81" spans="8:42" s="940" customFormat="1" ht="13.5">
      <c r="H81" s="939"/>
      <c r="I81" s="939"/>
      <c r="J81" s="939"/>
      <c r="K81" s="1012"/>
      <c r="L81" s="1012"/>
      <c r="M81" s="1012"/>
      <c r="N81" s="1012"/>
      <c r="O81" s="939"/>
      <c r="P81" s="939"/>
      <c r="Q81" s="939"/>
      <c r="R81" s="939"/>
    </row>
    <row r="82" spans="8:42" s="940" customFormat="1" ht="13.5">
      <c r="H82" s="939"/>
      <c r="I82" s="939"/>
      <c r="J82" s="939"/>
      <c r="K82" s="1012"/>
      <c r="L82" s="1012"/>
      <c r="M82" s="1012"/>
      <c r="N82" s="1012"/>
      <c r="O82" s="939"/>
      <c r="P82" s="939"/>
      <c r="Q82" s="939"/>
      <c r="R82" s="939"/>
    </row>
    <row r="83" spans="8:42" s="940" customFormat="1" ht="13.5">
      <c r="H83" s="939"/>
      <c r="I83" s="939"/>
      <c r="J83" s="939"/>
      <c r="K83" s="1012"/>
      <c r="L83" s="1012"/>
      <c r="M83" s="1012"/>
      <c r="N83" s="1012"/>
      <c r="O83" s="939"/>
      <c r="P83" s="939"/>
      <c r="Q83" s="939"/>
      <c r="R83" s="939"/>
    </row>
    <row r="84" spans="8:42" s="940" customFormat="1" ht="13.5">
      <c r="H84" s="939"/>
      <c r="I84" s="939"/>
      <c r="J84" s="939"/>
      <c r="K84" s="1012"/>
      <c r="L84" s="1012"/>
      <c r="M84" s="1012"/>
      <c r="N84" s="1012"/>
      <c r="O84" s="939"/>
      <c r="P84" s="939"/>
      <c r="Q84" s="939"/>
      <c r="R84" s="939"/>
    </row>
    <row r="85" spans="8:42" s="948" customFormat="1" ht="13.5">
      <c r="H85" s="939"/>
      <c r="I85" s="939"/>
      <c r="J85" s="939"/>
      <c r="K85" s="1012"/>
      <c r="L85" s="1012"/>
      <c r="M85" s="1012"/>
      <c r="N85" s="1012"/>
      <c r="O85" s="939"/>
      <c r="P85" s="939"/>
      <c r="Q85" s="939"/>
      <c r="R85" s="939"/>
      <c r="S85" s="940"/>
      <c r="T85" s="940"/>
      <c r="U85" s="940"/>
      <c r="V85" s="940"/>
      <c r="W85" s="940"/>
      <c r="X85" s="940"/>
      <c r="Y85" s="940"/>
      <c r="Z85" s="940"/>
      <c r="AA85" s="940"/>
      <c r="AB85" s="940"/>
      <c r="AC85" s="940"/>
      <c r="AD85" s="940"/>
      <c r="AE85" s="940"/>
      <c r="AF85" s="940"/>
      <c r="AG85" s="940"/>
      <c r="AH85" s="940"/>
      <c r="AI85" s="940"/>
      <c r="AJ85" s="940"/>
      <c r="AK85" s="940"/>
      <c r="AL85" s="940"/>
      <c r="AM85" s="940"/>
      <c r="AN85" s="940"/>
      <c r="AO85" s="940"/>
      <c r="AP85" s="940"/>
    </row>
    <row r="86" spans="8:42" s="948" customFormat="1" ht="13.5">
      <c r="H86" s="939"/>
      <c r="I86" s="939"/>
      <c r="J86" s="939"/>
      <c r="K86" s="1012"/>
      <c r="L86" s="1012"/>
      <c r="M86" s="1012"/>
      <c r="N86" s="1012"/>
      <c r="O86" s="939"/>
      <c r="P86" s="939"/>
      <c r="Q86" s="939"/>
      <c r="R86" s="939"/>
      <c r="S86" s="940"/>
      <c r="T86" s="940"/>
      <c r="U86" s="940"/>
      <c r="V86" s="940"/>
      <c r="W86" s="940"/>
      <c r="X86" s="940"/>
      <c r="Y86" s="940"/>
      <c r="Z86" s="940"/>
      <c r="AA86" s="940"/>
      <c r="AB86" s="940"/>
      <c r="AC86" s="940"/>
      <c r="AD86" s="940"/>
      <c r="AE86" s="940"/>
      <c r="AF86" s="940"/>
      <c r="AG86" s="940"/>
      <c r="AH86" s="940"/>
      <c r="AI86" s="940"/>
      <c r="AJ86" s="940"/>
      <c r="AK86" s="940"/>
      <c r="AL86" s="940"/>
      <c r="AM86" s="940"/>
      <c r="AN86" s="940"/>
      <c r="AO86" s="940"/>
      <c r="AP86" s="940"/>
    </row>
    <row r="87" spans="8:42" s="948" customFormat="1" ht="13.5">
      <c r="H87" s="939"/>
      <c r="I87" s="939"/>
      <c r="J87" s="939"/>
      <c r="K87" s="1012"/>
      <c r="L87" s="1012"/>
      <c r="M87" s="1012"/>
      <c r="N87" s="1012"/>
      <c r="O87" s="939"/>
      <c r="P87" s="939"/>
      <c r="Q87" s="939"/>
      <c r="R87" s="939"/>
      <c r="S87" s="940"/>
      <c r="T87" s="940"/>
      <c r="U87" s="940"/>
      <c r="V87" s="940"/>
      <c r="W87" s="940"/>
      <c r="X87" s="940"/>
      <c r="Y87" s="940"/>
      <c r="Z87" s="940"/>
      <c r="AA87" s="940"/>
      <c r="AB87" s="940"/>
      <c r="AC87" s="940"/>
      <c r="AD87" s="940"/>
      <c r="AE87" s="940"/>
      <c r="AF87" s="940"/>
      <c r="AG87" s="940"/>
      <c r="AH87" s="940"/>
      <c r="AI87" s="940"/>
      <c r="AJ87" s="940"/>
      <c r="AK87" s="940"/>
      <c r="AL87" s="940"/>
      <c r="AM87" s="940"/>
      <c r="AN87" s="940"/>
      <c r="AO87" s="940"/>
      <c r="AP87" s="940"/>
    </row>
    <row r="88" spans="8:42" s="948" customFormat="1" ht="13.5">
      <c r="H88" s="939"/>
      <c r="I88" s="939"/>
      <c r="J88" s="939"/>
      <c r="K88" s="1012"/>
      <c r="L88" s="1012"/>
      <c r="M88" s="1012"/>
      <c r="N88" s="1012"/>
      <c r="O88" s="939"/>
      <c r="P88" s="939"/>
      <c r="Q88" s="939"/>
      <c r="R88" s="939"/>
      <c r="S88" s="940"/>
      <c r="T88" s="940"/>
      <c r="U88" s="940"/>
      <c r="V88" s="940"/>
      <c r="W88" s="940"/>
      <c r="X88" s="940"/>
      <c r="Y88" s="940"/>
      <c r="Z88" s="940"/>
      <c r="AA88" s="940"/>
      <c r="AB88" s="940"/>
      <c r="AC88" s="940"/>
      <c r="AD88" s="940"/>
      <c r="AE88" s="940"/>
      <c r="AF88" s="940"/>
      <c r="AG88" s="940"/>
      <c r="AH88" s="940"/>
      <c r="AI88" s="940"/>
      <c r="AJ88" s="940"/>
      <c r="AK88" s="940"/>
      <c r="AL88" s="940"/>
      <c r="AM88" s="940"/>
      <c r="AN88" s="940"/>
      <c r="AO88" s="940"/>
      <c r="AP88" s="940"/>
    </row>
    <row r="89" spans="8:42" s="948" customFormat="1" ht="13.5">
      <c r="H89" s="939"/>
      <c r="I89" s="939"/>
      <c r="J89" s="939"/>
      <c r="K89" s="1012"/>
      <c r="L89" s="1012"/>
      <c r="M89" s="1012"/>
      <c r="N89" s="1012"/>
      <c r="O89" s="939"/>
      <c r="P89" s="939"/>
      <c r="Q89" s="939"/>
      <c r="R89" s="1012"/>
      <c r="S89" s="940"/>
      <c r="T89" s="940"/>
      <c r="U89" s="940"/>
      <c r="V89" s="940"/>
      <c r="W89" s="940"/>
      <c r="X89" s="940"/>
      <c r="Y89" s="940"/>
      <c r="Z89" s="940"/>
      <c r="AA89" s="940"/>
      <c r="AB89" s="940"/>
      <c r="AC89" s="940"/>
      <c r="AD89" s="940"/>
      <c r="AE89" s="940"/>
      <c r="AF89" s="940"/>
      <c r="AG89" s="940"/>
      <c r="AH89" s="940"/>
      <c r="AI89" s="940"/>
      <c r="AJ89" s="940"/>
      <c r="AK89" s="940"/>
      <c r="AL89" s="940"/>
      <c r="AM89" s="940"/>
      <c r="AN89" s="940"/>
      <c r="AO89" s="940"/>
      <c r="AP89" s="940"/>
    </row>
    <row r="90" spans="8:42" s="948" customFormat="1" ht="13.5">
      <c r="H90" s="939"/>
      <c r="I90" s="939"/>
      <c r="J90" s="939"/>
      <c r="K90" s="1012"/>
      <c r="L90" s="1012"/>
      <c r="M90" s="1012"/>
      <c r="N90" s="1012"/>
      <c r="O90" s="939"/>
      <c r="P90" s="939"/>
      <c r="Q90" s="939"/>
      <c r="R90" s="939"/>
      <c r="S90" s="940"/>
      <c r="T90" s="940"/>
      <c r="U90" s="940"/>
      <c r="V90" s="940"/>
      <c r="W90" s="940"/>
      <c r="X90" s="940"/>
      <c r="Y90" s="940"/>
      <c r="Z90" s="940"/>
      <c r="AA90" s="940"/>
      <c r="AB90" s="940"/>
      <c r="AC90" s="940"/>
      <c r="AD90" s="940"/>
      <c r="AE90" s="940"/>
      <c r="AF90" s="940"/>
      <c r="AG90" s="940"/>
      <c r="AH90" s="940"/>
      <c r="AI90" s="940"/>
      <c r="AJ90" s="940"/>
      <c r="AK90" s="940"/>
      <c r="AL90" s="940"/>
      <c r="AM90" s="940"/>
      <c r="AN90" s="940"/>
      <c r="AO90" s="940"/>
      <c r="AP90" s="940"/>
    </row>
    <row r="91" spans="8:42" s="948" customFormat="1" ht="13.5">
      <c r="H91" s="939"/>
      <c r="I91" s="939"/>
      <c r="J91" s="939"/>
      <c r="K91" s="1012"/>
      <c r="L91" s="1012"/>
      <c r="M91" s="1012"/>
      <c r="N91" s="1012"/>
      <c r="O91" s="939"/>
      <c r="P91" s="939"/>
      <c r="Q91" s="939"/>
      <c r="R91" s="939"/>
      <c r="S91" s="940"/>
      <c r="T91" s="940"/>
      <c r="U91" s="940"/>
      <c r="V91" s="940"/>
      <c r="W91" s="940"/>
      <c r="X91" s="940"/>
      <c r="Y91" s="940"/>
      <c r="Z91" s="940"/>
      <c r="AA91" s="940"/>
      <c r="AB91" s="940"/>
      <c r="AC91" s="940"/>
      <c r="AD91" s="940"/>
      <c r="AE91" s="940"/>
      <c r="AF91" s="940"/>
      <c r="AG91" s="940"/>
      <c r="AH91" s="940"/>
      <c r="AI91" s="940"/>
      <c r="AJ91" s="940"/>
      <c r="AK91" s="940"/>
      <c r="AL91" s="940"/>
      <c r="AM91" s="940"/>
      <c r="AN91" s="940"/>
      <c r="AO91" s="940"/>
      <c r="AP91" s="940"/>
    </row>
    <row r="92" spans="8:42" s="948" customFormat="1" ht="13.5">
      <c r="H92" s="939"/>
      <c r="I92" s="939"/>
      <c r="J92" s="939"/>
      <c r="K92" s="1012"/>
      <c r="L92" s="1012"/>
      <c r="M92" s="1012"/>
      <c r="N92" s="1012"/>
      <c r="O92" s="939"/>
      <c r="P92" s="939"/>
      <c r="Q92" s="939"/>
      <c r="R92" s="939"/>
      <c r="S92" s="940"/>
      <c r="T92" s="940"/>
      <c r="U92" s="940"/>
      <c r="V92" s="940"/>
      <c r="W92" s="940"/>
      <c r="X92" s="940"/>
      <c r="Y92" s="940"/>
      <c r="Z92" s="940"/>
      <c r="AA92" s="940"/>
      <c r="AB92" s="940"/>
      <c r="AC92" s="940"/>
      <c r="AD92" s="940"/>
      <c r="AE92" s="940"/>
      <c r="AF92" s="940"/>
      <c r="AG92" s="940"/>
      <c r="AH92" s="940"/>
      <c r="AI92" s="940"/>
      <c r="AJ92" s="940"/>
      <c r="AK92" s="940"/>
      <c r="AL92" s="940"/>
      <c r="AM92" s="940"/>
      <c r="AN92" s="940"/>
      <c r="AO92" s="940"/>
      <c r="AP92" s="940"/>
    </row>
    <row r="93" spans="8:42" s="940" customFormat="1" ht="13.5">
      <c r="K93" s="948"/>
      <c r="L93" s="948"/>
      <c r="M93" s="948"/>
      <c r="N93" s="948"/>
    </row>
    <row r="94" spans="8:42" s="940" customFormat="1" ht="13.5">
      <c r="K94" s="948"/>
      <c r="L94" s="948"/>
      <c r="M94" s="948"/>
      <c r="N94" s="948"/>
    </row>
    <row r="95" spans="8:42" s="948" customFormat="1" ht="13.5">
      <c r="H95" s="940"/>
      <c r="I95" s="967"/>
      <c r="J95" s="967"/>
      <c r="K95" s="960"/>
      <c r="L95" s="960"/>
      <c r="M95" s="960"/>
      <c r="N95" s="960"/>
      <c r="O95" s="960"/>
      <c r="P95" s="940"/>
      <c r="Q95" s="940"/>
      <c r="R95" s="940"/>
      <c r="S95" s="940"/>
      <c r="T95" s="940"/>
      <c r="U95" s="940"/>
      <c r="V95" s="940"/>
      <c r="W95" s="940"/>
      <c r="X95" s="940"/>
      <c r="Y95" s="940"/>
      <c r="Z95" s="940"/>
      <c r="AA95" s="940"/>
      <c r="AB95" s="940"/>
      <c r="AC95" s="940"/>
      <c r="AD95" s="940"/>
      <c r="AE95" s="940"/>
      <c r="AF95" s="940"/>
      <c r="AG95" s="940"/>
      <c r="AH95" s="940"/>
      <c r="AI95" s="940"/>
      <c r="AJ95" s="940"/>
      <c r="AK95" s="940"/>
      <c r="AL95" s="940"/>
      <c r="AM95" s="940"/>
      <c r="AN95" s="940"/>
      <c r="AO95" s="940"/>
      <c r="AP95" s="940"/>
    </row>
    <row r="96" spans="8:42" s="948" customFormat="1" ht="13.5">
      <c r="H96" s="940"/>
      <c r="I96" s="967"/>
      <c r="J96" s="967"/>
      <c r="K96" s="960"/>
      <c r="L96" s="960"/>
      <c r="M96" s="960"/>
      <c r="N96" s="961"/>
      <c r="O96" s="1015"/>
      <c r="P96" s="940"/>
      <c r="Q96" s="940"/>
      <c r="R96" s="940"/>
      <c r="S96" s="940"/>
      <c r="T96" s="940"/>
      <c r="U96" s="940"/>
      <c r="V96" s="940"/>
      <c r="W96" s="940"/>
      <c r="X96" s="940"/>
      <c r="Y96" s="940"/>
      <c r="Z96" s="940"/>
      <c r="AA96" s="940"/>
      <c r="AB96" s="940"/>
      <c r="AC96" s="940"/>
      <c r="AD96" s="940"/>
      <c r="AE96" s="940"/>
      <c r="AF96" s="940"/>
      <c r="AG96" s="940"/>
      <c r="AH96" s="940"/>
      <c r="AI96" s="940"/>
      <c r="AJ96" s="940"/>
      <c r="AK96" s="940"/>
      <c r="AL96" s="940"/>
      <c r="AM96" s="940"/>
      <c r="AN96" s="940"/>
      <c r="AO96" s="940"/>
      <c r="AP96" s="940"/>
    </row>
    <row r="97" spans="8:42" s="948" customFormat="1" ht="13.5">
      <c r="H97" s="940"/>
      <c r="I97" s="967"/>
      <c r="J97" s="967"/>
      <c r="K97" s="960"/>
      <c r="L97" s="960"/>
      <c r="M97" s="960"/>
      <c r="N97" s="961"/>
      <c r="O97" s="1015"/>
      <c r="P97" s="940"/>
      <c r="Q97" s="940"/>
      <c r="R97" s="940"/>
      <c r="S97" s="940"/>
      <c r="T97" s="940"/>
      <c r="U97" s="940"/>
      <c r="V97" s="940"/>
      <c r="W97" s="940"/>
      <c r="X97" s="940"/>
      <c r="Y97" s="940"/>
      <c r="Z97" s="940"/>
      <c r="AA97" s="940"/>
      <c r="AB97" s="940"/>
      <c r="AC97" s="940"/>
      <c r="AD97" s="940"/>
      <c r="AE97" s="940"/>
      <c r="AF97" s="940"/>
      <c r="AG97" s="940"/>
      <c r="AH97" s="940"/>
      <c r="AI97" s="940"/>
      <c r="AJ97" s="940"/>
      <c r="AK97" s="940"/>
      <c r="AL97" s="940"/>
      <c r="AM97" s="940"/>
      <c r="AN97" s="940"/>
      <c r="AO97" s="940"/>
      <c r="AP97" s="940"/>
    </row>
    <row r="98" spans="8:42" s="948" customFormat="1" ht="13.5">
      <c r="H98" s="940"/>
      <c r="I98" s="967"/>
      <c r="J98" s="967"/>
      <c r="K98" s="960"/>
      <c r="L98" s="960"/>
      <c r="M98" s="960"/>
      <c r="N98" s="961"/>
      <c r="O98" s="1015"/>
      <c r="P98" s="940"/>
      <c r="Q98" s="940"/>
      <c r="R98" s="940"/>
      <c r="S98" s="940"/>
      <c r="T98" s="940"/>
      <c r="U98" s="940"/>
      <c r="V98" s="940"/>
      <c r="W98" s="940"/>
      <c r="X98" s="940"/>
      <c r="Y98" s="940"/>
      <c r="Z98" s="940"/>
      <c r="AA98" s="940"/>
      <c r="AB98" s="940"/>
      <c r="AC98" s="940"/>
      <c r="AD98" s="940"/>
      <c r="AE98" s="940"/>
      <c r="AF98" s="940"/>
      <c r="AG98" s="940"/>
      <c r="AH98" s="940"/>
      <c r="AI98" s="940"/>
      <c r="AJ98" s="940"/>
      <c r="AK98" s="940"/>
      <c r="AL98" s="940"/>
      <c r="AM98" s="940"/>
      <c r="AN98" s="940"/>
      <c r="AO98" s="940"/>
      <c r="AP98" s="940"/>
    </row>
    <row r="99" spans="8:42" s="948" customFormat="1" ht="13.5">
      <c r="H99" s="940"/>
      <c r="I99" s="967"/>
      <c r="J99" s="967"/>
      <c r="K99" s="960"/>
      <c r="L99" s="960"/>
      <c r="M99" s="960"/>
      <c r="N99" s="961"/>
      <c r="O99" s="1015"/>
      <c r="P99" s="940"/>
      <c r="Q99" s="940"/>
      <c r="R99" s="940"/>
      <c r="S99" s="940"/>
      <c r="T99" s="940"/>
      <c r="U99" s="940"/>
      <c r="V99" s="940"/>
      <c r="W99" s="940"/>
      <c r="X99" s="940"/>
      <c r="Y99" s="940"/>
      <c r="Z99" s="940"/>
      <c r="AA99" s="940"/>
      <c r="AB99" s="940"/>
      <c r="AC99" s="940"/>
      <c r="AD99" s="940"/>
      <c r="AE99" s="940"/>
      <c r="AF99" s="940"/>
      <c r="AG99" s="940"/>
      <c r="AH99" s="940"/>
      <c r="AI99" s="940"/>
      <c r="AJ99" s="940"/>
      <c r="AK99" s="940"/>
      <c r="AL99" s="940"/>
      <c r="AM99" s="940"/>
      <c r="AN99" s="940"/>
      <c r="AO99" s="940"/>
      <c r="AP99" s="940"/>
    </row>
    <row r="100" spans="8:42" s="948" customFormat="1" ht="13.5">
      <c r="H100" s="940"/>
      <c r="I100" s="1016"/>
      <c r="J100" s="967"/>
      <c r="K100" s="960"/>
      <c r="L100" s="960"/>
      <c r="M100" s="960"/>
      <c r="N100" s="1017"/>
      <c r="O100" s="1018"/>
      <c r="P100" s="940"/>
      <c r="Q100" s="940"/>
      <c r="R100" s="940"/>
      <c r="S100" s="940"/>
      <c r="T100" s="940"/>
      <c r="U100" s="940"/>
      <c r="V100" s="940"/>
      <c r="W100" s="940"/>
      <c r="X100" s="940"/>
      <c r="Y100" s="940"/>
      <c r="Z100" s="940"/>
      <c r="AA100" s="940"/>
      <c r="AB100" s="940"/>
      <c r="AC100" s="940"/>
      <c r="AD100" s="940"/>
      <c r="AE100" s="940"/>
      <c r="AF100" s="940"/>
      <c r="AG100" s="940"/>
      <c r="AH100" s="940"/>
      <c r="AI100" s="940"/>
      <c r="AJ100" s="940"/>
      <c r="AK100" s="940"/>
      <c r="AL100" s="940"/>
      <c r="AM100" s="940"/>
      <c r="AN100" s="940"/>
      <c r="AO100" s="940"/>
      <c r="AP100" s="940"/>
    </row>
    <row r="101" spans="8:42" s="940" customFormat="1" ht="13.5">
      <c r="I101" s="1016"/>
      <c r="J101" s="967"/>
      <c r="K101" s="960"/>
      <c r="L101" s="960"/>
      <c r="M101" s="960"/>
      <c r="N101" s="961"/>
      <c r="O101" s="1015"/>
    </row>
    <row r="102" spans="8:42" s="940" customFormat="1" ht="13.5">
      <c r="I102" s="1016"/>
      <c r="J102" s="967"/>
      <c r="K102" s="960"/>
      <c r="L102" s="960"/>
      <c r="M102" s="960"/>
      <c r="N102" s="961"/>
      <c r="O102" s="1015"/>
    </row>
    <row r="103" spans="8:42" s="940" customFormat="1" ht="13.5">
      <c r="I103" s="1019"/>
      <c r="J103" s="960"/>
      <c r="K103" s="960"/>
      <c r="L103" s="960"/>
      <c r="M103" s="960"/>
      <c r="N103" s="961"/>
      <c r="O103" s="1015"/>
    </row>
    <row r="104" spans="8:42" s="940" customFormat="1" ht="13.5">
      <c r="I104" s="1019"/>
      <c r="J104" s="960"/>
      <c r="K104" s="960"/>
      <c r="L104" s="960"/>
      <c r="M104" s="960"/>
      <c r="N104" s="961"/>
      <c r="O104" s="1015"/>
    </row>
    <row r="105" spans="8:42" s="940" customFormat="1" ht="13.5">
      <c r="I105" s="1019"/>
      <c r="J105" s="960"/>
      <c r="K105" s="960"/>
      <c r="L105" s="960"/>
      <c r="M105" s="960"/>
      <c r="N105" s="960"/>
      <c r="O105" s="967"/>
    </row>
    <row r="106" spans="8:42" s="940" customFormat="1" ht="13.5">
      <c r="I106" s="967"/>
      <c r="J106" s="967"/>
      <c r="K106" s="960"/>
      <c r="L106" s="960"/>
      <c r="M106" s="960"/>
      <c r="N106" s="960"/>
      <c r="O106" s="967"/>
    </row>
    <row r="107" spans="8:42" s="940" customFormat="1" ht="13.5">
      <c r="I107" s="967"/>
      <c r="J107" s="967"/>
      <c r="K107" s="960"/>
      <c r="L107" s="960"/>
      <c r="M107" s="960"/>
      <c r="N107" s="960"/>
      <c r="O107" s="1020"/>
    </row>
    <row r="108" spans="8:42" s="940" customFormat="1" ht="13.5">
      <c r="I108" s="960"/>
      <c r="J108" s="960"/>
      <c r="K108" s="1516"/>
      <c r="L108" s="960"/>
      <c r="M108" s="960"/>
      <c r="N108" s="948"/>
      <c r="O108" s="1517"/>
    </row>
    <row r="109" spans="8:42" s="940" customFormat="1" ht="13.5">
      <c r="I109" s="960"/>
      <c r="J109" s="960"/>
      <c r="K109" s="960"/>
      <c r="L109" s="960"/>
      <c r="M109" s="960"/>
      <c r="N109" s="960"/>
      <c r="O109" s="1517"/>
    </row>
    <row r="110" spans="8:42" s="940" customFormat="1" ht="13.5">
      <c r="I110" s="967"/>
      <c r="J110" s="967"/>
      <c r="K110" s="960"/>
      <c r="L110" s="960"/>
      <c r="M110" s="960"/>
      <c r="N110" s="960"/>
      <c r="O110" s="1517"/>
    </row>
    <row r="111" spans="8:42" s="940" customFormat="1" ht="13.5">
      <c r="K111" s="948"/>
      <c r="L111" s="948"/>
      <c r="M111" s="948"/>
      <c r="N111" s="948"/>
    </row>
    <row r="112" spans="8:42" s="940" customFormat="1" ht="13.5">
      <c r="K112" s="948"/>
      <c r="L112" s="948"/>
      <c r="M112" s="948"/>
      <c r="N112" s="948"/>
    </row>
    <row r="113" spans="11:14" s="940" customFormat="1" ht="13.5">
      <c r="K113" s="948"/>
      <c r="L113" s="948"/>
      <c r="M113" s="948"/>
      <c r="N113" s="948"/>
    </row>
    <row r="114" spans="11:14" s="940" customFormat="1" ht="13.5">
      <c r="K114" s="948"/>
      <c r="L114" s="948"/>
      <c r="M114" s="948"/>
      <c r="N114" s="948"/>
    </row>
    <row r="115" spans="11:14" s="940" customFormat="1" ht="13.5">
      <c r="K115" s="948"/>
      <c r="L115" s="948"/>
      <c r="M115" s="948"/>
      <c r="N115" s="948"/>
    </row>
    <row r="116" spans="11:14" s="940" customFormat="1" ht="13.5">
      <c r="K116" s="948"/>
      <c r="L116" s="948"/>
      <c r="M116" s="948"/>
      <c r="N116" s="948"/>
    </row>
    <row r="117" spans="11:14" s="940" customFormat="1" ht="13.5">
      <c r="K117" s="948"/>
      <c r="L117" s="948"/>
      <c r="M117" s="948"/>
      <c r="N117" s="948"/>
    </row>
  </sheetData>
  <mergeCells count="82">
    <mergeCell ref="H16:M16"/>
    <mergeCell ref="C9:S9"/>
    <mergeCell ref="C10:S10"/>
    <mergeCell ref="Q11:R11"/>
    <mergeCell ref="H12:M12"/>
    <mergeCell ref="H13:M13"/>
    <mergeCell ref="F3:S3"/>
    <mergeCell ref="F4:S4"/>
    <mergeCell ref="F5:S5"/>
    <mergeCell ref="F6:S6"/>
    <mergeCell ref="F7:S7"/>
    <mergeCell ref="H17:M17"/>
    <mergeCell ref="H18:M18"/>
    <mergeCell ref="H19:M19"/>
    <mergeCell ref="Q12:S12"/>
    <mergeCell ref="E37:G37"/>
    <mergeCell ref="E35:G36"/>
    <mergeCell ref="H35:I36"/>
    <mergeCell ref="M35:M36"/>
    <mergeCell ref="N35:N36"/>
    <mergeCell ref="P35:Q36"/>
    <mergeCell ref="Q13:S13"/>
    <mergeCell ref="Q14:S14"/>
    <mergeCell ref="Q15:S15"/>
    <mergeCell ref="Q16:S16"/>
    <mergeCell ref="H14:M14"/>
    <mergeCell ref="H15:M15"/>
    <mergeCell ref="E38:G38"/>
    <mergeCell ref="H38:I38"/>
    <mergeCell ref="P38:Q38"/>
    <mergeCell ref="E39:G39"/>
    <mergeCell ref="H39:I39"/>
    <mergeCell ref="P39:Q39"/>
    <mergeCell ref="E40:G40"/>
    <mergeCell ref="H40:I40"/>
    <mergeCell ref="P40:Q40"/>
    <mergeCell ref="E41:G41"/>
    <mergeCell ref="H41:I41"/>
    <mergeCell ref="P41:Q41"/>
    <mergeCell ref="E42:G42"/>
    <mergeCell ref="H42:I42"/>
    <mergeCell ref="P42:Q42"/>
    <mergeCell ref="E43:G43"/>
    <mergeCell ref="H43:I43"/>
    <mergeCell ref="P43:Q43"/>
    <mergeCell ref="E44:G44"/>
    <mergeCell ref="H44:I44"/>
    <mergeCell ref="P44:Q44"/>
    <mergeCell ref="E45:G45"/>
    <mergeCell ref="H45:I45"/>
    <mergeCell ref="P45:Q45"/>
    <mergeCell ref="E46:G46"/>
    <mergeCell ref="H46:I46"/>
    <mergeCell ref="P46:Q46"/>
    <mergeCell ref="E47:G47"/>
    <mergeCell ref="H47:I47"/>
    <mergeCell ref="P47:Q47"/>
    <mergeCell ref="E48:G48"/>
    <mergeCell ref="H48:I48"/>
    <mergeCell ref="P48:Q48"/>
    <mergeCell ref="E49:G49"/>
    <mergeCell ref="H49:I49"/>
    <mergeCell ref="P49:Q49"/>
    <mergeCell ref="E50:G50"/>
    <mergeCell ref="H50:I50"/>
    <mergeCell ref="P50:Q50"/>
    <mergeCell ref="E51:G51"/>
    <mergeCell ref="H51:I51"/>
    <mergeCell ref="P51:Q51"/>
    <mergeCell ref="E52:G52"/>
    <mergeCell ref="H52:I52"/>
    <mergeCell ref="P52:Q52"/>
    <mergeCell ref="E53:G53"/>
    <mergeCell ref="H53:I53"/>
    <mergeCell ref="P53:Q53"/>
    <mergeCell ref="C59:D59"/>
    <mergeCell ref="E54:G54"/>
    <mergeCell ref="H54:I54"/>
    <mergeCell ref="P54:Q54"/>
    <mergeCell ref="C56:D56"/>
    <mergeCell ref="C57:D57"/>
    <mergeCell ref="C58:D58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8" orientation="portrait" r:id="rId1"/>
  <headerFooter>
    <oddFooter>&amp;R&amp;"Aptos,Regular"&amp;10Page 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F4040-338B-4A9E-ACE6-1786759E8F0E}">
  <sheetPr>
    <tabColor theme="1"/>
    <pageSetUpPr fitToPage="1"/>
  </sheetPr>
  <dimension ref="A2:AP230"/>
  <sheetViews>
    <sheetView showGridLines="0" topLeftCell="A19" zoomScale="110" zoomScaleNormal="110" zoomScaleSheetLayoutView="94" workbookViewId="0">
      <selection activeCell="P31" sqref="P31:P32"/>
    </sheetView>
  </sheetViews>
  <sheetFormatPr defaultColWidth="8" defaultRowHeight="13.5"/>
  <cols>
    <col min="1" max="1" width="4.125" style="1661" customWidth="1"/>
    <col min="2" max="2" width="7.875" style="1661" customWidth="1"/>
    <col min="3" max="3" width="1.75" style="1661" customWidth="1"/>
    <col min="4" max="4" width="11.125" style="1661" customWidth="1"/>
    <col min="5" max="12" width="8.5" style="1661" customWidth="1"/>
    <col min="13" max="13" width="1.5" style="1661" customWidth="1"/>
    <col min="14" max="14" width="8" style="1661"/>
    <col min="15" max="15" width="8.5" style="1661" customWidth="1"/>
    <col min="16" max="16" width="7.875" style="1661" customWidth="1"/>
    <col min="17" max="17" width="4.125" style="1661" customWidth="1"/>
    <col min="18" max="19" width="7.75" style="1568" customWidth="1"/>
    <col min="20" max="256" width="8" style="1661"/>
    <col min="257" max="257" width="4.125" style="1661" customWidth="1"/>
    <col min="258" max="258" width="7.875" style="1661" customWidth="1"/>
    <col min="259" max="259" width="1.75" style="1661" customWidth="1"/>
    <col min="260" max="260" width="11.125" style="1661" customWidth="1"/>
    <col min="261" max="268" width="8.5" style="1661" customWidth="1"/>
    <col min="269" max="269" width="1.5" style="1661" customWidth="1"/>
    <col min="270" max="270" width="8" style="1661"/>
    <col min="271" max="271" width="8.5" style="1661" customWidth="1"/>
    <col min="272" max="272" width="7.875" style="1661" customWidth="1"/>
    <col min="273" max="273" width="4.125" style="1661" customWidth="1"/>
    <col min="274" max="275" width="7.75" style="1661" customWidth="1"/>
    <col min="276" max="512" width="8" style="1661"/>
    <col min="513" max="513" width="4.125" style="1661" customWidth="1"/>
    <col min="514" max="514" width="7.875" style="1661" customWidth="1"/>
    <col min="515" max="515" width="1.75" style="1661" customWidth="1"/>
    <col min="516" max="516" width="11.125" style="1661" customWidth="1"/>
    <col min="517" max="524" width="8.5" style="1661" customWidth="1"/>
    <col min="525" max="525" width="1.5" style="1661" customWidth="1"/>
    <col min="526" max="526" width="8" style="1661"/>
    <col min="527" max="527" width="8.5" style="1661" customWidth="1"/>
    <col min="528" max="528" width="7.875" style="1661" customWidth="1"/>
    <col min="529" max="529" width="4.125" style="1661" customWidth="1"/>
    <col min="530" max="531" width="7.75" style="1661" customWidth="1"/>
    <col min="532" max="768" width="8" style="1661"/>
    <col min="769" max="769" width="4.125" style="1661" customWidth="1"/>
    <col min="770" max="770" width="7.875" style="1661" customWidth="1"/>
    <col min="771" max="771" width="1.75" style="1661" customWidth="1"/>
    <col min="772" max="772" width="11.125" style="1661" customWidth="1"/>
    <col min="773" max="780" width="8.5" style="1661" customWidth="1"/>
    <col min="781" max="781" width="1.5" style="1661" customWidth="1"/>
    <col min="782" max="782" width="8" style="1661"/>
    <col min="783" max="783" width="8.5" style="1661" customWidth="1"/>
    <col min="784" max="784" width="7.875" style="1661" customWidth="1"/>
    <col min="785" max="785" width="4.125" style="1661" customWidth="1"/>
    <col min="786" max="787" width="7.75" style="1661" customWidth="1"/>
    <col min="788" max="1024" width="8" style="1661"/>
    <col min="1025" max="1025" width="4.125" style="1661" customWidth="1"/>
    <col min="1026" max="1026" width="7.875" style="1661" customWidth="1"/>
    <col min="1027" max="1027" width="1.75" style="1661" customWidth="1"/>
    <col min="1028" max="1028" width="11.125" style="1661" customWidth="1"/>
    <col min="1029" max="1036" width="8.5" style="1661" customWidth="1"/>
    <col min="1037" max="1037" width="1.5" style="1661" customWidth="1"/>
    <col min="1038" max="1038" width="8" style="1661"/>
    <col min="1039" max="1039" width="8.5" style="1661" customWidth="1"/>
    <col min="1040" max="1040" width="7.875" style="1661" customWidth="1"/>
    <col min="1041" max="1041" width="4.125" style="1661" customWidth="1"/>
    <col min="1042" max="1043" width="7.75" style="1661" customWidth="1"/>
    <col min="1044" max="1280" width="8" style="1661"/>
    <col min="1281" max="1281" width="4.125" style="1661" customWidth="1"/>
    <col min="1282" max="1282" width="7.875" style="1661" customWidth="1"/>
    <col min="1283" max="1283" width="1.75" style="1661" customWidth="1"/>
    <col min="1284" max="1284" width="11.125" style="1661" customWidth="1"/>
    <col min="1285" max="1292" width="8.5" style="1661" customWidth="1"/>
    <col min="1293" max="1293" width="1.5" style="1661" customWidth="1"/>
    <col min="1294" max="1294" width="8" style="1661"/>
    <col min="1295" max="1295" width="8.5" style="1661" customWidth="1"/>
    <col min="1296" max="1296" width="7.875" style="1661" customWidth="1"/>
    <col min="1297" max="1297" width="4.125" style="1661" customWidth="1"/>
    <col min="1298" max="1299" width="7.75" style="1661" customWidth="1"/>
    <col min="1300" max="1536" width="8" style="1661"/>
    <col min="1537" max="1537" width="4.125" style="1661" customWidth="1"/>
    <col min="1538" max="1538" width="7.875" style="1661" customWidth="1"/>
    <col min="1539" max="1539" width="1.75" style="1661" customWidth="1"/>
    <col min="1540" max="1540" width="11.125" style="1661" customWidth="1"/>
    <col min="1541" max="1548" width="8.5" style="1661" customWidth="1"/>
    <col min="1549" max="1549" width="1.5" style="1661" customWidth="1"/>
    <col min="1550" max="1550" width="8" style="1661"/>
    <col min="1551" max="1551" width="8.5" style="1661" customWidth="1"/>
    <col min="1552" max="1552" width="7.875" style="1661" customWidth="1"/>
    <col min="1553" max="1553" width="4.125" style="1661" customWidth="1"/>
    <col min="1554" max="1555" width="7.75" style="1661" customWidth="1"/>
    <col min="1556" max="1792" width="8" style="1661"/>
    <col min="1793" max="1793" width="4.125" style="1661" customWidth="1"/>
    <col min="1794" max="1794" width="7.875" style="1661" customWidth="1"/>
    <col min="1795" max="1795" width="1.75" style="1661" customWidth="1"/>
    <col min="1796" max="1796" width="11.125" style="1661" customWidth="1"/>
    <col min="1797" max="1804" width="8.5" style="1661" customWidth="1"/>
    <col min="1805" max="1805" width="1.5" style="1661" customWidth="1"/>
    <col min="1806" max="1806" width="8" style="1661"/>
    <col min="1807" max="1807" width="8.5" style="1661" customWidth="1"/>
    <col min="1808" max="1808" width="7.875" style="1661" customWidth="1"/>
    <col min="1809" max="1809" width="4.125" style="1661" customWidth="1"/>
    <col min="1810" max="1811" width="7.75" style="1661" customWidth="1"/>
    <col min="1812" max="2048" width="8" style="1661"/>
    <col min="2049" max="2049" width="4.125" style="1661" customWidth="1"/>
    <col min="2050" max="2050" width="7.875" style="1661" customWidth="1"/>
    <col min="2051" max="2051" width="1.75" style="1661" customWidth="1"/>
    <col min="2052" max="2052" width="11.125" style="1661" customWidth="1"/>
    <col min="2053" max="2060" width="8.5" style="1661" customWidth="1"/>
    <col min="2061" max="2061" width="1.5" style="1661" customWidth="1"/>
    <col min="2062" max="2062" width="8" style="1661"/>
    <col min="2063" max="2063" width="8.5" style="1661" customWidth="1"/>
    <col min="2064" max="2064" width="7.875" style="1661" customWidth="1"/>
    <col min="2065" max="2065" width="4.125" style="1661" customWidth="1"/>
    <col min="2066" max="2067" width="7.75" style="1661" customWidth="1"/>
    <col min="2068" max="2304" width="8" style="1661"/>
    <col min="2305" max="2305" width="4.125" style="1661" customWidth="1"/>
    <col min="2306" max="2306" width="7.875" style="1661" customWidth="1"/>
    <col min="2307" max="2307" width="1.75" style="1661" customWidth="1"/>
    <col min="2308" max="2308" width="11.125" style="1661" customWidth="1"/>
    <col min="2309" max="2316" width="8.5" style="1661" customWidth="1"/>
    <col min="2317" max="2317" width="1.5" style="1661" customWidth="1"/>
    <col min="2318" max="2318" width="8" style="1661"/>
    <col min="2319" max="2319" width="8.5" style="1661" customWidth="1"/>
    <col min="2320" max="2320" width="7.875" style="1661" customWidth="1"/>
    <col min="2321" max="2321" width="4.125" style="1661" customWidth="1"/>
    <col min="2322" max="2323" width="7.75" style="1661" customWidth="1"/>
    <col min="2324" max="2560" width="8" style="1661"/>
    <col min="2561" max="2561" width="4.125" style="1661" customWidth="1"/>
    <col min="2562" max="2562" width="7.875" style="1661" customWidth="1"/>
    <col min="2563" max="2563" width="1.75" style="1661" customWidth="1"/>
    <col min="2564" max="2564" width="11.125" style="1661" customWidth="1"/>
    <col min="2565" max="2572" width="8.5" style="1661" customWidth="1"/>
    <col min="2573" max="2573" width="1.5" style="1661" customWidth="1"/>
    <col min="2574" max="2574" width="8" style="1661"/>
    <col min="2575" max="2575" width="8.5" style="1661" customWidth="1"/>
    <col min="2576" max="2576" width="7.875" style="1661" customWidth="1"/>
    <col min="2577" max="2577" width="4.125" style="1661" customWidth="1"/>
    <col min="2578" max="2579" width="7.75" style="1661" customWidth="1"/>
    <col min="2580" max="2816" width="8" style="1661"/>
    <col min="2817" max="2817" width="4.125" style="1661" customWidth="1"/>
    <col min="2818" max="2818" width="7.875" style="1661" customWidth="1"/>
    <col min="2819" max="2819" width="1.75" style="1661" customWidth="1"/>
    <col min="2820" max="2820" width="11.125" style="1661" customWidth="1"/>
    <col min="2821" max="2828" width="8.5" style="1661" customWidth="1"/>
    <col min="2829" max="2829" width="1.5" style="1661" customWidth="1"/>
    <col min="2830" max="2830" width="8" style="1661"/>
    <col min="2831" max="2831" width="8.5" style="1661" customWidth="1"/>
    <col min="2832" max="2832" width="7.875" style="1661" customWidth="1"/>
    <col min="2833" max="2833" width="4.125" style="1661" customWidth="1"/>
    <col min="2834" max="2835" width="7.75" style="1661" customWidth="1"/>
    <col min="2836" max="3072" width="8" style="1661"/>
    <col min="3073" max="3073" width="4.125" style="1661" customWidth="1"/>
    <col min="3074" max="3074" width="7.875" style="1661" customWidth="1"/>
    <col min="3075" max="3075" width="1.75" style="1661" customWidth="1"/>
    <col min="3076" max="3076" width="11.125" style="1661" customWidth="1"/>
    <col min="3077" max="3084" width="8.5" style="1661" customWidth="1"/>
    <col min="3085" max="3085" width="1.5" style="1661" customWidth="1"/>
    <col min="3086" max="3086" width="8" style="1661"/>
    <col min="3087" max="3087" width="8.5" style="1661" customWidth="1"/>
    <col min="3088" max="3088" width="7.875" style="1661" customWidth="1"/>
    <col min="3089" max="3089" width="4.125" style="1661" customWidth="1"/>
    <col min="3090" max="3091" width="7.75" style="1661" customWidth="1"/>
    <col min="3092" max="3328" width="8" style="1661"/>
    <col min="3329" max="3329" width="4.125" style="1661" customWidth="1"/>
    <col min="3330" max="3330" width="7.875" style="1661" customWidth="1"/>
    <col min="3331" max="3331" width="1.75" style="1661" customWidth="1"/>
    <col min="3332" max="3332" width="11.125" style="1661" customWidth="1"/>
    <col min="3333" max="3340" width="8.5" style="1661" customWidth="1"/>
    <col min="3341" max="3341" width="1.5" style="1661" customWidth="1"/>
    <col min="3342" max="3342" width="8" style="1661"/>
    <col min="3343" max="3343" width="8.5" style="1661" customWidth="1"/>
    <col min="3344" max="3344" width="7.875" style="1661" customWidth="1"/>
    <col min="3345" max="3345" width="4.125" style="1661" customWidth="1"/>
    <col min="3346" max="3347" width="7.75" style="1661" customWidth="1"/>
    <col min="3348" max="3584" width="8" style="1661"/>
    <col min="3585" max="3585" width="4.125" style="1661" customWidth="1"/>
    <col min="3586" max="3586" width="7.875" style="1661" customWidth="1"/>
    <col min="3587" max="3587" width="1.75" style="1661" customWidth="1"/>
    <col min="3588" max="3588" width="11.125" style="1661" customWidth="1"/>
    <col min="3589" max="3596" width="8.5" style="1661" customWidth="1"/>
    <col min="3597" max="3597" width="1.5" style="1661" customWidth="1"/>
    <col min="3598" max="3598" width="8" style="1661"/>
    <col min="3599" max="3599" width="8.5" style="1661" customWidth="1"/>
    <col min="3600" max="3600" width="7.875" style="1661" customWidth="1"/>
    <col min="3601" max="3601" width="4.125" style="1661" customWidth="1"/>
    <col min="3602" max="3603" width="7.75" style="1661" customWidth="1"/>
    <col min="3604" max="3840" width="8" style="1661"/>
    <col min="3841" max="3841" width="4.125" style="1661" customWidth="1"/>
    <col min="3842" max="3842" width="7.875" style="1661" customWidth="1"/>
    <col min="3843" max="3843" width="1.75" style="1661" customWidth="1"/>
    <col min="3844" max="3844" width="11.125" style="1661" customWidth="1"/>
    <col min="3845" max="3852" width="8.5" style="1661" customWidth="1"/>
    <col min="3853" max="3853" width="1.5" style="1661" customWidth="1"/>
    <col min="3854" max="3854" width="8" style="1661"/>
    <col min="3855" max="3855" width="8.5" style="1661" customWidth="1"/>
    <col min="3856" max="3856" width="7.875" style="1661" customWidth="1"/>
    <col min="3857" max="3857" width="4.125" style="1661" customWidth="1"/>
    <col min="3858" max="3859" width="7.75" style="1661" customWidth="1"/>
    <col min="3860" max="4096" width="8" style="1661"/>
    <col min="4097" max="4097" width="4.125" style="1661" customWidth="1"/>
    <col min="4098" max="4098" width="7.875" style="1661" customWidth="1"/>
    <col min="4099" max="4099" width="1.75" style="1661" customWidth="1"/>
    <col min="4100" max="4100" width="11.125" style="1661" customWidth="1"/>
    <col min="4101" max="4108" width="8.5" style="1661" customWidth="1"/>
    <col min="4109" max="4109" width="1.5" style="1661" customWidth="1"/>
    <col min="4110" max="4110" width="8" style="1661"/>
    <col min="4111" max="4111" width="8.5" style="1661" customWidth="1"/>
    <col min="4112" max="4112" width="7.875" style="1661" customWidth="1"/>
    <col min="4113" max="4113" width="4.125" style="1661" customWidth="1"/>
    <col min="4114" max="4115" width="7.75" style="1661" customWidth="1"/>
    <col min="4116" max="4352" width="8" style="1661"/>
    <col min="4353" max="4353" width="4.125" style="1661" customWidth="1"/>
    <col min="4354" max="4354" width="7.875" style="1661" customWidth="1"/>
    <col min="4355" max="4355" width="1.75" style="1661" customWidth="1"/>
    <col min="4356" max="4356" width="11.125" style="1661" customWidth="1"/>
    <col min="4357" max="4364" width="8.5" style="1661" customWidth="1"/>
    <col min="4365" max="4365" width="1.5" style="1661" customWidth="1"/>
    <col min="4366" max="4366" width="8" style="1661"/>
    <col min="4367" max="4367" width="8.5" style="1661" customWidth="1"/>
    <col min="4368" max="4368" width="7.875" style="1661" customWidth="1"/>
    <col min="4369" max="4369" width="4.125" style="1661" customWidth="1"/>
    <col min="4370" max="4371" width="7.75" style="1661" customWidth="1"/>
    <col min="4372" max="4608" width="8" style="1661"/>
    <col min="4609" max="4609" width="4.125" style="1661" customWidth="1"/>
    <col min="4610" max="4610" width="7.875" style="1661" customWidth="1"/>
    <col min="4611" max="4611" width="1.75" style="1661" customWidth="1"/>
    <col min="4612" max="4612" width="11.125" style="1661" customWidth="1"/>
    <col min="4613" max="4620" width="8.5" style="1661" customWidth="1"/>
    <col min="4621" max="4621" width="1.5" style="1661" customWidth="1"/>
    <col min="4622" max="4622" width="8" style="1661"/>
    <col min="4623" max="4623" width="8.5" style="1661" customWidth="1"/>
    <col min="4624" max="4624" width="7.875" style="1661" customWidth="1"/>
    <col min="4625" max="4625" width="4.125" style="1661" customWidth="1"/>
    <col min="4626" max="4627" width="7.75" style="1661" customWidth="1"/>
    <col min="4628" max="4864" width="8" style="1661"/>
    <col min="4865" max="4865" width="4.125" style="1661" customWidth="1"/>
    <col min="4866" max="4866" width="7.875" style="1661" customWidth="1"/>
    <col min="4867" max="4867" width="1.75" style="1661" customWidth="1"/>
    <col min="4868" max="4868" width="11.125" style="1661" customWidth="1"/>
    <col min="4869" max="4876" width="8.5" style="1661" customWidth="1"/>
    <col min="4877" max="4877" width="1.5" style="1661" customWidth="1"/>
    <col min="4878" max="4878" width="8" style="1661"/>
    <col min="4879" max="4879" width="8.5" style="1661" customWidth="1"/>
    <col min="4880" max="4880" width="7.875" style="1661" customWidth="1"/>
    <col min="4881" max="4881" width="4.125" style="1661" customWidth="1"/>
    <col min="4882" max="4883" width="7.75" style="1661" customWidth="1"/>
    <col min="4884" max="5120" width="8" style="1661"/>
    <col min="5121" max="5121" width="4.125" style="1661" customWidth="1"/>
    <col min="5122" max="5122" width="7.875" style="1661" customWidth="1"/>
    <col min="5123" max="5123" width="1.75" style="1661" customWidth="1"/>
    <col min="5124" max="5124" width="11.125" style="1661" customWidth="1"/>
    <col min="5125" max="5132" width="8.5" style="1661" customWidth="1"/>
    <col min="5133" max="5133" width="1.5" style="1661" customWidth="1"/>
    <col min="5134" max="5134" width="8" style="1661"/>
    <col min="5135" max="5135" width="8.5" style="1661" customWidth="1"/>
    <col min="5136" max="5136" width="7.875" style="1661" customWidth="1"/>
    <col min="5137" max="5137" width="4.125" style="1661" customWidth="1"/>
    <col min="5138" max="5139" width="7.75" style="1661" customWidth="1"/>
    <col min="5140" max="5376" width="8" style="1661"/>
    <col min="5377" max="5377" width="4.125" style="1661" customWidth="1"/>
    <col min="5378" max="5378" width="7.875" style="1661" customWidth="1"/>
    <col min="5379" max="5379" width="1.75" style="1661" customWidth="1"/>
    <col min="5380" max="5380" width="11.125" style="1661" customWidth="1"/>
    <col min="5381" max="5388" width="8.5" style="1661" customWidth="1"/>
    <col min="5389" max="5389" width="1.5" style="1661" customWidth="1"/>
    <col min="5390" max="5390" width="8" style="1661"/>
    <col min="5391" max="5391" width="8.5" style="1661" customWidth="1"/>
    <col min="5392" max="5392" width="7.875" style="1661" customWidth="1"/>
    <col min="5393" max="5393" width="4.125" style="1661" customWidth="1"/>
    <col min="5394" max="5395" width="7.75" style="1661" customWidth="1"/>
    <col min="5396" max="5632" width="8" style="1661"/>
    <col min="5633" max="5633" width="4.125" style="1661" customWidth="1"/>
    <col min="5634" max="5634" width="7.875" style="1661" customWidth="1"/>
    <col min="5635" max="5635" width="1.75" style="1661" customWidth="1"/>
    <col min="5636" max="5636" width="11.125" style="1661" customWidth="1"/>
    <col min="5637" max="5644" width="8.5" style="1661" customWidth="1"/>
    <col min="5645" max="5645" width="1.5" style="1661" customWidth="1"/>
    <col min="5646" max="5646" width="8" style="1661"/>
    <col min="5647" max="5647" width="8.5" style="1661" customWidth="1"/>
    <col min="5648" max="5648" width="7.875" style="1661" customWidth="1"/>
    <col min="5649" max="5649" width="4.125" style="1661" customWidth="1"/>
    <col min="5650" max="5651" width="7.75" style="1661" customWidth="1"/>
    <col min="5652" max="5888" width="8" style="1661"/>
    <col min="5889" max="5889" width="4.125" style="1661" customWidth="1"/>
    <col min="5890" max="5890" width="7.875" style="1661" customWidth="1"/>
    <col min="5891" max="5891" width="1.75" style="1661" customWidth="1"/>
    <col min="5892" max="5892" width="11.125" style="1661" customWidth="1"/>
    <col min="5893" max="5900" width="8.5" style="1661" customWidth="1"/>
    <col min="5901" max="5901" width="1.5" style="1661" customWidth="1"/>
    <col min="5902" max="5902" width="8" style="1661"/>
    <col min="5903" max="5903" width="8.5" style="1661" customWidth="1"/>
    <col min="5904" max="5904" width="7.875" style="1661" customWidth="1"/>
    <col min="5905" max="5905" width="4.125" style="1661" customWidth="1"/>
    <col min="5906" max="5907" width="7.75" style="1661" customWidth="1"/>
    <col min="5908" max="6144" width="8" style="1661"/>
    <col min="6145" max="6145" width="4.125" style="1661" customWidth="1"/>
    <col min="6146" max="6146" width="7.875" style="1661" customWidth="1"/>
    <col min="6147" max="6147" width="1.75" style="1661" customWidth="1"/>
    <col min="6148" max="6148" width="11.125" style="1661" customWidth="1"/>
    <col min="6149" max="6156" width="8.5" style="1661" customWidth="1"/>
    <col min="6157" max="6157" width="1.5" style="1661" customWidth="1"/>
    <col min="6158" max="6158" width="8" style="1661"/>
    <col min="6159" max="6159" width="8.5" style="1661" customWidth="1"/>
    <col min="6160" max="6160" width="7.875" style="1661" customWidth="1"/>
    <col min="6161" max="6161" width="4.125" style="1661" customWidth="1"/>
    <col min="6162" max="6163" width="7.75" style="1661" customWidth="1"/>
    <col min="6164" max="6400" width="8" style="1661"/>
    <col min="6401" max="6401" width="4.125" style="1661" customWidth="1"/>
    <col min="6402" max="6402" width="7.875" style="1661" customWidth="1"/>
    <col min="6403" max="6403" width="1.75" style="1661" customWidth="1"/>
    <col min="6404" max="6404" width="11.125" style="1661" customWidth="1"/>
    <col min="6405" max="6412" width="8.5" style="1661" customWidth="1"/>
    <col min="6413" max="6413" width="1.5" style="1661" customWidth="1"/>
    <col min="6414" max="6414" width="8" style="1661"/>
    <col min="6415" max="6415" width="8.5" style="1661" customWidth="1"/>
    <col min="6416" max="6416" width="7.875" style="1661" customWidth="1"/>
    <col min="6417" max="6417" width="4.125" style="1661" customWidth="1"/>
    <col min="6418" max="6419" width="7.75" style="1661" customWidth="1"/>
    <col min="6420" max="6656" width="8" style="1661"/>
    <col min="6657" max="6657" width="4.125" style="1661" customWidth="1"/>
    <col min="6658" max="6658" width="7.875" style="1661" customWidth="1"/>
    <col min="6659" max="6659" width="1.75" style="1661" customWidth="1"/>
    <col min="6660" max="6660" width="11.125" style="1661" customWidth="1"/>
    <col min="6661" max="6668" width="8.5" style="1661" customWidth="1"/>
    <col min="6669" max="6669" width="1.5" style="1661" customWidth="1"/>
    <col min="6670" max="6670" width="8" style="1661"/>
    <col min="6671" max="6671" width="8.5" style="1661" customWidth="1"/>
    <col min="6672" max="6672" width="7.875" style="1661" customWidth="1"/>
    <col min="6673" max="6673" width="4.125" style="1661" customWidth="1"/>
    <col min="6674" max="6675" width="7.75" style="1661" customWidth="1"/>
    <col min="6676" max="6912" width="8" style="1661"/>
    <col min="6913" max="6913" width="4.125" style="1661" customWidth="1"/>
    <col min="6914" max="6914" width="7.875" style="1661" customWidth="1"/>
    <col min="6915" max="6915" width="1.75" style="1661" customWidth="1"/>
    <col min="6916" max="6916" width="11.125" style="1661" customWidth="1"/>
    <col min="6917" max="6924" width="8.5" style="1661" customWidth="1"/>
    <col min="6925" max="6925" width="1.5" style="1661" customWidth="1"/>
    <col min="6926" max="6926" width="8" style="1661"/>
    <col min="6927" max="6927" width="8.5" style="1661" customWidth="1"/>
    <col min="6928" max="6928" width="7.875" style="1661" customWidth="1"/>
    <col min="6929" max="6929" width="4.125" style="1661" customWidth="1"/>
    <col min="6930" max="6931" width="7.75" style="1661" customWidth="1"/>
    <col min="6932" max="7168" width="8" style="1661"/>
    <col min="7169" max="7169" width="4.125" style="1661" customWidth="1"/>
    <col min="7170" max="7170" width="7.875" style="1661" customWidth="1"/>
    <col min="7171" max="7171" width="1.75" style="1661" customWidth="1"/>
    <col min="7172" max="7172" width="11.125" style="1661" customWidth="1"/>
    <col min="7173" max="7180" width="8.5" style="1661" customWidth="1"/>
    <col min="7181" max="7181" width="1.5" style="1661" customWidth="1"/>
    <col min="7182" max="7182" width="8" style="1661"/>
    <col min="7183" max="7183" width="8.5" style="1661" customWidth="1"/>
    <col min="7184" max="7184" width="7.875" style="1661" customWidth="1"/>
    <col min="7185" max="7185" width="4.125" style="1661" customWidth="1"/>
    <col min="7186" max="7187" width="7.75" style="1661" customWidth="1"/>
    <col min="7188" max="7424" width="8" style="1661"/>
    <col min="7425" max="7425" width="4.125" style="1661" customWidth="1"/>
    <col min="7426" max="7426" width="7.875" style="1661" customWidth="1"/>
    <col min="7427" max="7427" width="1.75" style="1661" customWidth="1"/>
    <col min="7428" max="7428" width="11.125" style="1661" customWidth="1"/>
    <col min="7429" max="7436" width="8.5" style="1661" customWidth="1"/>
    <col min="7437" max="7437" width="1.5" style="1661" customWidth="1"/>
    <col min="7438" max="7438" width="8" style="1661"/>
    <col min="7439" max="7439" width="8.5" style="1661" customWidth="1"/>
    <col min="7440" max="7440" width="7.875" style="1661" customWidth="1"/>
    <col min="7441" max="7441" width="4.125" style="1661" customWidth="1"/>
    <col min="7442" max="7443" width="7.75" style="1661" customWidth="1"/>
    <col min="7444" max="7680" width="8" style="1661"/>
    <col min="7681" max="7681" width="4.125" style="1661" customWidth="1"/>
    <col min="7682" max="7682" width="7.875" style="1661" customWidth="1"/>
    <col min="7683" max="7683" width="1.75" style="1661" customWidth="1"/>
    <col min="7684" max="7684" width="11.125" style="1661" customWidth="1"/>
    <col min="7685" max="7692" width="8.5" style="1661" customWidth="1"/>
    <col min="7693" max="7693" width="1.5" style="1661" customWidth="1"/>
    <col min="7694" max="7694" width="8" style="1661"/>
    <col min="7695" max="7695" width="8.5" style="1661" customWidth="1"/>
    <col min="7696" max="7696" width="7.875" style="1661" customWidth="1"/>
    <col min="7697" max="7697" width="4.125" style="1661" customWidth="1"/>
    <col min="7698" max="7699" width="7.75" style="1661" customWidth="1"/>
    <col min="7700" max="7936" width="8" style="1661"/>
    <col min="7937" max="7937" width="4.125" style="1661" customWidth="1"/>
    <col min="7938" max="7938" width="7.875" style="1661" customWidth="1"/>
    <col min="7939" max="7939" width="1.75" style="1661" customWidth="1"/>
    <col min="7940" max="7940" width="11.125" style="1661" customWidth="1"/>
    <col min="7941" max="7948" width="8.5" style="1661" customWidth="1"/>
    <col min="7949" max="7949" width="1.5" style="1661" customWidth="1"/>
    <col min="7950" max="7950" width="8" style="1661"/>
    <col min="7951" max="7951" width="8.5" style="1661" customWidth="1"/>
    <col min="7952" max="7952" width="7.875" style="1661" customWidth="1"/>
    <col min="7953" max="7953" width="4.125" style="1661" customWidth="1"/>
    <col min="7954" max="7955" width="7.75" style="1661" customWidth="1"/>
    <col min="7956" max="8192" width="8" style="1661"/>
    <col min="8193" max="8193" width="4.125" style="1661" customWidth="1"/>
    <col min="8194" max="8194" width="7.875" style="1661" customWidth="1"/>
    <col min="8195" max="8195" width="1.75" style="1661" customWidth="1"/>
    <col min="8196" max="8196" width="11.125" style="1661" customWidth="1"/>
    <col min="8197" max="8204" width="8.5" style="1661" customWidth="1"/>
    <col min="8205" max="8205" width="1.5" style="1661" customWidth="1"/>
    <col min="8206" max="8206" width="8" style="1661"/>
    <col min="8207" max="8207" width="8.5" style="1661" customWidth="1"/>
    <col min="8208" max="8208" width="7.875" style="1661" customWidth="1"/>
    <col min="8209" max="8209" width="4.125" style="1661" customWidth="1"/>
    <col min="8210" max="8211" width="7.75" style="1661" customWidth="1"/>
    <col min="8212" max="8448" width="8" style="1661"/>
    <col min="8449" max="8449" width="4.125" style="1661" customWidth="1"/>
    <col min="8450" max="8450" width="7.875" style="1661" customWidth="1"/>
    <col min="8451" max="8451" width="1.75" style="1661" customWidth="1"/>
    <col min="8452" max="8452" width="11.125" style="1661" customWidth="1"/>
    <col min="8453" max="8460" width="8.5" style="1661" customWidth="1"/>
    <col min="8461" max="8461" width="1.5" style="1661" customWidth="1"/>
    <col min="8462" max="8462" width="8" style="1661"/>
    <col min="8463" max="8463" width="8.5" style="1661" customWidth="1"/>
    <col min="8464" max="8464" width="7.875" style="1661" customWidth="1"/>
    <col min="8465" max="8465" width="4.125" style="1661" customWidth="1"/>
    <col min="8466" max="8467" width="7.75" style="1661" customWidth="1"/>
    <col min="8468" max="8704" width="8" style="1661"/>
    <col min="8705" max="8705" width="4.125" style="1661" customWidth="1"/>
    <col min="8706" max="8706" width="7.875" style="1661" customWidth="1"/>
    <col min="8707" max="8707" width="1.75" style="1661" customWidth="1"/>
    <col min="8708" max="8708" width="11.125" style="1661" customWidth="1"/>
    <col min="8709" max="8716" width="8.5" style="1661" customWidth="1"/>
    <col min="8717" max="8717" width="1.5" style="1661" customWidth="1"/>
    <col min="8718" max="8718" width="8" style="1661"/>
    <col min="8719" max="8719" width="8.5" style="1661" customWidth="1"/>
    <col min="8720" max="8720" width="7.875" style="1661" customWidth="1"/>
    <col min="8721" max="8721" width="4.125" style="1661" customWidth="1"/>
    <col min="8722" max="8723" width="7.75" style="1661" customWidth="1"/>
    <col min="8724" max="8960" width="8" style="1661"/>
    <col min="8961" max="8961" width="4.125" style="1661" customWidth="1"/>
    <col min="8962" max="8962" width="7.875" style="1661" customWidth="1"/>
    <col min="8963" max="8963" width="1.75" style="1661" customWidth="1"/>
    <col min="8964" max="8964" width="11.125" style="1661" customWidth="1"/>
    <col min="8965" max="8972" width="8.5" style="1661" customWidth="1"/>
    <col min="8973" max="8973" width="1.5" style="1661" customWidth="1"/>
    <col min="8974" max="8974" width="8" style="1661"/>
    <col min="8975" max="8975" width="8.5" style="1661" customWidth="1"/>
    <col min="8976" max="8976" width="7.875" style="1661" customWidth="1"/>
    <col min="8977" max="8977" width="4.125" style="1661" customWidth="1"/>
    <col min="8978" max="8979" width="7.75" style="1661" customWidth="1"/>
    <col min="8980" max="9216" width="8" style="1661"/>
    <col min="9217" max="9217" width="4.125" style="1661" customWidth="1"/>
    <col min="9218" max="9218" width="7.875" style="1661" customWidth="1"/>
    <col min="9219" max="9219" width="1.75" style="1661" customWidth="1"/>
    <col min="9220" max="9220" width="11.125" style="1661" customWidth="1"/>
    <col min="9221" max="9228" width="8.5" style="1661" customWidth="1"/>
    <col min="9229" max="9229" width="1.5" style="1661" customWidth="1"/>
    <col min="9230" max="9230" width="8" style="1661"/>
    <col min="9231" max="9231" width="8.5" style="1661" customWidth="1"/>
    <col min="9232" max="9232" width="7.875" style="1661" customWidth="1"/>
    <col min="9233" max="9233" width="4.125" style="1661" customWidth="1"/>
    <col min="9234" max="9235" width="7.75" style="1661" customWidth="1"/>
    <col min="9236" max="9472" width="8" style="1661"/>
    <col min="9473" max="9473" width="4.125" style="1661" customWidth="1"/>
    <col min="9474" max="9474" width="7.875" style="1661" customWidth="1"/>
    <col min="9475" max="9475" width="1.75" style="1661" customWidth="1"/>
    <col min="9476" max="9476" width="11.125" style="1661" customWidth="1"/>
    <col min="9477" max="9484" width="8.5" style="1661" customWidth="1"/>
    <col min="9485" max="9485" width="1.5" style="1661" customWidth="1"/>
    <col min="9486" max="9486" width="8" style="1661"/>
    <col min="9487" max="9487" width="8.5" style="1661" customWidth="1"/>
    <col min="9488" max="9488" width="7.875" style="1661" customWidth="1"/>
    <col min="9489" max="9489" width="4.125" style="1661" customWidth="1"/>
    <col min="9490" max="9491" width="7.75" style="1661" customWidth="1"/>
    <col min="9492" max="9728" width="8" style="1661"/>
    <col min="9729" max="9729" width="4.125" style="1661" customWidth="1"/>
    <col min="9730" max="9730" width="7.875" style="1661" customWidth="1"/>
    <col min="9731" max="9731" width="1.75" style="1661" customWidth="1"/>
    <col min="9732" max="9732" width="11.125" style="1661" customWidth="1"/>
    <col min="9733" max="9740" width="8.5" style="1661" customWidth="1"/>
    <col min="9741" max="9741" width="1.5" style="1661" customWidth="1"/>
    <col min="9742" max="9742" width="8" style="1661"/>
    <col min="9743" max="9743" width="8.5" style="1661" customWidth="1"/>
    <col min="9744" max="9744" width="7.875" style="1661" customWidth="1"/>
    <col min="9745" max="9745" width="4.125" style="1661" customWidth="1"/>
    <col min="9746" max="9747" width="7.75" style="1661" customWidth="1"/>
    <col min="9748" max="9984" width="8" style="1661"/>
    <col min="9985" max="9985" width="4.125" style="1661" customWidth="1"/>
    <col min="9986" max="9986" width="7.875" style="1661" customWidth="1"/>
    <col min="9987" max="9987" width="1.75" style="1661" customWidth="1"/>
    <col min="9988" max="9988" width="11.125" style="1661" customWidth="1"/>
    <col min="9989" max="9996" width="8.5" style="1661" customWidth="1"/>
    <col min="9997" max="9997" width="1.5" style="1661" customWidth="1"/>
    <col min="9998" max="9998" width="8" style="1661"/>
    <col min="9999" max="9999" width="8.5" style="1661" customWidth="1"/>
    <col min="10000" max="10000" width="7.875" style="1661" customWidth="1"/>
    <col min="10001" max="10001" width="4.125" style="1661" customWidth="1"/>
    <col min="10002" max="10003" width="7.75" style="1661" customWidth="1"/>
    <col min="10004" max="10240" width="8" style="1661"/>
    <col min="10241" max="10241" width="4.125" style="1661" customWidth="1"/>
    <col min="10242" max="10242" width="7.875" style="1661" customWidth="1"/>
    <col min="10243" max="10243" width="1.75" style="1661" customWidth="1"/>
    <col min="10244" max="10244" width="11.125" style="1661" customWidth="1"/>
    <col min="10245" max="10252" width="8.5" style="1661" customWidth="1"/>
    <col min="10253" max="10253" width="1.5" style="1661" customWidth="1"/>
    <col min="10254" max="10254" width="8" style="1661"/>
    <col min="10255" max="10255" width="8.5" style="1661" customWidth="1"/>
    <col min="10256" max="10256" width="7.875" style="1661" customWidth="1"/>
    <col min="10257" max="10257" width="4.125" style="1661" customWidth="1"/>
    <col min="10258" max="10259" width="7.75" style="1661" customWidth="1"/>
    <col min="10260" max="10496" width="8" style="1661"/>
    <col min="10497" max="10497" width="4.125" style="1661" customWidth="1"/>
    <col min="10498" max="10498" width="7.875" style="1661" customWidth="1"/>
    <col min="10499" max="10499" width="1.75" style="1661" customWidth="1"/>
    <col min="10500" max="10500" width="11.125" style="1661" customWidth="1"/>
    <col min="10501" max="10508" width="8.5" style="1661" customWidth="1"/>
    <col min="10509" max="10509" width="1.5" style="1661" customWidth="1"/>
    <col min="10510" max="10510" width="8" style="1661"/>
    <col min="10511" max="10511" width="8.5" style="1661" customWidth="1"/>
    <col min="10512" max="10512" width="7.875" style="1661" customWidth="1"/>
    <col min="10513" max="10513" width="4.125" style="1661" customWidth="1"/>
    <col min="10514" max="10515" width="7.75" style="1661" customWidth="1"/>
    <col min="10516" max="10752" width="8" style="1661"/>
    <col min="10753" max="10753" width="4.125" style="1661" customWidth="1"/>
    <col min="10754" max="10754" width="7.875" style="1661" customWidth="1"/>
    <col min="10755" max="10755" width="1.75" style="1661" customWidth="1"/>
    <col min="10756" max="10756" width="11.125" style="1661" customWidth="1"/>
    <col min="10757" max="10764" width="8.5" style="1661" customWidth="1"/>
    <col min="10765" max="10765" width="1.5" style="1661" customWidth="1"/>
    <col min="10766" max="10766" width="8" style="1661"/>
    <col min="10767" max="10767" width="8.5" style="1661" customWidth="1"/>
    <col min="10768" max="10768" width="7.875" style="1661" customWidth="1"/>
    <col min="10769" max="10769" width="4.125" style="1661" customWidth="1"/>
    <col min="10770" max="10771" width="7.75" style="1661" customWidth="1"/>
    <col min="10772" max="11008" width="8" style="1661"/>
    <col min="11009" max="11009" width="4.125" style="1661" customWidth="1"/>
    <col min="11010" max="11010" width="7.875" style="1661" customWidth="1"/>
    <col min="11011" max="11011" width="1.75" style="1661" customWidth="1"/>
    <col min="11012" max="11012" width="11.125" style="1661" customWidth="1"/>
    <col min="11013" max="11020" width="8.5" style="1661" customWidth="1"/>
    <col min="11021" max="11021" width="1.5" style="1661" customWidth="1"/>
    <col min="11022" max="11022" width="8" style="1661"/>
    <col min="11023" max="11023" width="8.5" style="1661" customWidth="1"/>
    <col min="11024" max="11024" width="7.875" style="1661" customWidth="1"/>
    <col min="11025" max="11025" width="4.125" style="1661" customWidth="1"/>
    <col min="11026" max="11027" width="7.75" style="1661" customWidth="1"/>
    <col min="11028" max="11264" width="8" style="1661"/>
    <col min="11265" max="11265" width="4.125" style="1661" customWidth="1"/>
    <col min="11266" max="11266" width="7.875" style="1661" customWidth="1"/>
    <col min="11267" max="11267" width="1.75" style="1661" customWidth="1"/>
    <col min="11268" max="11268" width="11.125" style="1661" customWidth="1"/>
    <col min="11269" max="11276" width="8.5" style="1661" customWidth="1"/>
    <col min="11277" max="11277" width="1.5" style="1661" customWidth="1"/>
    <col min="11278" max="11278" width="8" style="1661"/>
    <col min="11279" max="11279" width="8.5" style="1661" customWidth="1"/>
    <col min="11280" max="11280" width="7.875" style="1661" customWidth="1"/>
    <col min="11281" max="11281" width="4.125" style="1661" customWidth="1"/>
    <col min="11282" max="11283" width="7.75" style="1661" customWidth="1"/>
    <col min="11284" max="11520" width="8" style="1661"/>
    <col min="11521" max="11521" width="4.125" style="1661" customWidth="1"/>
    <col min="11522" max="11522" width="7.875" style="1661" customWidth="1"/>
    <col min="11523" max="11523" width="1.75" style="1661" customWidth="1"/>
    <col min="11524" max="11524" width="11.125" style="1661" customWidth="1"/>
    <col min="11525" max="11532" width="8.5" style="1661" customWidth="1"/>
    <col min="11533" max="11533" width="1.5" style="1661" customWidth="1"/>
    <col min="11534" max="11534" width="8" style="1661"/>
    <col min="11535" max="11535" width="8.5" style="1661" customWidth="1"/>
    <col min="11536" max="11536" width="7.875" style="1661" customWidth="1"/>
    <col min="11537" max="11537" width="4.125" style="1661" customWidth="1"/>
    <col min="11538" max="11539" width="7.75" style="1661" customWidth="1"/>
    <col min="11540" max="11776" width="8" style="1661"/>
    <col min="11777" max="11777" width="4.125" style="1661" customWidth="1"/>
    <col min="11778" max="11778" width="7.875" style="1661" customWidth="1"/>
    <col min="11779" max="11779" width="1.75" style="1661" customWidth="1"/>
    <col min="11780" max="11780" width="11.125" style="1661" customWidth="1"/>
    <col min="11781" max="11788" width="8.5" style="1661" customWidth="1"/>
    <col min="11789" max="11789" width="1.5" style="1661" customWidth="1"/>
    <col min="11790" max="11790" width="8" style="1661"/>
    <col min="11791" max="11791" width="8.5" style="1661" customWidth="1"/>
    <col min="11792" max="11792" width="7.875" style="1661" customWidth="1"/>
    <col min="11793" max="11793" width="4.125" style="1661" customWidth="1"/>
    <col min="11794" max="11795" width="7.75" style="1661" customWidth="1"/>
    <col min="11796" max="12032" width="8" style="1661"/>
    <col min="12033" max="12033" width="4.125" style="1661" customWidth="1"/>
    <col min="12034" max="12034" width="7.875" style="1661" customWidth="1"/>
    <col min="12035" max="12035" width="1.75" style="1661" customWidth="1"/>
    <col min="12036" max="12036" width="11.125" style="1661" customWidth="1"/>
    <col min="12037" max="12044" width="8.5" style="1661" customWidth="1"/>
    <col min="12045" max="12045" width="1.5" style="1661" customWidth="1"/>
    <col min="12046" max="12046" width="8" style="1661"/>
    <col min="12047" max="12047" width="8.5" style="1661" customWidth="1"/>
    <col min="12048" max="12048" width="7.875" style="1661" customWidth="1"/>
    <col min="12049" max="12049" width="4.125" style="1661" customWidth="1"/>
    <col min="12050" max="12051" width="7.75" style="1661" customWidth="1"/>
    <col min="12052" max="12288" width="8" style="1661"/>
    <col min="12289" max="12289" width="4.125" style="1661" customWidth="1"/>
    <col min="12290" max="12290" width="7.875" style="1661" customWidth="1"/>
    <col min="12291" max="12291" width="1.75" style="1661" customWidth="1"/>
    <col min="12292" max="12292" width="11.125" style="1661" customWidth="1"/>
    <col min="12293" max="12300" width="8.5" style="1661" customWidth="1"/>
    <col min="12301" max="12301" width="1.5" style="1661" customWidth="1"/>
    <col min="12302" max="12302" width="8" style="1661"/>
    <col min="12303" max="12303" width="8.5" style="1661" customWidth="1"/>
    <col min="12304" max="12304" width="7.875" style="1661" customWidth="1"/>
    <col min="12305" max="12305" width="4.125" style="1661" customWidth="1"/>
    <col min="12306" max="12307" width="7.75" style="1661" customWidth="1"/>
    <col min="12308" max="12544" width="8" style="1661"/>
    <col min="12545" max="12545" width="4.125" style="1661" customWidth="1"/>
    <col min="12546" max="12546" width="7.875" style="1661" customWidth="1"/>
    <col min="12547" max="12547" width="1.75" style="1661" customWidth="1"/>
    <col min="12548" max="12548" width="11.125" style="1661" customWidth="1"/>
    <col min="12549" max="12556" width="8.5" style="1661" customWidth="1"/>
    <col min="12557" max="12557" width="1.5" style="1661" customWidth="1"/>
    <col min="12558" max="12558" width="8" style="1661"/>
    <col min="12559" max="12559" width="8.5" style="1661" customWidth="1"/>
    <col min="12560" max="12560" width="7.875" style="1661" customWidth="1"/>
    <col min="12561" max="12561" width="4.125" style="1661" customWidth="1"/>
    <col min="12562" max="12563" width="7.75" style="1661" customWidth="1"/>
    <col min="12564" max="12800" width="8" style="1661"/>
    <col min="12801" max="12801" width="4.125" style="1661" customWidth="1"/>
    <col min="12802" max="12802" width="7.875" style="1661" customWidth="1"/>
    <col min="12803" max="12803" width="1.75" style="1661" customWidth="1"/>
    <col min="12804" max="12804" width="11.125" style="1661" customWidth="1"/>
    <col min="12805" max="12812" width="8.5" style="1661" customWidth="1"/>
    <col min="12813" max="12813" width="1.5" style="1661" customWidth="1"/>
    <col min="12814" max="12814" width="8" style="1661"/>
    <col min="12815" max="12815" width="8.5" style="1661" customWidth="1"/>
    <col min="12816" max="12816" width="7.875" style="1661" customWidth="1"/>
    <col min="12817" max="12817" width="4.125" style="1661" customWidth="1"/>
    <col min="12818" max="12819" width="7.75" style="1661" customWidth="1"/>
    <col min="12820" max="13056" width="8" style="1661"/>
    <col min="13057" max="13057" width="4.125" style="1661" customWidth="1"/>
    <col min="13058" max="13058" width="7.875" style="1661" customWidth="1"/>
    <col min="13059" max="13059" width="1.75" style="1661" customWidth="1"/>
    <col min="13060" max="13060" width="11.125" style="1661" customWidth="1"/>
    <col min="13061" max="13068" width="8.5" style="1661" customWidth="1"/>
    <col min="13069" max="13069" width="1.5" style="1661" customWidth="1"/>
    <col min="13070" max="13070" width="8" style="1661"/>
    <col min="13071" max="13071" width="8.5" style="1661" customWidth="1"/>
    <col min="13072" max="13072" width="7.875" style="1661" customWidth="1"/>
    <col min="13073" max="13073" width="4.125" style="1661" customWidth="1"/>
    <col min="13074" max="13075" width="7.75" style="1661" customWidth="1"/>
    <col min="13076" max="13312" width="8" style="1661"/>
    <col min="13313" max="13313" width="4.125" style="1661" customWidth="1"/>
    <col min="13314" max="13314" width="7.875" style="1661" customWidth="1"/>
    <col min="13315" max="13315" width="1.75" style="1661" customWidth="1"/>
    <col min="13316" max="13316" width="11.125" style="1661" customWidth="1"/>
    <col min="13317" max="13324" width="8.5" style="1661" customWidth="1"/>
    <col min="13325" max="13325" width="1.5" style="1661" customWidth="1"/>
    <col min="13326" max="13326" width="8" style="1661"/>
    <col min="13327" max="13327" width="8.5" style="1661" customWidth="1"/>
    <col min="13328" max="13328" width="7.875" style="1661" customWidth="1"/>
    <col min="13329" max="13329" width="4.125" style="1661" customWidth="1"/>
    <col min="13330" max="13331" width="7.75" style="1661" customWidth="1"/>
    <col min="13332" max="13568" width="8" style="1661"/>
    <col min="13569" max="13569" width="4.125" style="1661" customWidth="1"/>
    <col min="13570" max="13570" width="7.875" style="1661" customWidth="1"/>
    <col min="13571" max="13571" width="1.75" style="1661" customWidth="1"/>
    <col min="13572" max="13572" width="11.125" style="1661" customWidth="1"/>
    <col min="13573" max="13580" width="8.5" style="1661" customWidth="1"/>
    <col min="13581" max="13581" width="1.5" style="1661" customWidth="1"/>
    <col min="13582" max="13582" width="8" style="1661"/>
    <col min="13583" max="13583" width="8.5" style="1661" customWidth="1"/>
    <col min="13584" max="13584" width="7.875" style="1661" customWidth="1"/>
    <col min="13585" max="13585" width="4.125" style="1661" customWidth="1"/>
    <col min="13586" max="13587" width="7.75" style="1661" customWidth="1"/>
    <col min="13588" max="13824" width="8" style="1661"/>
    <col min="13825" max="13825" width="4.125" style="1661" customWidth="1"/>
    <col min="13826" max="13826" width="7.875" style="1661" customWidth="1"/>
    <col min="13827" max="13827" width="1.75" style="1661" customWidth="1"/>
    <col min="13828" max="13828" width="11.125" style="1661" customWidth="1"/>
    <col min="13829" max="13836" width="8.5" style="1661" customWidth="1"/>
    <col min="13837" max="13837" width="1.5" style="1661" customWidth="1"/>
    <col min="13838" max="13838" width="8" style="1661"/>
    <col min="13839" max="13839" width="8.5" style="1661" customWidth="1"/>
    <col min="13840" max="13840" width="7.875" style="1661" customWidth="1"/>
    <col min="13841" max="13841" width="4.125" style="1661" customWidth="1"/>
    <col min="13842" max="13843" width="7.75" style="1661" customWidth="1"/>
    <col min="13844" max="14080" width="8" style="1661"/>
    <col min="14081" max="14081" width="4.125" style="1661" customWidth="1"/>
    <col min="14082" max="14082" width="7.875" style="1661" customWidth="1"/>
    <col min="14083" max="14083" width="1.75" style="1661" customWidth="1"/>
    <col min="14084" max="14084" width="11.125" style="1661" customWidth="1"/>
    <col min="14085" max="14092" width="8.5" style="1661" customWidth="1"/>
    <col min="14093" max="14093" width="1.5" style="1661" customWidth="1"/>
    <col min="14094" max="14094" width="8" style="1661"/>
    <col min="14095" max="14095" width="8.5" style="1661" customWidth="1"/>
    <col min="14096" max="14096" width="7.875" style="1661" customWidth="1"/>
    <col min="14097" max="14097" width="4.125" style="1661" customWidth="1"/>
    <col min="14098" max="14099" width="7.75" style="1661" customWidth="1"/>
    <col min="14100" max="14336" width="8" style="1661"/>
    <col min="14337" max="14337" width="4.125" style="1661" customWidth="1"/>
    <col min="14338" max="14338" width="7.875" style="1661" customWidth="1"/>
    <col min="14339" max="14339" width="1.75" style="1661" customWidth="1"/>
    <col min="14340" max="14340" width="11.125" style="1661" customWidth="1"/>
    <col min="14341" max="14348" width="8.5" style="1661" customWidth="1"/>
    <col min="14349" max="14349" width="1.5" style="1661" customWidth="1"/>
    <col min="14350" max="14350" width="8" style="1661"/>
    <col min="14351" max="14351" width="8.5" style="1661" customWidth="1"/>
    <col min="14352" max="14352" width="7.875" style="1661" customWidth="1"/>
    <col min="14353" max="14353" width="4.125" style="1661" customWidth="1"/>
    <col min="14354" max="14355" width="7.75" style="1661" customWidth="1"/>
    <col min="14356" max="14592" width="8" style="1661"/>
    <col min="14593" max="14593" width="4.125" style="1661" customWidth="1"/>
    <col min="14594" max="14594" width="7.875" style="1661" customWidth="1"/>
    <col min="14595" max="14595" width="1.75" style="1661" customWidth="1"/>
    <col min="14596" max="14596" width="11.125" style="1661" customWidth="1"/>
    <col min="14597" max="14604" width="8.5" style="1661" customWidth="1"/>
    <col min="14605" max="14605" width="1.5" style="1661" customWidth="1"/>
    <col min="14606" max="14606" width="8" style="1661"/>
    <col min="14607" max="14607" width="8.5" style="1661" customWidth="1"/>
    <col min="14608" max="14608" width="7.875" style="1661" customWidth="1"/>
    <col min="14609" max="14609" width="4.125" style="1661" customWidth="1"/>
    <col min="14610" max="14611" width="7.75" style="1661" customWidth="1"/>
    <col min="14612" max="14848" width="8" style="1661"/>
    <col min="14849" max="14849" width="4.125" style="1661" customWidth="1"/>
    <col min="14850" max="14850" width="7.875" style="1661" customWidth="1"/>
    <col min="14851" max="14851" width="1.75" style="1661" customWidth="1"/>
    <col min="14852" max="14852" width="11.125" style="1661" customWidth="1"/>
    <col min="14853" max="14860" width="8.5" style="1661" customWidth="1"/>
    <col min="14861" max="14861" width="1.5" style="1661" customWidth="1"/>
    <col min="14862" max="14862" width="8" style="1661"/>
    <col min="14863" max="14863" width="8.5" style="1661" customWidth="1"/>
    <col min="14864" max="14864" width="7.875" style="1661" customWidth="1"/>
    <col min="14865" max="14865" width="4.125" style="1661" customWidth="1"/>
    <col min="14866" max="14867" width="7.75" style="1661" customWidth="1"/>
    <col min="14868" max="15104" width="8" style="1661"/>
    <col min="15105" max="15105" width="4.125" style="1661" customWidth="1"/>
    <col min="15106" max="15106" width="7.875" style="1661" customWidth="1"/>
    <col min="15107" max="15107" width="1.75" style="1661" customWidth="1"/>
    <col min="15108" max="15108" width="11.125" style="1661" customWidth="1"/>
    <col min="15109" max="15116" width="8.5" style="1661" customWidth="1"/>
    <col min="15117" max="15117" width="1.5" style="1661" customWidth="1"/>
    <col min="15118" max="15118" width="8" style="1661"/>
    <col min="15119" max="15119" width="8.5" style="1661" customWidth="1"/>
    <col min="15120" max="15120" width="7.875" style="1661" customWidth="1"/>
    <col min="15121" max="15121" width="4.125" style="1661" customWidth="1"/>
    <col min="15122" max="15123" width="7.75" style="1661" customWidth="1"/>
    <col min="15124" max="15360" width="8" style="1661"/>
    <col min="15361" max="15361" width="4.125" style="1661" customWidth="1"/>
    <col min="15362" max="15362" width="7.875" style="1661" customWidth="1"/>
    <col min="15363" max="15363" width="1.75" style="1661" customWidth="1"/>
    <col min="15364" max="15364" width="11.125" style="1661" customWidth="1"/>
    <col min="15365" max="15372" width="8.5" style="1661" customWidth="1"/>
    <col min="15373" max="15373" width="1.5" style="1661" customWidth="1"/>
    <col min="15374" max="15374" width="8" style="1661"/>
    <col min="15375" max="15375" width="8.5" style="1661" customWidth="1"/>
    <col min="15376" max="15376" width="7.875" style="1661" customWidth="1"/>
    <col min="15377" max="15377" width="4.125" style="1661" customWidth="1"/>
    <col min="15378" max="15379" width="7.75" style="1661" customWidth="1"/>
    <col min="15380" max="15616" width="8" style="1661"/>
    <col min="15617" max="15617" width="4.125" style="1661" customWidth="1"/>
    <col min="15618" max="15618" width="7.875" style="1661" customWidth="1"/>
    <col min="15619" max="15619" width="1.75" style="1661" customWidth="1"/>
    <col min="15620" max="15620" width="11.125" style="1661" customWidth="1"/>
    <col min="15621" max="15628" width="8.5" style="1661" customWidth="1"/>
    <col min="15629" max="15629" width="1.5" style="1661" customWidth="1"/>
    <col min="15630" max="15630" width="8" style="1661"/>
    <col min="15631" max="15631" width="8.5" style="1661" customWidth="1"/>
    <col min="15632" max="15632" width="7.875" style="1661" customWidth="1"/>
    <col min="15633" max="15633" width="4.125" style="1661" customWidth="1"/>
    <col min="15634" max="15635" width="7.75" style="1661" customWidth="1"/>
    <col min="15636" max="15872" width="8" style="1661"/>
    <col min="15873" max="15873" width="4.125" style="1661" customWidth="1"/>
    <col min="15874" max="15874" width="7.875" style="1661" customWidth="1"/>
    <col min="15875" max="15875" width="1.75" style="1661" customWidth="1"/>
    <col min="15876" max="15876" width="11.125" style="1661" customWidth="1"/>
    <col min="15877" max="15884" width="8.5" style="1661" customWidth="1"/>
    <col min="15885" max="15885" width="1.5" style="1661" customWidth="1"/>
    <col min="15886" max="15886" width="8" style="1661"/>
    <col min="15887" max="15887" width="8.5" style="1661" customWidth="1"/>
    <col min="15888" max="15888" width="7.875" style="1661" customWidth="1"/>
    <col min="15889" max="15889" width="4.125" style="1661" customWidth="1"/>
    <col min="15890" max="15891" width="7.75" style="1661" customWidth="1"/>
    <col min="15892" max="16128" width="8" style="1661"/>
    <col min="16129" max="16129" width="4.125" style="1661" customWidth="1"/>
    <col min="16130" max="16130" width="7.875" style="1661" customWidth="1"/>
    <col min="16131" max="16131" width="1.75" style="1661" customWidth="1"/>
    <col min="16132" max="16132" width="11.125" style="1661" customWidth="1"/>
    <col min="16133" max="16140" width="8.5" style="1661" customWidth="1"/>
    <col min="16141" max="16141" width="1.5" style="1661" customWidth="1"/>
    <col min="16142" max="16142" width="8" style="1661"/>
    <col min="16143" max="16143" width="8.5" style="1661" customWidth="1"/>
    <col min="16144" max="16144" width="7.875" style="1661" customWidth="1"/>
    <col min="16145" max="16145" width="4.125" style="1661" customWidth="1"/>
    <col min="16146" max="16147" width="7.75" style="1661" customWidth="1"/>
    <col min="16148" max="16384" width="8" style="1661"/>
  </cols>
  <sheetData>
    <row r="2" spans="1:42" ht="15" customHeight="1">
      <c r="A2" s="1885"/>
      <c r="B2" s="1886"/>
      <c r="C2" s="1886"/>
      <c r="D2" s="1886"/>
      <c r="E2" s="1886"/>
      <c r="F2" s="1886"/>
      <c r="G2" s="1886"/>
      <c r="H2" s="1886"/>
      <c r="I2" s="1887" t="s">
        <v>206</v>
      </c>
      <c r="J2" s="4500" t="str">
        <f>Details!B4</f>
        <v xml:space="preserve">PT Itamatra Nusantara </v>
      </c>
      <c r="K2" s="4501"/>
      <c r="L2" s="4501"/>
      <c r="M2" s="4501"/>
      <c r="N2" s="4501"/>
      <c r="O2" s="4501"/>
      <c r="P2" s="4501"/>
      <c r="Q2" s="4502"/>
      <c r="T2" s="1888"/>
      <c r="AJ2" s="1888"/>
    </row>
    <row r="3" spans="1:42" ht="15" customHeight="1">
      <c r="A3" s="1889"/>
      <c r="I3" s="1890" t="s">
        <v>82</v>
      </c>
      <c r="J3" s="4503" t="str">
        <f>Details!B8</f>
        <v>hidroplogi</v>
      </c>
      <c r="K3" s="4504"/>
      <c r="L3" s="4504"/>
      <c r="M3" s="4504"/>
      <c r="N3" s="4504"/>
      <c r="O3" s="4504"/>
      <c r="P3" s="4504"/>
      <c r="Q3" s="4505"/>
      <c r="T3" s="1888"/>
      <c r="AJ3" s="1888"/>
    </row>
    <row r="4" spans="1:42" ht="15" customHeight="1">
      <c r="A4" s="1889"/>
      <c r="I4" s="1890" t="s">
        <v>77</v>
      </c>
      <c r="J4" s="4506" t="str">
        <f>Details!B3</f>
        <v>PO-GQT-19</v>
      </c>
      <c r="K4" s="4507"/>
      <c r="L4" s="4507"/>
      <c r="M4" s="4508"/>
      <c r="N4" s="4512" t="s">
        <v>76</v>
      </c>
      <c r="O4" s="4513"/>
      <c r="P4" s="4498">
        <f>Details!B35</f>
        <v>46223</v>
      </c>
      <c r="Q4" s="4499"/>
      <c r="T4" s="1892"/>
      <c r="Z4" s="1893"/>
      <c r="AJ4" s="1892"/>
      <c r="AP4" s="1893"/>
    </row>
    <row r="5" spans="1:42" ht="15" customHeight="1">
      <c r="A5" s="1889"/>
      <c r="I5" s="1894" t="s">
        <v>75</v>
      </c>
      <c r="J5" s="4509" t="str">
        <f>Details!B22</f>
        <v>AS Sumartadji</v>
      </c>
      <c r="K5" s="4510"/>
      <c r="L5" s="4510"/>
      <c r="M5" s="4511"/>
      <c r="N5" s="4514" t="s">
        <v>74</v>
      </c>
      <c r="O5" s="4515"/>
      <c r="P5" s="1896" t="str">
        <f>Details!B22</f>
        <v>AS Sumartadji</v>
      </c>
      <c r="Q5" s="1897"/>
      <c r="T5" s="1892"/>
      <c r="Z5" s="1892"/>
      <c r="AJ5" s="1892"/>
      <c r="AP5" s="1892"/>
    </row>
    <row r="6" spans="1:42" ht="15" customHeight="1">
      <c r="A6" s="1898"/>
      <c r="B6" s="1899"/>
      <c r="C6" s="1899"/>
      <c r="D6" s="1899"/>
      <c r="E6" s="1899"/>
      <c r="F6" s="1899"/>
      <c r="G6" s="1899"/>
      <c r="H6" s="1899"/>
      <c r="I6" s="1568"/>
      <c r="J6" s="1568"/>
      <c r="K6" s="1568"/>
      <c r="L6" s="1568"/>
      <c r="M6" s="1568"/>
      <c r="N6" s="1568"/>
      <c r="O6" s="1568"/>
      <c r="P6" s="1900"/>
      <c r="Q6" s="1901"/>
      <c r="T6" s="1568"/>
      <c r="U6" s="1568"/>
      <c r="V6" s="1568"/>
      <c r="W6" s="1568"/>
      <c r="X6" s="1568"/>
      <c r="Y6" s="1568"/>
      <c r="Z6" s="1568"/>
      <c r="AB6" s="1568"/>
      <c r="AC6" s="1568"/>
      <c r="AD6" s="1568"/>
      <c r="AE6" s="1568"/>
      <c r="AF6" s="1568"/>
      <c r="AG6" s="1568"/>
      <c r="AH6" s="1568"/>
      <c r="AI6" s="1568"/>
      <c r="AJ6" s="1568"/>
      <c r="AK6" s="1568"/>
      <c r="AL6" s="1568"/>
      <c r="AM6" s="1568"/>
      <c r="AN6" s="1568"/>
      <c r="AO6" s="1568"/>
      <c r="AP6" s="1568"/>
    </row>
    <row r="7" spans="1:42" ht="15" customHeight="1">
      <c r="A7" s="1902" t="s">
        <v>945</v>
      </c>
      <c r="B7" s="1672"/>
      <c r="C7" s="1672"/>
      <c r="D7" s="1672"/>
      <c r="E7" s="1672"/>
      <c r="F7" s="1672"/>
      <c r="G7" s="1903"/>
      <c r="H7" s="1903"/>
      <c r="I7" s="1672"/>
      <c r="J7" s="1672"/>
      <c r="K7" s="1672"/>
      <c r="L7" s="1672"/>
      <c r="M7" s="1672"/>
      <c r="N7" s="1672"/>
      <c r="O7" s="1672"/>
      <c r="P7" s="1904"/>
      <c r="Q7" s="1901"/>
      <c r="R7" s="1905"/>
      <c r="T7" s="1672"/>
      <c r="U7" s="1672"/>
      <c r="V7" s="1672"/>
      <c r="W7" s="1672"/>
      <c r="X7" s="1672"/>
      <c r="Y7" s="1672"/>
      <c r="Z7" s="1672"/>
      <c r="AB7" s="1903"/>
      <c r="AC7" s="1672"/>
      <c r="AD7" s="1672"/>
      <c r="AE7" s="1672"/>
      <c r="AF7" s="1672"/>
      <c r="AG7" s="1903"/>
      <c r="AH7" s="1903"/>
      <c r="AI7" s="1672"/>
      <c r="AJ7" s="1672"/>
      <c r="AK7" s="1672"/>
      <c r="AL7" s="1672"/>
      <c r="AM7" s="1672"/>
      <c r="AN7" s="1672"/>
      <c r="AO7" s="1672"/>
      <c r="AP7" s="1672"/>
    </row>
    <row r="8" spans="1:42" ht="15" customHeight="1">
      <c r="A8" s="1906"/>
      <c r="B8" s="1672"/>
      <c r="C8" s="1672"/>
      <c r="D8" s="1672"/>
      <c r="E8" s="1672"/>
      <c r="F8" s="1672"/>
      <c r="G8" s="1672"/>
      <c r="H8" s="1672"/>
      <c r="I8" s="1672"/>
      <c r="J8" s="1672"/>
      <c r="K8" s="1672"/>
      <c r="L8" s="1672"/>
      <c r="M8" s="1672"/>
      <c r="N8" s="1672"/>
      <c r="O8" s="1672"/>
      <c r="P8" s="1672"/>
      <c r="Q8" s="1901"/>
      <c r="Z8" s="1672"/>
      <c r="AB8" s="1907"/>
      <c r="AC8" s="1672"/>
      <c r="AD8" s="1672"/>
      <c r="AE8" s="1672"/>
      <c r="AF8" s="1672"/>
      <c r="AG8" s="1672"/>
      <c r="AH8" s="1672"/>
      <c r="AI8" s="1672"/>
      <c r="AJ8" s="1672"/>
      <c r="AK8" s="1672"/>
      <c r="AL8" s="1672"/>
      <c r="AM8" s="1672"/>
      <c r="AN8" s="1672"/>
      <c r="AO8" s="1672"/>
      <c r="AP8" s="1672"/>
    </row>
    <row r="9" spans="1:42" ht="15" customHeight="1">
      <c r="A9" s="1889"/>
      <c r="B9" s="1661" t="s">
        <v>208</v>
      </c>
      <c r="C9" s="1661" t="s">
        <v>27</v>
      </c>
      <c r="D9" s="1666" t="str">
        <f>Details!B9</f>
        <v>Morowali Utara</v>
      </c>
      <c r="E9" s="1892"/>
      <c r="K9" s="1661" t="s">
        <v>944</v>
      </c>
      <c r="M9" s="1661" t="s">
        <v>27</v>
      </c>
      <c r="N9" s="1884" t="str">
        <f>Details!B16</f>
        <v>Undisturbed Sample / UDS</v>
      </c>
      <c r="O9" s="1892"/>
      <c r="Q9" s="1901"/>
      <c r="AO9" s="1892"/>
    </row>
    <row r="10" spans="1:42" ht="15" customHeight="1">
      <c r="A10" s="1889"/>
      <c r="B10" s="1661" t="s">
        <v>943</v>
      </c>
      <c r="C10" s="1661" t="s">
        <v>27</v>
      </c>
      <c r="D10" s="1884" t="str">
        <f>Details!B1</f>
        <v>BH-05_UDS-01</v>
      </c>
      <c r="E10" s="1892"/>
      <c r="F10" s="1892"/>
      <c r="K10" s="1661" t="s">
        <v>942</v>
      </c>
      <c r="M10" s="1661" t="s">
        <v>27</v>
      </c>
      <c r="N10" s="1884" t="str">
        <f>Details!B14</f>
        <v>silty CLAY with sand</v>
      </c>
      <c r="Q10" s="1901"/>
      <c r="AF10" s="1892"/>
    </row>
    <row r="11" spans="1:42" ht="15" customHeight="1">
      <c r="A11" s="1889"/>
      <c r="B11" s="1661" t="s">
        <v>210</v>
      </c>
      <c r="C11" s="1661" t="s">
        <v>27</v>
      </c>
      <c r="D11" s="1884" t="str">
        <f>Details!B13</f>
        <v>0,00-0,50</v>
      </c>
      <c r="E11" s="1892" t="s">
        <v>68</v>
      </c>
      <c r="F11" s="1892"/>
      <c r="K11" s="1568" t="s">
        <v>941</v>
      </c>
      <c r="M11" s="1568" t="s">
        <v>27</v>
      </c>
      <c r="N11" s="1884"/>
      <c r="Q11" s="1901"/>
      <c r="AF11" s="1892"/>
      <c r="AK11" s="1568"/>
      <c r="AL11" s="1568"/>
      <c r="AM11" s="1568"/>
    </row>
    <row r="12" spans="1:42" ht="15" customHeight="1">
      <c r="A12" s="1889"/>
      <c r="L12" s="1672"/>
      <c r="M12" s="1672"/>
      <c r="Q12" s="1901"/>
      <c r="AL12" s="1672"/>
      <c r="AM12" s="1672"/>
    </row>
    <row r="13" spans="1:42" ht="15" customHeight="1">
      <c r="A13" s="1889"/>
      <c r="B13" s="1908" t="s">
        <v>940</v>
      </c>
      <c r="L13" s="1672"/>
      <c r="M13" s="1672"/>
      <c r="Q13" s="1901"/>
      <c r="AL13" s="1672"/>
      <c r="AM13" s="1672"/>
    </row>
    <row r="14" spans="1:42" ht="15" customHeight="1">
      <c r="A14" s="1889"/>
      <c r="B14" s="1909" t="s">
        <v>939</v>
      </c>
      <c r="C14" s="1910"/>
      <c r="D14" s="1910"/>
      <c r="E14" s="1910"/>
      <c r="F14" s="1911"/>
      <c r="H14" s="1885" t="s">
        <v>938</v>
      </c>
      <c r="I14" s="1886"/>
      <c r="J14" s="1886"/>
      <c r="K14" s="1886"/>
      <c r="L14" s="1912"/>
      <c r="M14" s="4519" t="s">
        <v>937</v>
      </c>
      <c r="N14" s="4520"/>
      <c r="O14" s="4521"/>
      <c r="Q14" s="1901"/>
      <c r="AL14" s="1672"/>
      <c r="AM14" s="1672"/>
    </row>
    <row r="15" spans="1:42" ht="15" customHeight="1">
      <c r="A15" s="1889"/>
      <c r="B15" s="4519" t="s">
        <v>936</v>
      </c>
      <c r="C15" s="4520"/>
      <c r="D15" s="4521"/>
      <c r="E15" s="4520" t="s">
        <v>935</v>
      </c>
      <c r="F15" s="4521"/>
      <c r="H15" s="1914"/>
      <c r="I15" s="1669"/>
      <c r="J15" s="1669"/>
      <c r="K15" s="1669"/>
      <c r="L15" s="1915"/>
      <c r="M15" s="4519" t="s">
        <v>934</v>
      </c>
      <c r="N15" s="4521"/>
      <c r="O15" s="1913" t="s">
        <v>933</v>
      </c>
      <c r="Q15" s="1901"/>
      <c r="R15" s="1908"/>
      <c r="S15" s="1908"/>
      <c r="AA15" s="1672"/>
      <c r="AB15" s="1672"/>
      <c r="AL15" s="1672"/>
      <c r="AM15" s="1672"/>
    </row>
    <row r="16" spans="1:42" ht="15" customHeight="1">
      <c r="A16" s="1889"/>
      <c r="B16" s="4522">
        <v>76</v>
      </c>
      <c r="C16" s="4523"/>
      <c r="D16" s="4524"/>
      <c r="E16" s="4522">
        <v>38</v>
      </c>
      <c r="F16" s="4524"/>
      <c r="H16" s="1917" t="s">
        <v>932</v>
      </c>
      <c r="I16" s="1918"/>
      <c r="J16" s="1918"/>
      <c r="K16" s="1918"/>
      <c r="L16" s="1919"/>
      <c r="M16" s="1917"/>
      <c r="N16" s="1920"/>
      <c r="O16" s="1920"/>
      <c r="P16" s="1650"/>
      <c r="Q16" s="1901"/>
      <c r="R16" s="1661"/>
      <c r="S16" s="1661"/>
      <c r="T16" s="1650"/>
      <c r="U16" s="1650"/>
      <c r="W16" s="1650"/>
      <c r="X16" s="1921"/>
      <c r="Y16" s="1654"/>
      <c r="AA16" s="1921"/>
      <c r="AB16" s="1921"/>
      <c r="AC16" s="1921"/>
      <c r="AL16" s="1672"/>
      <c r="AM16" s="1672"/>
    </row>
    <row r="17" spans="1:39" ht="15" customHeight="1">
      <c r="A17" s="1889"/>
      <c r="B17" s="4516">
        <v>76</v>
      </c>
      <c r="C17" s="4517"/>
      <c r="D17" s="4518"/>
      <c r="E17" s="4516">
        <v>38</v>
      </c>
      <c r="F17" s="4518"/>
      <c r="H17" s="1922" t="s">
        <v>931</v>
      </c>
      <c r="I17" s="1923"/>
      <c r="J17" s="1923"/>
      <c r="K17" s="1923"/>
      <c r="L17" s="1924" t="s">
        <v>414</v>
      </c>
      <c r="M17" s="1925"/>
      <c r="N17" s="2001">
        <f>AVERAGE(PP!J27:K27)</f>
        <v>101.146</v>
      </c>
      <c r="O17" s="2001">
        <v>165.28</v>
      </c>
      <c r="Q17" s="1901"/>
      <c r="R17" s="1661"/>
      <c r="S17" s="1661"/>
      <c r="T17" s="1568"/>
      <c r="U17" s="1650"/>
      <c r="W17" s="1650"/>
      <c r="X17" s="1921"/>
      <c r="Y17" s="1654"/>
      <c r="AA17" s="1905"/>
      <c r="AB17" s="1905"/>
      <c r="AC17" s="1903"/>
      <c r="AD17" s="1672"/>
      <c r="AL17" s="1672"/>
      <c r="AM17" s="1672"/>
    </row>
    <row r="18" spans="1:39" ht="15" customHeight="1">
      <c r="A18" s="1889"/>
      <c r="B18" s="4516">
        <v>76</v>
      </c>
      <c r="C18" s="4517"/>
      <c r="D18" s="4518"/>
      <c r="E18" s="4516">
        <v>38</v>
      </c>
      <c r="F18" s="4518"/>
      <c r="H18" s="1922" t="s">
        <v>930</v>
      </c>
      <c r="I18" s="1923"/>
      <c r="J18" s="1923"/>
      <c r="K18" s="1923"/>
      <c r="L18" s="1924" t="s">
        <v>414</v>
      </c>
      <c r="M18" s="1925"/>
      <c r="N18" s="2001">
        <f>AVERAGE(PP!J28:K28)</f>
        <v>73.131</v>
      </c>
      <c r="O18" s="2001">
        <v>141.41999999999999</v>
      </c>
      <c r="Q18" s="1901"/>
      <c r="T18" s="1921"/>
      <c r="U18" s="1654"/>
      <c r="V18" s="1568"/>
      <c r="X18" s="1926"/>
      <c r="Y18" s="1673"/>
      <c r="AA18" s="1927"/>
      <c r="AB18" s="1927"/>
      <c r="AC18" s="1928"/>
      <c r="AD18" s="1929"/>
      <c r="AL18" s="1672"/>
      <c r="AM18" s="1672"/>
    </row>
    <row r="19" spans="1:39" ht="15" customHeight="1">
      <c r="A19" s="1889"/>
      <c r="B19" s="1922" t="s">
        <v>929</v>
      </c>
      <c r="C19" s="1930"/>
      <c r="D19" s="1931">
        <f>+AVERAGE(B16:B18)</f>
        <v>76</v>
      </c>
      <c r="E19" s="1931" t="s">
        <v>928</v>
      </c>
      <c r="F19" s="1931">
        <f>+AVERAGE(E16:E18)</f>
        <v>38</v>
      </c>
      <c r="H19" s="1922" t="s">
        <v>927</v>
      </c>
      <c r="I19" s="1923"/>
      <c r="J19" s="1923"/>
      <c r="K19" s="1923"/>
      <c r="L19" s="1924" t="s">
        <v>414</v>
      </c>
      <c r="M19" s="1925"/>
      <c r="N19" s="2001">
        <f>AVERAGE(PP!J29:K29)</f>
        <v>10.3605</v>
      </c>
      <c r="O19" s="2001">
        <v>0</v>
      </c>
      <c r="Q19" s="1901"/>
      <c r="T19" s="1921"/>
      <c r="U19" s="1673"/>
      <c r="X19" s="1932"/>
      <c r="Y19" s="1673"/>
      <c r="AA19" s="1927"/>
      <c r="AB19" s="1927"/>
      <c r="AC19" s="1933"/>
      <c r="AD19" s="1929"/>
      <c r="AL19" s="1672"/>
      <c r="AM19" s="1672"/>
    </row>
    <row r="20" spans="1:39" ht="15" customHeight="1">
      <c r="A20" s="1889"/>
      <c r="B20" s="1922" t="s">
        <v>926</v>
      </c>
      <c r="C20" s="1923"/>
      <c r="D20" s="1923"/>
      <c r="E20" s="1923"/>
      <c r="F20" s="1930"/>
      <c r="H20" s="1922" t="s">
        <v>925</v>
      </c>
      <c r="I20" s="1923"/>
      <c r="J20" s="1923"/>
      <c r="K20" s="1923"/>
      <c r="L20" s="1930"/>
      <c r="M20" s="1923"/>
      <c r="N20" s="2002">
        <f>N17-N19</f>
        <v>90.785499999999999</v>
      </c>
      <c r="O20" s="2002">
        <f>O17-O19</f>
        <v>165.28</v>
      </c>
      <c r="Q20" s="1901"/>
      <c r="S20" s="4525"/>
      <c r="T20" s="4525"/>
      <c r="U20" s="4525"/>
      <c r="V20" s="4526"/>
      <c r="W20" s="4526"/>
      <c r="X20" s="1926"/>
      <c r="Y20" s="1673"/>
      <c r="AA20" s="1892"/>
      <c r="AB20" s="1892"/>
      <c r="AC20" s="1933"/>
      <c r="AD20" s="1935"/>
      <c r="AL20" s="1672"/>
      <c r="AM20" s="1672"/>
    </row>
    <row r="21" spans="1:39" ht="15" customHeight="1">
      <c r="A21" s="1889"/>
      <c r="B21" s="1922" t="s">
        <v>924</v>
      </c>
      <c r="C21" s="1923"/>
      <c r="D21" s="1923"/>
      <c r="E21" s="1924" t="s">
        <v>923</v>
      </c>
      <c r="F21" s="1999">
        <f>(PI()/4)*F19^2</f>
        <v>1134.1149479459152</v>
      </c>
      <c r="H21" s="1922" t="s">
        <v>922</v>
      </c>
      <c r="I21" s="1923"/>
      <c r="J21" s="1923"/>
      <c r="K21" s="1923"/>
      <c r="L21" s="1930"/>
      <c r="M21" s="1923"/>
      <c r="N21" s="2001">
        <f>AVERAGE(PP!J31:K31)</f>
        <v>62.770499999999998</v>
      </c>
      <c r="O21" s="2001">
        <v>141.41999999999999</v>
      </c>
      <c r="Q21" s="1901"/>
      <c r="S21" s="1934"/>
      <c r="T21" s="1934"/>
      <c r="U21" s="1934"/>
      <c r="V21" s="1673"/>
      <c r="W21" s="1673"/>
      <c r="X21" s="1926"/>
      <c r="Y21" s="1673"/>
      <c r="AA21" s="1892"/>
      <c r="AB21" s="1892"/>
      <c r="AC21" s="1933"/>
      <c r="AD21" s="1935"/>
      <c r="AL21" s="1672"/>
      <c r="AM21" s="1672"/>
    </row>
    <row r="22" spans="1:39" ht="15" customHeight="1">
      <c r="A22" s="1889"/>
      <c r="B22" s="1922" t="s">
        <v>921</v>
      </c>
      <c r="C22" s="1923"/>
      <c r="D22" s="1923"/>
      <c r="E22" s="1924" t="s">
        <v>563</v>
      </c>
      <c r="F22" s="1999">
        <f>(F21*D19)/1000</f>
        <v>86.192736043889553</v>
      </c>
      <c r="H22" s="1922" t="s">
        <v>419</v>
      </c>
      <c r="I22" s="1923"/>
      <c r="J22" s="1923"/>
      <c r="K22" s="1923"/>
      <c r="L22" s="1924" t="s">
        <v>414</v>
      </c>
      <c r="M22" s="1925"/>
      <c r="N22" s="2002">
        <f>N20-N21</f>
        <v>28.015000000000001</v>
      </c>
      <c r="O22" s="2002">
        <f>O20-O21</f>
        <v>23.860000000000014</v>
      </c>
      <c r="Q22" s="1901"/>
      <c r="S22" s="4525"/>
      <c r="T22" s="4525"/>
      <c r="U22" s="4525"/>
      <c r="V22" s="4526"/>
      <c r="W22" s="4526"/>
      <c r="X22" s="1926"/>
      <c r="Y22" s="1926"/>
      <c r="AC22" s="1892"/>
      <c r="AD22" s="1926"/>
      <c r="AL22" s="1672"/>
      <c r="AM22" s="1672"/>
    </row>
    <row r="23" spans="1:39" ht="15" customHeight="1">
      <c r="A23" s="1889"/>
      <c r="B23" s="1922" t="s">
        <v>920</v>
      </c>
      <c r="C23" s="1923"/>
      <c r="D23" s="1923"/>
      <c r="E23" s="1924" t="s">
        <v>917</v>
      </c>
      <c r="F23" s="1999">
        <f>N20/F22</f>
        <v>1.0532848145552753</v>
      </c>
      <c r="H23" s="1937" t="s">
        <v>919</v>
      </c>
      <c r="I23" s="1569"/>
      <c r="J23" s="1938"/>
      <c r="K23" s="1569"/>
      <c r="L23" s="1939" t="s">
        <v>1</v>
      </c>
      <c r="M23" s="1940"/>
      <c r="N23" s="2003">
        <f>(N22/N21)*100</f>
        <v>44.630837734286011</v>
      </c>
      <c r="O23" s="2003">
        <f>(O22/O21)*100</f>
        <v>16.871729599773737</v>
      </c>
      <c r="Q23" s="1901"/>
      <c r="S23" s="4525"/>
      <c r="T23" s="4525"/>
      <c r="U23" s="4525"/>
      <c r="V23" s="4525"/>
      <c r="W23" s="4525"/>
      <c r="X23" s="1654"/>
      <c r="Y23" s="1650"/>
      <c r="AD23" s="1650"/>
      <c r="AL23" s="1672"/>
      <c r="AM23" s="1672"/>
    </row>
    <row r="24" spans="1:39" ht="15" customHeight="1">
      <c r="A24" s="1889"/>
      <c r="B24" s="1922" t="s">
        <v>919</v>
      </c>
      <c r="C24" s="1923"/>
      <c r="D24" s="1923"/>
      <c r="E24" s="1924" t="s">
        <v>1</v>
      </c>
      <c r="F24" s="1999">
        <f>N23</f>
        <v>44.630837734286011</v>
      </c>
      <c r="Q24" s="1901"/>
      <c r="V24" s="1672"/>
      <c r="W24" s="1672"/>
      <c r="AL24" s="1672"/>
      <c r="AM24" s="1672"/>
    </row>
    <row r="25" spans="1:39" ht="15" customHeight="1">
      <c r="A25" s="1889"/>
      <c r="B25" s="1941" t="s">
        <v>918</v>
      </c>
      <c r="C25" s="1938"/>
      <c r="D25" s="1938"/>
      <c r="E25" s="1939" t="s">
        <v>917</v>
      </c>
      <c r="F25" s="2000">
        <f>PP!J41</f>
        <v>1.1650972236070354</v>
      </c>
      <c r="J25" s="1650"/>
      <c r="K25" s="1650"/>
      <c r="M25" s="1650"/>
      <c r="N25" s="1921"/>
      <c r="O25" s="1654"/>
      <c r="P25" s="1654"/>
      <c r="Q25" s="1901"/>
      <c r="V25" s="1672"/>
      <c r="W25" s="1672"/>
      <c r="AL25" s="1672"/>
      <c r="AM25" s="1672"/>
    </row>
    <row r="26" spans="1:39" ht="15" customHeight="1">
      <c r="A26" s="1889"/>
      <c r="J26" s="1568"/>
      <c r="K26" s="1650"/>
      <c r="M26" s="1650"/>
      <c r="N26" s="1921"/>
      <c r="O26" s="1654"/>
      <c r="P26" s="1654"/>
      <c r="Q26" s="1901"/>
      <c r="V26" s="1672"/>
      <c r="W26" s="1672"/>
      <c r="AL26" s="1672"/>
      <c r="AM26" s="1672"/>
    </row>
    <row r="27" spans="1:39" ht="15" customHeight="1">
      <c r="A27" s="1889"/>
      <c r="B27" s="1908" t="s">
        <v>916</v>
      </c>
      <c r="K27" s="1650"/>
      <c r="L27" s="1943"/>
      <c r="M27" s="1568"/>
      <c r="N27" s="1568"/>
      <c r="Q27" s="1901"/>
      <c r="V27" s="1672"/>
      <c r="W27" s="1672"/>
      <c r="AL27" s="1672"/>
      <c r="AM27" s="1672"/>
    </row>
    <row r="28" spans="1:39" ht="15" customHeight="1">
      <c r="A28" s="1889"/>
      <c r="F28" s="1650"/>
      <c r="G28" s="1674"/>
      <c r="H28" s="1650"/>
      <c r="I28" s="1650"/>
      <c r="J28" s="1650"/>
      <c r="K28" s="1650"/>
      <c r="L28" s="1943"/>
      <c r="M28" s="1568"/>
      <c r="N28" s="1568"/>
      <c r="Q28" s="1901"/>
      <c r="V28" s="1672"/>
      <c r="W28" s="1672"/>
      <c r="AL28" s="1672"/>
      <c r="AM28" s="1672"/>
    </row>
    <row r="29" spans="1:39" s="1651" customFormat="1" ht="26.25" customHeight="1">
      <c r="A29" s="1944"/>
      <c r="B29" s="1945" t="s">
        <v>915</v>
      </c>
      <c r="C29" s="1652"/>
      <c r="D29" s="1546" t="s">
        <v>914</v>
      </c>
      <c r="E29" s="1546" t="s">
        <v>913</v>
      </c>
      <c r="F29" s="1946" t="s">
        <v>912</v>
      </c>
      <c r="G29" s="4527" t="s">
        <v>911</v>
      </c>
      <c r="H29" s="4529" t="s">
        <v>910</v>
      </c>
      <c r="I29" s="4530"/>
      <c r="J29" s="4531"/>
      <c r="K29" s="4532" t="s">
        <v>909</v>
      </c>
      <c r="L29" s="4532"/>
      <c r="M29" s="4532"/>
      <c r="N29" s="4532"/>
      <c r="O29" s="4532"/>
      <c r="P29" s="4533"/>
      <c r="Q29" s="1649"/>
      <c r="R29" s="1947"/>
      <c r="S29" s="1947"/>
      <c r="V29" s="1948"/>
      <c r="W29" s="1948"/>
      <c r="AL29" s="1948"/>
      <c r="AM29" s="1948"/>
    </row>
    <row r="30" spans="1:39" ht="40.35" customHeight="1">
      <c r="A30" s="1889"/>
      <c r="B30" s="1545" t="s">
        <v>908</v>
      </c>
      <c r="C30" s="1544"/>
      <c r="D30" s="1543" t="s">
        <v>908</v>
      </c>
      <c r="E30" s="1543" t="s">
        <v>908</v>
      </c>
      <c r="F30" s="1543" t="s">
        <v>908</v>
      </c>
      <c r="G30" s="4528"/>
      <c r="H30" s="1543" t="s">
        <v>907</v>
      </c>
      <c r="I30" s="1543" t="s">
        <v>906</v>
      </c>
      <c r="J30" s="1543" t="s">
        <v>947</v>
      </c>
      <c r="K30" s="1542" t="s">
        <v>907</v>
      </c>
      <c r="L30" s="1541" t="s">
        <v>906</v>
      </c>
      <c r="M30" s="4534" t="s">
        <v>947</v>
      </c>
      <c r="N30" s="4534"/>
      <c r="O30" s="1949" t="s">
        <v>904</v>
      </c>
      <c r="P30" s="1949" t="s">
        <v>946</v>
      </c>
      <c r="Q30" s="1901"/>
      <c r="V30" s="1672"/>
      <c r="W30" s="1672"/>
      <c r="AL30" s="1672"/>
      <c r="AM30" s="1672"/>
    </row>
    <row r="31" spans="1:39" ht="15" customHeight="1">
      <c r="A31" s="1889"/>
      <c r="B31" s="1917"/>
      <c r="C31" s="1919"/>
      <c r="D31" s="1950"/>
      <c r="E31" s="1950"/>
      <c r="F31" s="1638"/>
      <c r="G31" s="1641"/>
      <c r="H31" s="1638"/>
      <c r="I31" s="1638"/>
      <c r="J31" s="1638"/>
      <c r="K31" s="1638"/>
      <c r="L31" s="1951"/>
      <c r="M31" s="1573"/>
      <c r="N31" s="1573"/>
      <c r="O31" s="1638"/>
      <c r="P31" s="1638"/>
      <c r="Q31" s="1901"/>
      <c r="T31" s="1952" t="s">
        <v>902</v>
      </c>
      <c r="V31" s="1672"/>
      <c r="W31" s="1672"/>
      <c r="AL31" s="1672"/>
      <c r="AM31" s="1672"/>
    </row>
    <row r="32" spans="1:39" ht="15" customHeight="1">
      <c r="A32" s="1889"/>
      <c r="B32" s="1916">
        <v>0</v>
      </c>
      <c r="C32" s="1930"/>
      <c r="D32" s="1916">
        <v>0</v>
      </c>
      <c r="E32" s="1916">
        <v>0</v>
      </c>
      <c r="F32" s="1625"/>
      <c r="G32" s="1631"/>
      <c r="H32" s="1625"/>
      <c r="I32" s="1625"/>
      <c r="J32" s="1625"/>
      <c r="K32" s="1625"/>
      <c r="L32" s="1953"/>
      <c r="M32" s="1572"/>
      <c r="N32" s="1572"/>
      <c r="O32" s="1954"/>
      <c r="P32" s="1954"/>
      <c r="Q32" s="1901"/>
      <c r="T32" s="1661">
        <f>B32</f>
        <v>0</v>
      </c>
      <c r="V32" s="1672"/>
      <c r="W32" s="1672"/>
      <c r="AL32" s="1672"/>
      <c r="AM32" s="1672"/>
    </row>
    <row r="33" spans="1:42" ht="15" customHeight="1">
      <c r="A33" s="1889"/>
      <c r="B33" s="1916">
        <v>50</v>
      </c>
      <c r="C33" s="1930"/>
      <c r="D33" s="1955" t="s">
        <v>309</v>
      </c>
      <c r="E33" s="1916">
        <v>12</v>
      </c>
      <c r="F33" s="1625">
        <f>ABS(E33-E32)</f>
        <v>12</v>
      </c>
      <c r="G33" s="1628">
        <f>F33/(B33-B32)</f>
        <v>0.24</v>
      </c>
      <c r="H33" s="1625"/>
      <c r="I33" s="1625"/>
      <c r="J33" s="1625"/>
      <c r="K33" s="1956"/>
      <c r="L33" s="1957"/>
      <c r="M33" s="1572"/>
      <c r="N33" s="1572"/>
      <c r="O33" s="1954"/>
      <c r="P33" s="1954"/>
      <c r="Q33" s="1901"/>
      <c r="T33" s="1661">
        <f>B33</f>
        <v>50</v>
      </c>
      <c r="U33" s="1667">
        <f>G33</f>
        <v>0.24</v>
      </c>
      <c r="V33" s="1672"/>
      <c r="W33" s="1672"/>
      <c r="AL33" s="1672"/>
      <c r="AM33" s="1672"/>
    </row>
    <row r="34" spans="1:42" ht="15" customHeight="1">
      <c r="A34" s="1889"/>
      <c r="B34" s="1916">
        <v>50</v>
      </c>
      <c r="C34" s="1930"/>
      <c r="D34" s="1916">
        <v>40</v>
      </c>
      <c r="E34" s="1916">
        <v>40</v>
      </c>
      <c r="F34" s="1625"/>
      <c r="G34" s="1628"/>
      <c r="H34" s="1916">
        <v>29.1</v>
      </c>
      <c r="I34" s="1916">
        <v>30.7</v>
      </c>
      <c r="J34" s="1958">
        <f>ABS(H34-I34)</f>
        <v>1.5999999999999979</v>
      </c>
      <c r="K34" s="1956"/>
      <c r="L34" s="1957"/>
      <c r="M34" s="1572"/>
      <c r="N34" s="1572"/>
      <c r="O34" s="1954"/>
      <c r="P34" s="1954"/>
      <c r="Q34" s="1901"/>
      <c r="T34" s="1661">
        <f>B35</f>
        <v>100</v>
      </c>
      <c r="U34" s="1667">
        <f>G35</f>
        <v>0.38</v>
      </c>
      <c r="V34" s="1672"/>
      <c r="W34" s="1672"/>
      <c r="AL34" s="1672"/>
      <c r="AM34" s="1672"/>
    </row>
    <row r="35" spans="1:42" ht="15" customHeight="1">
      <c r="A35" s="1889"/>
      <c r="B35" s="1916">
        <v>100</v>
      </c>
      <c r="C35" s="1930"/>
      <c r="D35" s="1955" t="s">
        <v>309</v>
      </c>
      <c r="E35" s="1916">
        <v>59</v>
      </c>
      <c r="F35" s="1625">
        <f>ABS(E35-E34)</f>
        <v>19</v>
      </c>
      <c r="G35" s="1628">
        <f>F35/(B35-B34)</f>
        <v>0.38</v>
      </c>
      <c r="H35" s="1955"/>
      <c r="I35" s="1955"/>
      <c r="J35" s="1958"/>
      <c r="K35" s="1956"/>
      <c r="L35" s="1957"/>
      <c r="M35" s="1572"/>
      <c r="N35" s="1572"/>
      <c r="O35" s="1954"/>
      <c r="P35" s="1954"/>
      <c r="Q35" s="1901"/>
      <c r="T35" s="1661">
        <f>B37</f>
        <v>150</v>
      </c>
      <c r="U35" s="1667">
        <f>G37</f>
        <v>0.62</v>
      </c>
      <c r="V35" s="1672"/>
      <c r="W35" s="1672"/>
      <c r="AL35" s="1672"/>
      <c r="AM35" s="1672"/>
    </row>
    <row r="36" spans="1:42" ht="15" customHeight="1">
      <c r="A36" s="1889"/>
      <c r="B36" s="1916">
        <v>100</v>
      </c>
      <c r="C36" s="1930"/>
      <c r="D36" s="1916">
        <v>90</v>
      </c>
      <c r="E36" s="1916">
        <v>90</v>
      </c>
      <c r="F36" s="1625"/>
      <c r="G36" s="1628"/>
      <c r="H36" s="1916">
        <f>I34</f>
        <v>30.7</v>
      </c>
      <c r="I36" s="1916">
        <v>32</v>
      </c>
      <c r="J36" s="1958">
        <f>ABS(H36-I36)</f>
        <v>1.3000000000000007</v>
      </c>
      <c r="K36" s="1956"/>
      <c r="L36" s="1957"/>
      <c r="M36" s="1572"/>
      <c r="N36" s="1572"/>
      <c r="O36" s="1954"/>
      <c r="P36" s="1954"/>
      <c r="Q36" s="1901"/>
      <c r="T36" s="1661">
        <f>B39</f>
        <v>200</v>
      </c>
      <c r="U36" s="1667">
        <f>G39</f>
        <v>0.86</v>
      </c>
      <c r="V36" s="1672"/>
      <c r="W36" s="1672"/>
      <c r="AL36" s="1672"/>
      <c r="AM36" s="1672"/>
    </row>
    <row r="37" spans="1:42" ht="15" customHeight="1">
      <c r="A37" s="1889"/>
      <c r="B37" s="1916">
        <v>150</v>
      </c>
      <c r="C37" s="1930"/>
      <c r="D37" s="1955" t="s">
        <v>309</v>
      </c>
      <c r="E37" s="1916">
        <v>121</v>
      </c>
      <c r="F37" s="1625">
        <f>ABS(E37-E36)</f>
        <v>31</v>
      </c>
      <c r="G37" s="1628">
        <f>F37/(B37-B36)</f>
        <v>0.62</v>
      </c>
      <c r="H37" s="1955"/>
      <c r="I37" s="1955"/>
      <c r="J37" s="1958"/>
      <c r="K37" s="1956"/>
      <c r="L37" s="1957"/>
      <c r="M37" s="1572"/>
      <c r="N37" s="1572"/>
      <c r="O37" s="1954"/>
      <c r="P37" s="1954"/>
      <c r="Q37" s="1901"/>
      <c r="T37" s="1661">
        <f>B41</f>
        <v>240</v>
      </c>
      <c r="U37" s="1667">
        <f>G41</f>
        <v>0.96499999999999986</v>
      </c>
      <c r="V37" s="1672"/>
      <c r="W37" s="1672"/>
      <c r="AL37" s="1672"/>
      <c r="AM37" s="1672"/>
    </row>
    <row r="38" spans="1:42" ht="15" customHeight="1">
      <c r="A38" s="1889"/>
      <c r="B38" s="1916">
        <v>150</v>
      </c>
      <c r="C38" s="1930"/>
      <c r="D38" s="1916">
        <v>140</v>
      </c>
      <c r="E38" s="1916">
        <v>140</v>
      </c>
      <c r="F38" s="1625"/>
      <c r="G38" s="1628"/>
      <c r="H38" s="1916">
        <f>I36</f>
        <v>32</v>
      </c>
      <c r="I38" s="1916">
        <v>33</v>
      </c>
      <c r="J38" s="1958">
        <f>ABS(H38-I38)</f>
        <v>1</v>
      </c>
      <c r="K38" s="1959"/>
      <c r="L38" s="1957"/>
      <c r="M38" s="1572"/>
      <c r="N38" s="1572"/>
      <c r="O38" s="1954"/>
      <c r="P38" s="1954"/>
      <c r="Q38" s="1901"/>
      <c r="T38" s="1661">
        <f>B43</f>
        <v>390</v>
      </c>
      <c r="U38" s="1667">
        <f>G43</f>
        <v>0.98</v>
      </c>
      <c r="V38" s="1672"/>
      <c r="W38" s="1672"/>
      <c r="AL38" s="1672"/>
      <c r="AM38" s="1672"/>
    </row>
    <row r="39" spans="1:42" ht="15" customHeight="1">
      <c r="A39" s="1889"/>
      <c r="B39" s="1916">
        <v>200</v>
      </c>
      <c r="C39" s="1930"/>
      <c r="D39" s="1955" t="s">
        <v>309</v>
      </c>
      <c r="E39" s="1916">
        <v>183</v>
      </c>
      <c r="F39" s="1625">
        <f>ABS(E39-E38)</f>
        <v>43</v>
      </c>
      <c r="G39" s="1628">
        <f>F39/(B39-B38)</f>
        <v>0.86</v>
      </c>
      <c r="H39" s="1955"/>
      <c r="I39" s="1955"/>
      <c r="J39" s="1958"/>
      <c r="K39" s="1959"/>
      <c r="L39" s="1960"/>
      <c r="M39" s="1572"/>
      <c r="N39" s="1572"/>
      <c r="O39" s="1954"/>
      <c r="P39" s="1954"/>
      <c r="Q39" s="1901"/>
      <c r="V39" s="1672"/>
      <c r="W39" s="1672"/>
      <c r="AL39" s="1672"/>
      <c r="AM39" s="1672"/>
    </row>
    <row r="40" spans="1:42" ht="15" customHeight="1">
      <c r="A40" s="1889"/>
      <c r="B40" s="1916">
        <v>200</v>
      </c>
      <c r="C40" s="1930"/>
      <c r="D40" s="1916">
        <v>190</v>
      </c>
      <c r="E40" s="1916">
        <v>190</v>
      </c>
      <c r="F40" s="1625"/>
      <c r="G40" s="1628"/>
      <c r="H40" s="1916">
        <f>I38</f>
        <v>33</v>
      </c>
      <c r="I40" s="1916">
        <v>33.799999999999997</v>
      </c>
      <c r="J40" s="1958">
        <f>ABS(H40-I40)</f>
        <v>0.79999999999999716</v>
      </c>
      <c r="K40" s="1959"/>
      <c r="L40" s="1960"/>
      <c r="M40" s="1961"/>
      <c r="N40" s="1923"/>
      <c r="O40" s="1954"/>
      <c r="P40" s="1954"/>
      <c r="Q40" s="1901"/>
      <c r="V40" s="1672"/>
      <c r="W40" s="1672"/>
      <c r="AL40" s="1672"/>
      <c r="AM40" s="1672"/>
    </row>
    <row r="41" spans="1:42" ht="15" customHeight="1">
      <c r="A41" s="1889"/>
      <c r="B41" s="1916">
        <v>240</v>
      </c>
      <c r="C41" s="1930"/>
      <c r="D41" s="1955"/>
      <c r="E41" s="1916">
        <v>228.6</v>
      </c>
      <c r="F41" s="1625">
        <f>ABS(E41-E40)</f>
        <v>38.599999999999994</v>
      </c>
      <c r="G41" s="1628">
        <f>F41/(B41-B40)</f>
        <v>0.96499999999999986</v>
      </c>
      <c r="H41" s="1962"/>
      <c r="I41" s="1962"/>
      <c r="J41" s="1631"/>
      <c r="K41" s="1959"/>
      <c r="L41" s="1960"/>
      <c r="M41" s="1961"/>
      <c r="N41" s="1923"/>
      <c r="O41" s="1954"/>
      <c r="P41" s="1954"/>
      <c r="Q41" s="1901"/>
      <c r="R41" s="1963"/>
      <c r="V41" s="1672"/>
      <c r="W41" s="1672"/>
      <c r="AL41" s="1672"/>
      <c r="AM41" s="1672"/>
    </row>
    <row r="42" spans="1:42" ht="15" customHeight="1">
      <c r="A42" s="1889"/>
      <c r="B42" s="1916">
        <v>290</v>
      </c>
      <c r="C42" s="1930"/>
      <c r="D42" s="1955"/>
      <c r="E42" s="1916">
        <v>276</v>
      </c>
      <c r="F42" s="1625"/>
      <c r="G42" s="1628"/>
      <c r="H42" s="1962"/>
      <c r="I42" s="1962"/>
      <c r="J42" s="1631"/>
      <c r="K42" s="1959"/>
      <c r="L42" s="1959"/>
      <c r="M42" s="1923"/>
      <c r="N42" s="1923"/>
      <c r="O42" s="1954"/>
      <c r="P42" s="1954"/>
      <c r="Q42" s="1901"/>
    </row>
    <row r="43" spans="1:42" ht="15" customHeight="1">
      <c r="A43" s="1889"/>
      <c r="B43" s="1916">
        <v>390</v>
      </c>
      <c r="C43" s="1930"/>
      <c r="D43" s="1955"/>
      <c r="E43" s="1916">
        <v>374</v>
      </c>
      <c r="F43" s="1625">
        <f>ABS(E43-E42)</f>
        <v>98</v>
      </c>
      <c r="G43" s="1628">
        <f>F43/(B43-B42)</f>
        <v>0.98</v>
      </c>
      <c r="H43" s="1962"/>
      <c r="I43" s="1962"/>
      <c r="J43" s="1631"/>
      <c r="K43" s="1959"/>
      <c r="L43" s="1959"/>
      <c r="M43" s="1923"/>
      <c r="N43" s="1923"/>
      <c r="O43" s="1954"/>
      <c r="P43" s="1954"/>
      <c r="Q43" s="1901"/>
    </row>
    <row r="44" spans="1:42" ht="15" customHeight="1">
      <c r="A44" s="1889"/>
      <c r="B44" s="1964"/>
      <c r="C44" s="1930"/>
      <c r="D44" s="1627"/>
      <c r="E44" s="1627"/>
      <c r="F44" s="1625"/>
      <c r="G44" s="1628"/>
      <c r="H44" s="1959"/>
      <c r="I44" s="1959"/>
      <c r="J44" s="1965"/>
      <c r="K44" s="1959"/>
      <c r="L44" s="1959"/>
      <c r="M44" s="1923"/>
      <c r="N44" s="1923"/>
      <c r="O44" s="1954"/>
      <c r="P44" s="1954"/>
      <c r="Q44" s="1901"/>
    </row>
    <row r="45" spans="1:42" ht="15" customHeight="1">
      <c r="A45" s="1889"/>
      <c r="B45" s="1966"/>
      <c r="C45" s="1930"/>
      <c r="D45" s="1959"/>
      <c r="E45" s="1959"/>
      <c r="F45" s="1954"/>
      <c r="G45" s="1628"/>
      <c r="H45" s="1959"/>
      <c r="I45" s="1959"/>
      <c r="J45" s="1965"/>
      <c r="K45" s="1959"/>
      <c r="L45" s="1959"/>
      <c r="M45" s="1923"/>
      <c r="N45" s="1923"/>
      <c r="O45" s="1954"/>
      <c r="P45" s="1954"/>
      <c r="Q45" s="1901"/>
    </row>
    <row r="46" spans="1:42" ht="15" customHeight="1">
      <c r="A46" s="1889"/>
      <c r="B46" s="1966"/>
      <c r="C46" s="1930"/>
      <c r="D46" s="1959"/>
      <c r="E46" s="1959"/>
      <c r="F46" s="1954"/>
      <c r="G46" s="1954"/>
      <c r="H46" s="1959"/>
      <c r="I46" s="1959"/>
      <c r="J46" s="1965"/>
      <c r="K46" s="1959"/>
      <c r="L46" s="1959"/>
      <c r="M46" s="1923"/>
      <c r="N46" s="1923"/>
      <c r="O46" s="1954"/>
      <c r="P46" s="1954"/>
      <c r="Q46" s="1901"/>
    </row>
    <row r="47" spans="1:42" ht="15" customHeight="1">
      <c r="A47" s="1902"/>
      <c r="B47" s="1967"/>
      <c r="C47" s="1968"/>
      <c r="D47" s="1960"/>
      <c r="E47" s="1960"/>
      <c r="F47" s="1969"/>
      <c r="G47" s="1969"/>
      <c r="H47" s="1960"/>
      <c r="I47" s="1960"/>
      <c r="J47" s="1953"/>
      <c r="K47" s="1960"/>
      <c r="L47" s="1960"/>
      <c r="M47" s="1961"/>
      <c r="N47" s="1961"/>
      <c r="O47" s="1969"/>
      <c r="P47" s="1969"/>
      <c r="Q47" s="1901"/>
      <c r="V47" s="1672"/>
      <c r="W47" s="1672"/>
      <c r="X47" s="1672"/>
      <c r="Y47" s="1672"/>
      <c r="Z47" s="1672"/>
      <c r="AB47" s="1903"/>
      <c r="AC47" s="1672"/>
      <c r="AD47" s="1672"/>
      <c r="AE47" s="1672"/>
      <c r="AF47" s="1672"/>
      <c r="AG47" s="1672"/>
      <c r="AH47" s="1672"/>
      <c r="AI47" s="1672"/>
      <c r="AJ47" s="1672"/>
      <c r="AK47" s="1672"/>
      <c r="AL47" s="1672"/>
      <c r="AM47" s="1672"/>
      <c r="AN47" s="1672"/>
      <c r="AO47" s="1672"/>
      <c r="AP47" s="1672"/>
    </row>
    <row r="48" spans="1:42" ht="15" customHeight="1">
      <c r="A48" s="1889"/>
      <c r="B48" s="4540"/>
      <c r="C48" s="4541"/>
      <c r="D48" s="4541"/>
      <c r="E48" s="4541"/>
      <c r="F48" s="4541"/>
      <c r="G48" s="4541"/>
      <c r="H48" s="4541"/>
      <c r="I48" s="4542"/>
      <c r="J48" s="1970"/>
      <c r="K48" s="1971"/>
      <c r="L48" s="1972"/>
      <c r="M48" s="1973"/>
      <c r="N48" s="1973"/>
      <c r="O48" s="1972"/>
      <c r="P48" s="1974"/>
      <c r="Q48" s="1901"/>
      <c r="V48" s="1671"/>
      <c r="W48" s="1671"/>
      <c r="X48" s="1671"/>
      <c r="Y48" s="1671"/>
      <c r="AE48" s="1568"/>
      <c r="AF48" s="1568"/>
      <c r="AI48" s="1921"/>
      <c r="AJ48" s="1975"/>
      <c r="AK48" s="1671"/>
      <c r="AL48" s="1671"/>
      <c r="AM48" s="1671"/>
      <c r="AN48" s="1671"/>
      <c r="AO48" s="1671"/>
    </row>
    <row r="49" spans="1:41" ht="15" customHeight="1">
      <c r="A49" s="1889"/>
      <c r="D49" s="1568"/>
      <c r="E49" s="1568"/>
      <c r="F49" s="1568"/>
      <c r="I49" s="1921"/>
      <c r="J49" s="1976"/>
      <c r="K49" s="1671"/>
      <c r="L49" s="1671"/>
      <c r="M49" s="1671"/>
      <c r="N49" s="1671"/>
      <c r="O49" s="1671"/>
      <c r="Q49" s="1901"/>
      <c r="V49" s="1671"/>
      <c r="W49" s="1671"/>
      <c r="X49" s="1671"/>
      <c r="Y49" s="1671"/>
      <c r="AE49" s="1568"/>
      <c r="AF49" s="1568"/>
      <c r="AI49" s="1921"/>
      <c r="AJ49" s="1976"/>
      <c r="AK49" s="1671"/>
      <c r="AL49" s="1671"/>
      <c r="AM49" s="1671"/>
      <c r="AN49" s="1671"/>
      <c r="AO49" s="1671"/>
    </row>
    <row r="50" spans="1:41" ht="15" customHeight="1">
      <c r="A50" s="1889"/>
      <c r="D50" s="1568"/>
      <c r="E50" s="1568"/>
      <c r="F50" s="1568"/>
      <c r="I50" s="1921"/>
      <c r="J50" s="1976"/>
      <c r="K50" s="1671"/>
      <c r="L50" s="1671"/>
      <c r="M50" s="1671"/>
      <c r="N50" s="1671"/>
      <c r="O50" s="1671"/>
      <c r="Q50" s="1901"/>
      <c r="V50" s="1671"/>
      <c r="W50" s="1671"/>
      <c r="X50" s="1671"/>
      <c r="Y50" s="1671"/>
      <c r="AE50" s="1568"/>
      <c r="AF50" s="1568"/>
      <c r="AI50" s="1921"/>
      <c r="AJ50" s="1976"/>
      <c r="AK50" s="1671"/>
      <c r="AL50" s="1671"/>
      <c r="AM50" s="1671"/>
      <c r="AN50" s="1671"/>
      <c r="AO50" s="1671"/>
    </row>
    <row r="51" spans="1:41" ht="15" customHeight="1">
      <c r="A51" s="1889"/>
      <c r="D51" s="1568"/>
      <c r="E51" s="1568"/>
      <c r="F51" s="1568"/>
      <c r="I51" s="1921"/>
      <c r="J51" s="1976"/>
      <c r="K51" s="1671"/>
      <c r="L51" s="1671"/>
      <c r="M51" s="1671"/>
      <c r="N51" s="1671"/>
      <c r="O51" s="1671"/>
      <c r="Q51" s="1901"/>
      <c r="V51" s="1671"/>
      <c r="W51" s="1671"/>
      <c r="X51" s="1671"/>
      <c r="Y51" s="1671"/>
      <c r="AE51" s="1568"/>
      <c r="AF51" s="1568"/>
      <c r="AI51" s="1921"/>
      <c r="AJ51" s="1976"/>
      <c r="AK51" s="1671"/>
      <c r="AL51" s="1671"/>
      <c r="AM51" s="1671"/>
      <c r="AN51" s="1671"/>
      <c r="AO51" s="1671"/>
    </row>
    <row r="52" spans="1:41" ht="15" customHeight="1">
      <c r="A52" s="1889"/>
      <c r="D52" s="1568"/>
      <c r="E52" s="1568"/>
      <c r="F52" s="1568"/>
      <c r="I52" s="1921"/>
      <c r="J52" s="1976"/>
      <c r="K52" s="1671"/>
      <c r="L52" s="1671"/>
      <c r="M52" s="1671"/>
      <c r="N52" s="1671"/>
      <c r="O52" s="1671"/>
      <c r="Q52" s="1901"/>
      <c r="V52" s="1671"/>
      <c r="W52" s="1671"/>
      <c r="X52" s="1671"/>
      <c r="Y52" s="1671"/>
      <c r="AE52" s="1568"/>
      <c r="AF52" s="1568"/>
      <c r="AI52" s="1921"/>
      <c r="AJ52" s="1976"/>
      <c r="AK52" s="1671"/>
      <c r="AL52" s="1671"/>
      <c r="AM52" s="1671"/>
      <c r="AN52" s="1671"/>
      <c r="AO52" s="1671"/>
    </row>
    <row r="53" spans="1:41" ht="15" customHeight="1">
      <c r="A53" s="1889"/>
      <c r="D53" s="1568"/>
      <c r="E53" s="1568"/>
      <c r="F53" s="1568"/>
      <c r="I53" s="1921"/>
      <c r="J53" s="1976"/>
      <c r="K53" s="1671"/>
      <c r="L53" s="1671"/>
      <c r="M53" s="1671"/>
      <c r="N53" s="1671"/>
      <c r="O53" s="1671"/>
      <c r="Q53" s="1901"/>
      <c r="V53" s="1671"/>
      <c r="W53" s="1671"/>
      <c r="X53" s="1671"/>
      <c r="Y53" s="1671"/>
      <c r="AE53" s="1568"/>
      <c r="AF53" s="1568"/>
      <c r="AI53" s="1921"/>
      <c r="AJ53" s="1976"/>
      <c r="AK53" s="1671"/>
      <c r="AL53" s="1671"/>
      <c r="AM53" s="1671"/>
      <c r="AN53" s="1671"/>
      <c r="AO53" s="1671"/>
    </row>
    <row r="54" spans="1:41" ht="15" customHeight="1">
      <c r="A54" s="1889"/>
      <c r="D54" s="1568"/>
      <c r="E54" s="1568"/>
      <c r="F54" s="1568"/>
      <c r="I54" s="1921"/>
      <c r="J54" s="1976"/>
      <c r="K54" s="1671"/>
      <c r="L54" s="1671"/>
      <c r="M54" s="1671"/>
      <c r="N54" s="1671"/>
      <c r="O54" s="1671"/>
      <c r="Q54" s="1901"/>
      <c r="V54" s="1671"/>
      <c r="W54" s="1671"/>
      <c r="X54" s="1671"/>
      <c r="Y54" s="1671"/>
      <c r="AE54" s="1568"/>
      <c r="AF54" s="1568"/>
      <c r="AI54" s="1921"/>
      <c r="AJ54" s="1976"/>
      <c r="AK54" s="1671"/>
      <c r="AL54" s="1671"/>
      <c r="AM54" s="1671"/>
      <c r="AN54" s="1671"/>
      <c r="AO54" s="1671"/>
    </row>
    <row r="55" spans="1:41" ht="15" customHeight="1">
      <c r="A55" s="1889"/>
      <c r="D55" s="1568"/>
      <c r="E55" s="1568"/>
      <c r="F55" s="1568"/>
      <c r="I55" s="1921"/>
      <c r="J55" s="1976"/>
      <c r="K55" s="1671"/>
      <c r="L55" s="1671"/>
      <c r="M55" s="1671"/>
      <c r="N55" s="1671"/>
      <c r="O55" s="1671"/>
      <c r="Q55" s="1901"/>
      <c r="V55" s="1671"/>
      <c r="W55" s="1671"/>
      <c r="X55" s="1671"/>
      <c r="Y55" s="1671"/>
      <c r="AE55" s="1568"/>
      <c r="AF55" s="1568"/>
      <c r="AI55" s="1921"/>
      <c r="AJ55" s="1976"/>
      <c r="AK55" s="1671"/>
      <c r="AL55" s="1671"/>
      <c r="AM55" s="1671"/>
      <c r="AN55" s="1671"/>
      <c r="AO55" s="1671"/>
    </row>
    <row r="56" spans="1:41" ht="15" customHeight="1">
      <c r="A56" s="1889"/>
      <c r="D56" s="1568"/>
      <c r="E56" s="1568"/>
      <c r="F56" s="1568"/>
      <c r="I56" s="1921"/>
      <c r="J56" s="1976"/>
      <c r="K56" s="1671"/>
      <c r="L56" s="1671"/>
      <c r="M56" s="1671"/>
      <c r="N56" s="1671"/>
      <c r="O56" s="1671"/>
      <c r="Q56" s="1901"/>
      <c r="V56" s="1671"/>
      <c r="W56" s="1671"/>
      <c r="X56" s="1671"/>
      <c r="Y56" s="1671"/>
      <c r="AE56" s="1568"/>
      <c r="AF56" s="1568"/>
      <c r="AI56" s="1921"/>
      <c r="AJ56" s="1976"/>
      <c r="AK56" s="1671"/>
      <c r="AL56" s="1671"/>
      <c r="AM56" s="1671"/>
      <c r="AN56" s="1671"/>
      <c r="AO56" s="1671"/>
    </row>
    <row r="57" spans="1:41" ht="15" customHeight="1">
      <c r="A57" s="1889"/>
      <c r="D57" s="1568"/>
      <c r="E57" s="1568"/>
      <c r="F57" s="1568"/>
      <c r="I57" s="1921"/>
      <c r="J57" s="1976"/>
      <c r="K57" s="1671"/>
      <c r="L57" s="1671"/>
      <c r="M57" s="1671"/>
      <c r="N57" s="1671"/>
      <c r="O57" s="1671"/>
      <c r="Q57" s="1901"/>
      <c r="V57" s="1671"/>
      <c r="W57" s="1671"/>
      <c r="X57" s="1671"/>
      <c r="Y57" s="1671"/>
      <c r="AE57" s="1568"/>
      <c r="AF57" s="1568"/>
      <c r="AI57" s="1921"/>
      <c r="AJ57" s="1976"/>
      <c r="AK57" s="1671"/>
      <c r="AL57" s="1671"/>
      <c r="AM57" s="1671"/>
      <c r="AN57" s="1671"/>
      <c r="AO57" s="1671"/>
    </row>
    <row r="58" spans="1:41" ht="15" customHeight="1">
      <c r="A58" s="1889"/>
      <c r="D58" s="1568"/>
      <c r="E58" s="1568"/>
      <c r="F58" s="1568"/>
      <c r="I58" s="1921"/>
      <c r="J58" s="1976"/>
      <c r="K58" s="1671"/>
      <c r="L58" s="1671"/>
      <c r="M58" s="1671"/>
      <c r="N58" s="1671"/>
      <c r="O58" s="1671"/>
      <c r="Q58" s="1901"/>
      <c r="V58" s="1671"/>
      <c r="W58" s="1671"/>
      <c r="X58" s="1671"/>
      <c r="Y58" s="1671"/>
      <c r="AE58" s="1568"/>
      <c r="AF58" s="1568"/>
      <c r="AI58" s="1921"/>
      <c r="AJ58" s="1976"/>
      <c r="AK58" s="1671"/>
      <c r="AL58" s="1671"/>
      <c r="AM58" s="1671"/>
      <c r="AN58" s="1671"/>
      <c r="AO58" s="1671"/>
    </row>
    <row r="59" spans="1:41" ht="15" customHeight="1">
      <c r="A59" s="1889"/>
      <c r="D59" s="1568"/>
      <c r="E59" s="1568"/>
      <c r="F59" s="1568"/>
      <c r="I59" s="1921"/>
      <c r="J59" s="1976"/>
      <c r="K59" s="1671"/>
      <c r="L59" s="1671"/>
      <c r="M59" s="1671"/>
      <c r="N59" s="1671"/>
      <c r="O59" s="1671"/>
      <c r="Q59" s="1901"/>
      <c r="V59" s="1671"/>
      <c r="W59" s="1671"/>
      <c r="X59" s="1671"/>
      <c r="Y59" s="1671"/>
      <c r="AE59" s="1568"/>
      <c r="AF59" s="1568"/>
      <c r="AI59" s="1921"/>
      <c r="AJ59" s="1976"/>
      <c r="AK59" s="1671"/>
      <c r="AL59" s="1671"/>
      <c r="AM59" s="1671"/>
      <c r="AN59" s="1671"/>
      <c r="AO59" s="1671"/>
    </row>
    <row r="60" spans="1:41" ht="15" customHeight="1">
      <c r="A60" s="1889"/>
      <c r="D60" s="1568"/>
      <c r="E60" s="1568"/>
      <c r="F60" s="1568"/>
      <c r="I60" s="1921"/>
      <c r="J60" s="1976"/>
      <c r="K60" s="1671"/>
      <c r="L60" s="1671"/>
      <c r="M60" s="1671"/>
      <c r="N60" s="1671"/>
      <c r="O60" s="1671"/>
      <c r="Q60" s="1901"/>
      <c r="V60" s="1671"/>
      <c r="W60" s="1671"/>
      <c r="X60" s="1671"/>
      <c r="Y60" s="1671"/>
      <c r="AE60" s="1568"/>
      <c r="AF60" s="1568"/>
      <c r="AI60" s="1921"/>
      <c r="AJ60" s="1976"/>
      <c r="AK60" s="1671"/>
      <c r="AL60" s="1671"/>
      <c r="AM60" s="1671"/>
      <c r="AN60" s="1671"/>
      <c r="AO60" s="1671"/>
    </row>
    <row r="61" spans="1:41" ht="15" customHeight="1">
      <c r="A61" s="1889"/>
      <c r="D61" s="1568"/>
      <c r="E61" s="1568"/>
      <c r="F61" s="1568"/>
      <c r="I61" s="1921"/>
      <c r="J61" s="1976"/>
      <c r="K61" s="1671"/>
      <c r="L61" s="1671"/>
      <c r="M61" s="1671"/>
      <c r="N61" s="1671"/>
      <c r="O61" s="1671"/>
      <c r="Q61" s="1901"/>
      <c r="V61" s="1671"/>
      <c r="W61" s="1671"/>
      <c r="X61" s="1671"/>
      <c r="Y61" s="1671"/>
      <c r="AE61" s="1568"/>
      <c r="AF61" s="1568"/>
      <c r="AI61" s="1921"/>
      <c r="AJ61" s="1976"/>
      <c r="AK61" s="1671"/>
      <c r="AL61" s="1671"/>
      <c r="AM61" s="1671"/>
      <c r="AN61" s="1671"/>
      <c r="AO61" s="1671"/>
    </row>
    <row r="62" spans="1:41" ht="15" customHeight="1">
      <c r="A62" s="1889"/>
      <c r="D62" s="1568"/>
      <c r="E62" s="1568"/>
      <c r="F62" s="1568"/>
      <c r="I62" s="1921"/>
      <c r="J62" s="1976"/>
      <c r="K62" s="1671"/>
      <c r="L62" s="1671"/>
      <c r="M62" s="1671"/>
      <c r="N62" s="1671"/>
      <c r="O62" s="1671"/>
      <c r="Q62" s="1901"/>
      <c r="V62" s="1671"/>
      <c r="W62" s="1671"/>
      <c r="X62" s="1671"/>
      <c r="Y62" s="1671"/>
      <c r="AE62" s="1568"/>
      <c r="AF62" s="1568"/>
      <c r="AI62" s="1921"/>
      <c r="AJ62" s="1976"/>
      <c r="AK62" s="1671"/>
      <c r="AL62" s="1671"/>
      <c r="AM62" s="1671"/>
      <c r="AN62" s="1671"/>
      <c r="AO62" s="1671"/>
    </row>
    <row r="63" spans="1:41" ht="15" customHeight="1">
      <c r="A63" s="1889"/>
      <c r="D63" s="1568"/>
      <c r="E63" s="1568"/>
      <c r="F63" s="1568"/>
      <c r="I63" s="1921"/>
      <c r="J63" s="1976"/>
      <c r="K63" s="1671"/>
      <c r="L63" s="1671"/>
      <c r="M63" s="1671"/>
      <c r="N63" s="1671"/>
      <c r="O63" s="1671"/>
      <c r="Q63" s="1901"/>
      <c r="V63" s="1671"/>
      <c r="W63" s="1671"/>
      <c r="X63" s="1671"/>
      <c r="Y63" s="1671"/>
      <c r="AE63" s="1568"/>
      <c r="AF63" s="1568"/>
      <c r="AI63" s="1921"/>
      <c r="AJ63" s="1976"/>
      <c r="AK63" s="1671"/>
      <c r="AL63" s="1671"/>
      <c r="AM63" s="1671"/>
      <c r="AN63" s="1671"/>
      <c r="AO63" s="1671"/>
    </row>
    <row r="64" spans="1:41" ht="15" customHeight="1">
      <c r="A64" s="1889"/>
      <c r="D64" s="1568"/>
      <c r="E64" s="1568"/>
      <c r="F64" s="1568"/>
      <c r="I64" s="1921"/>
      <c r="J64" s="1976"/>
      <c r="K64" s="1671"/>
      <c r="L64" s="1671"/>
      <c r="M64" s="1671"/>
      <c r="N64" s="1671"/>
      <c r="O64" s="1671"/>
      <c r="Q64" s="1901"/>
      <c r="V64" s="1671"/>
      <c r="W64" s="1671"/>
      <c r="X64" s="1671"/>
      <c r="Y64" s="1671"/>
      <c r="AE64" s="1568"/>
      <c r="AF64" s="1568"/>
      <c r="AI64" s="1921"/>
      <c r="AJ64" s="1976"/>
      <c r="AK64" s="1671"/>
      <c r="AL64" s="1671"/>
      <c r="AM64" s="1671"/>
      <c r="AN64" s="1671"/>
      <c r="AO64" s="1671"/>
    </row>
    <row r="65" spans="1:41" ht="15" customHeight="1">
      <c r="A65" s="1889"/>
      <c r="D65" s="1568"/>
      <c r="E65" s="1568"/>
      <c r="F65" s="1568"/>
      <c r="I65" s="1921"/>
      <c r="J65" s="1976"/>
      <c r="K65" s="1671"/>
      <c r="L65" s="1671"/>
      <c r="M65" s="1671"/>
      <c r="N65" s="1671"/>
      <c r="O65" s="1671"/>
      <c r="Q65" s="1901"/>
      <c r="V65" s="1671"/>
      <c r="W65" s="1671"/>
      <c r="X65" s="1671"/>
      <c r="Y65" s="1671"/>
      <c r="AE65" s="1568"/>
      <c r="AF65" s="1568"/>
      <c r="AI65" s="1921"/>
      <c r="AJ65" s="1976"/>
      <c r="AK65" s="1671"/>
      <c r="AL65" s="1671"/>
      <c r="AM65" s="1671"/>
      <c r="AN65" s="1671"/>
      <c r="AO65" s="1671"/>
    </row>
    <row r="66" spans="1:41" ht="15" customHeight="1">
      <c r="A66" s="1889"/>
      <c r="D66" s="1568"/>
      <c r="E66" s="1568"/>
      <c r="F66" s="1568"/>
      <c r="I66" s="1921"/>
      <c r="J66" s="1976"/>
      <c r="K66" s="1671"/>
      <c r="L66" s="1671"/>
      <c r="M66" s="1671"/>
      <c r="N66" s="1671"/>
      <c r="O66" s="1671"/>
      <c r="Q66" s="1901"/>
      <c r="V66" s="1671"/>
      <c r="W66" s="1671"/>
      <c r="X66" s="1671"/>
      <c r="Y66" s="1671"/>
      <c r="AE66" s="1568"/>
      <c r="AF66" s="1568"/>
      <c r="AI66" s="1921"/>
      <c r="AJ66" s="1976"/>
      <c r="AK66" s="1671"/>
      <c r="AL66" s="1671"/>
      <c r="AM66" s="1671"/>
      <c r="AN66" s="1671"/>
      <c r="AO66" s="1671"/>
    </row>
    <row r="67" spans="1:41" ht="15" customHeight="1">
      <c r="A67" s="1889"/>
      <c r="D67" s="1568"/>
      <c r="E67" s="1568"/>
      <c r="F67" s="1568"/>
      <c r="I67" s="1921"/>
      <c r="J67" s="1976"/>
      <c r="K67" s="1671"/>
      <c r="L67" s="1671"/>
      <c r="M67" s="1671"/>
      <c r="N67" s="1671"/>
      <c r="O67" s="1671"/>
      <c r="Q67" s="1901"/>
      <c r="V67" s="1671"/>
      <c r="W67" s="1671"/>
      <c r="X67" s="1671"/>
      <c r="Y67" s="1671"/>
      <c r="AE67" s="1568"/>
      <c r="AF67" s="1568"/>
      <c r="AI67" s="1921"/>
      <c r="AJ67" s="1976"/>
      <c r="AK67" s="1671"/>
      <c r="AL67" s="1671"/>
      <c r="AM67" s="1671"/>
      <c r="AN67" s="1671"/>
      <c r="AO67" s="1671"/>
    </row>
    <row r="68" spans="1:41" ht="15" customHeight="1">
      <c r="A68" s="1889"/>
      <c r="D68" s="1568"/>
      <c r="E68" s="1568"/>
      <c r="F68" s="1568"/>
      <c r="I68" s="1921"/>
      <c r="J68" s="1976"/>
      <c r="K68" s="1671"/>
      <c r="L68" s="1671"/>
      <c r="M68" s="1671"/>
      <c r="N68" s="1671"/>
      <c r="O68" s="1671"/>
      <c r="Q68" s="1901"/>
      <c r="V68" s="1671"/>
      <c r="W68" s="1671"/>
      <c r="X68" s="1671"/>
      <c r="Y68" s="1671"/>
      <c r="AE68" s="1568"/>
      <c r="AF68" s="1568"/>
      <c r="AI68" s="1921"/>
      <c r="AJ68" s="1976"/>
      <c r="AK68" s="1671"/>
      <c r="AL68" s="1671"/>
      <c r="AM68" s="1671"/>
      <c r="AN68" s="1671"/>
      <c r="AO68" s="1671"/>
    </row>
    <row r="69" spans="1:41" ht="15" customHeight="1">
      <c r="A69" s="1889"/>
      <c r="D69" s="1568"/>
      <c r="E69" s="1568"/>
      <c r="F69" s="1568"/>
      <c r="I69" s="1921"/>
      <c r="J69" s="1976"/>
      <c r="K69" s="1671"/>
      <c r="L69" s="1671"/>
      <c r="M69" s="1671"/>
      <c r="N69" s="1671"/>
      <c r="O69" s="1671"/>
      <c r="Q69" s="1901"/>
      <c r="V69" s="1671"/>
      <c r="W69" s="1671"/>
      <c r="X69" s="1671"/>
      <c r="Y69" s="1671"/>
      <c r="AE69" s="1568"/>
      <c r="AF69" s="1568"/>
      <c r="AI69" s="1921"/>
      <c r="AJ69" s="1976"/>
      <c r="AK69" s="1671"/>
      <c r="AL69" s="1671"/>
      <c r="AM69" s="1671"/>
      <c r="AN69" s="1671"/>
      <c r="AO69" s="1671"/>
    </row>
    <row r="70" spans="1:41" ht="15" customHeight="1">
      <c r="A70" s="1889"/>
      <c r="D70" s="1568"/>
      <c r="E70" s="1568"/>
      <c r="F70" s="1568"/>
      <c r="I70" s="1921"/>
      <c r="J70" s="1976"/>
      <c r="K70" s="1671"/>
      <c r="L70" s="1671"/>
      <c r="M70" s="1671"/>
      <c r="N70" s="1671"/>
      <c r="O70" s="1671"/>
      <c r="Q70" s="1901"/>
      <c r="V70" s="1671"/>
      <c r="W70" s="1671"/>
      <c r="X70" s="1671"/>
      <c r="Y70" s="1671"/>
      <c r="AE70" s="1568"/>
      <c r="AF70" s="1568"/>
      <c r="AI70" s="1921"/>
      <c r="AJ70" s="1976"/>
      <c r="AK70" s="1671"/>
      <c r="AL70" s="1671"/>
      <c r="AM70" s="1671"/>
      <c r="AN70" s="1671"/>
      <c r="AO70" s="1671"/>
    </row>
    <row r="71" spans="1:41" ht="15" customHeight="1">
      <c r="A71" s="1889"/>
      <c r="D71" s="1568"/>
      <c r="E71" s="1568"/>
      <c r="F71" s="1568"/>
      <c r="I71" s="1921"/>
      <c r="J71" s="1976"/>
      <c r="K71" s="1671"/>
      <c r="L71" s="1671"/>
      <c r="M71" s="1671"/>
      <c r="N71" s="1671"/>
      <c r="O71" s="1671"/>
      <c r="Q71" s="1901"/>
      <c r="V71" s="1671"/>
      <c r="W71" s="1671"/>
      <c r="X71" s="1671"/>
      <c r="Y71" s="1671"/>
      <c r="AE71" s="1568"/>
      <c r="AF71" s="1568"/>
      <c r="AI71" s="1921"/>
      <c r="AJ71" s="1976"/>
      <c r="AK71" s="1671"/>
      <c r="AL71" s="1671"/>
      <c r="AM71" s="1671"/>
      <c r="AN71" s="1671"/>
      <c r="AO71" s="1671"/>
    </row>
    <row r="72" spans="1:41" ht="15" customHeight="1">
      <c r="A72" s="1889"/>
      <c r="D72" s="1568"/>
      <c r="E72" s="1568"/>
      <c r="F72" s="1568"/>
      <c r="I72" s="1921"/>
      <c r="J72" s="1976"/>
      <c r="K72" s="1671"/>
      <c r="L72" s="1671"/>
      <c r="M72" s="1671"/>
      <c r="N72" s="1671"/>
      <c r="O72" s="1671"/>
      <c r="Q72" s="1901"/>
      <c r="V72" s="1671"/>
      <c r="W72" s="1671"/>
      <c r="X72" s="1671"/>
      <c r="Y72" s="1671"/>
      <c r="AE72" s="1568"/>
      <c r="AF72" s="1568"/>
      <c r="AI72" s="1921"/>
      <c r="AJ72" s="1976"/>
      <c r="AK72" s="1671"/>
      <c r="AL72" s="1671"/>
      <c r="AM72" s="1671"/>
      <c r="AN72" s="1671"/>
      <c r="AO72" s="1671"/>
    </row>
    <row r="73" spans="1:41" ht="15" customHeight="1">
      <c r="A73" s="1889"/>
      <c r="D73" s="1568"/>
      <c r="E73" s="1568"/>
      <c r="F73" s="1568"/>
      <c r="I73" s="1921"/>
      <c r="J73" s="1976"/>
      <c r="K73" s="1671"/>
      <c r="L73" s="1671"/>
      <c r="M73" s="1671"/>
      <c r="N73" s="1671"/>
      <c r="O73" s="1671"/>
      <c r="Q73" s="1901"/>
      <c r="V73" s="1671"/>
      <c r="W73" s="1671"/>
      <c r="X73" s="1671"/>
      <c r="Y73" s="1671"/>
      <c r="AE73" s="1568"/>
      <c r="AF73" s="1568"/>
      <c r="AI73" s="1921"/>
      <c r="AJ73" s="1976"/>
      <c r="AK73" s="1671"/>
      <c r="AL73" s="1671"/>
      <c r="AM73" s="1671"/>
      <c r="AN73" s="1671"/>
      <c r="AO73" s="1671"/>
    </row>
    <row r="74" spans="1:41" ht="15" customHeight="1">
      <c r="A74" s="1889"/>
      <c r="D74" s="1568"/>
      <c r="E74" s="1568"/>
      <c r="F74" s="1568"/>
      <c r="I74" s="1921"/>
      <c r="J74" s="1976"/>
      <c r="K74" s="1671"/>
      <c r="L74" s="1671"/>
      <c r="M74" s="1671"/>
      <c r="N74" s="1671"/>
      <c r="O74" s="1671"/>
      <c r="Q74" s="1901"/>
      <c r="V74" s="1671"/>
      <c r="W74" s="1671"/>
      <c r="X74" s="1671"/>
      <c r="Y74" s="1671"/>
      <c r="AE74" s="1568"/>
      <c r="AF74" s="1568"/>
      <c r="AI74" s="1921"/>
      <c r="AJ74" s="1976"/>
      <c r="AK74" s="1671"/>
      <c r="AL74" s="1671"/>
      <c r="AM74" s="1671"/>
      <c r="AN74" s="1671"/>
      <c r="AO74" s="1671"/>
    </row>
    <row r="75" spans="1:41" ht="15" customHeight="1">
      <c r="A75" s="1889"/>
      <c r="D75" s="1568"/>
      <c r="E75" s="1568"/>
      <c r="F75" s="1568"/>
      <c r="I75" s="1921"/>
      <c r="J75" s="1976"/>
      <c r="K75" s="1671"/>
      <c r="L75" s="1671"/>
      <c r="M75" s="1671"/>
      <c r="N75" s="1671"/>
      <c r="O75" s="1671"/>
      <c r="Q75" s="1901"/>
      <c r="V75" s="1671"/>
      <c r="W75" s="1671"/>
      <c r="X75" s="1671"/>
      <c r="Y75" s="1671"/>
      <c r="AE75" s="1568"/>
      <c r="AF75" s="1568"/>
      <c r="AI75" s="1921"/>
      <c r="AJ75" s="1976"/>
      <c r="AK75" s="1671"/>
      <c r="AL75" s="1671"/>
      <c r="AM75" s="1671"/>
      <c r="AN75" s="1671"/>
      <c r="AO75" s="1671"/>
    </row>
    <row r="76" spans="1:41" ht="15" customHeight="1">
      <c r="A76" s="1914"/>
      <c r="B76" s="1669"/>
      <c r="C76" s="1669"/>
      <c r="D76" s="1670"/>
      <c r="E76" s="1670"/>
      <c r="F76" s="1670"/>
      <c r="G76" s="1669"/>
      <c r="H76" s="1669"/>
      <c r="I76" s="1977"/>
      <c r="J76" s="1978"/>
      <c r="K76" s="1979"/>
      <c r="L76" s="1979"/>
      <c r="M76" s="1979"/>
      <c r="N76" s="1979"/>
      <c r="O76" s="1979"/>
      <c r="P76" s="1669"/>
      <c r="Q76" s="1915"/>
      <c r="V76" s="1671"/>
      <c r="W76" s="1671"/>
      <c r="X76" s="1671"/>
      <c r="Y76" s="1671"/>
      <c r="AE76" s="1568"/>
      <c r="AF76" s="1568"/>
      <c r="AI76" s="1921"/>
      <c r="AJ76" s="1976"/>
      <c r="AK76" s="1671"/>
      <c r="AL76" s="1671"/>
      <c r="AM76" s="1671"/>
      <c r="AN76" s="1671"/>
      <c r="AO76" s="1671"/>
    </row>
    <row r="77" spans="1:41" ht="15" customHeight="1">
      <c r="D77" s="1568"/>
      <c r="E77" s="1568"/>
      <c r="F77" s="1568"/>
      <c r="I77" s="1921"/>
      <c r="J77" s="1976"/>
      <c r="K77" s="1671"/>
      <c r="L77" s="1671"/>
      <c r="M77" s="1671"/>
      <c r="N77" s="1671"/>
      <c r="O77" s="1671"/>
      <c r="V77" s="1671"/>
      <c r="W77" s="1671"/>
      <c r="X77" s="1671"/>
      <c r="Y77" s="1671"/>
      <c r="AE77" s="1568"/>
      <c r="AF77" s="1568"/>
      <c r="AI77" s="1921"/>
      <c r="AJ77" s="1976"/>
      <c r="AK77" s="1671"/>
      <c r="AL77" s="1671"/>
      <c r="AM77" s="1671"/>
      <c r="AN77" s="1671"/>
      <c r="AO77" s="1671"/>
    </row>
    <row r="78" spans="1:41" ht="15" customHeight="1">
      <c r="D78" s="1568"/>
      <c r="E78" s="1568"/>
      <c r="F78" s="1568"/>
      <c r="I78" s="1921"/>
      <c r="J78" s="1976"/>
      <c r="K78" s="1671"/>
      <c r="L78" s="1671"/>
      <c r="M78" s="1671"/>
      <c r="N78" s="1671"/>
      <c r="O78" s="1671"/>
      <c r="V78" s="1671"/>
      <c r="W78" s="1671"/>
      <c r="X78" s="1671"/>
      <c r="Y78" s="1671"/>
      <c r="AE78" s="1568"/>
      <c r="AF78" s="1568"/>
      <c r="AI78" s="1921"/>
      <c r="AJ78" s="1976"/>
      <c r="AK78" s="1671"/>
      <c r="AL78" s="1671"/>
      <c r="AM78" s="1671"/>
      <c r="AN78" s="1671"/>
      <c r="AO78" s="1671"/>
    </row>
    <row r="79" spans="1:41" ht="15" customHeight="1">
      <c r="A79" s="1885"/>
      <c r="B79" s="1886"/>
      <c r="C79" s="1886"/>
      <c r="D79" s="1886"/>
      <c r="E79" s="1886"/>
      <c r="F79" s="1886"/>
      <c r="G79" s="1886"/>
      <c r="H79" s="1886"/>
      <c r="I79" s="1950" t="s">
        <v>206</v>
      </c>
      <c r="J79" s="1574" t="str">
        <f>J2</f>
        <v xml:space="preserve">PT Itamatra Nusantara </v>
      </c>
      <c r="K79" s="1573"/>
      <c r="L79" s="1918"/>
      <c r="M79" s="1918"/>
      <c r="N79" s="1918"/>
      <c r="O79" s="1918"/>
      <c r="P79" s="1918"/>
      <c r="Q79" s="1919"/>
      <c r="T79" s="1888"/>
      <c r="AJ79" s="1888"/>
    </row>
    <row r="80" spans="1:41" ht="15" customHeight="1">
      <c r="A80" s="1889"/>
      <c r="I80" s="1954" t="s">
        <v>82</v>
      </c>
      <c r="J80" s="1571" t="str">
        <f>J3</f>
        <v>hidroplogi</v>
      </c>
      <c r="K80" s="1572"/>
      <c r="L80" s="1923"/>
      <c r="M80" s="1923"/>
      <c r="N80" s="1923"/>
      <c r="O80" s="1923"/>
      <c r="P80" s="1923"/>
      <c r="Q80" s="1930"/>
      <c r="T80" s="1888"/>
      <c r="AJ80" s="1888"/>
    </row>
    <row r="81" spans="1:42" ht="15" customHeight="1">
      <c r="A81" s="1889"/>
      <c r="I81" s="1954" t="s">
        <v>77</v>
      </c>
      <c r="J81" s="4548" t="str">
        <f>J4</f>
        <v>PO-GQT-19</v>
      </c>
      <c r="K81" s="4549"/>
      <c r="L81" s="1923"/>
      <c r="M81" s="1923"/>
      <c r="N81" s="1922" t="s">
        <v>76</v>
      </c>
      <c r="O81" s="1930"/>
      <c r="P81" s="1980">
        <f>P4</f>
        <v>46223</v>
      </c>
      <c r="Q81" s="1930"/>
      <c r="T81" s="1892"/>
      <c r="Z81" s="1893"/>
      <c r="AJ81" s="1892"/>
      <c r="AP81" s="1893"/>
    </row>
    <row r="82" spans="1:42" ht="15" customHeight="1">
      <c r="A82" s="1914"/>
      <c r="B82" s="1669"/>
      <c r="C82" s="1669"/>
      <c r="D82" s="1669"/>
      <c r="E82" s="1669"/>
      <c r="F82" s="1669"/>
      <c r="G82" s="1669"/>
      <c r="H82" s="1915"/>
      <c r="I82" s="1974" t="s">
        <v>75</v>
      </c>
      <c r="J82" s="1570" t="str">
        <f>J5</f>
        <v>AS Sumartadji</v>
      </c>
      <c r="K82" s="1569"/>
      <c r="L82" s="1938"/>
      <c r="M82" s="1938"/>
      <c r="N82" s="1974" t="s">
        <v>74</v>
      </c>
      <c r="O82" s="1981"/>
      <c r="P82" s="1982" t="str">
        <f>P5</f>
        <v>AS Sumartadji</v>
      </c>
      <c r="Q82" s="1981"/>
      <c r="T82" s="1892"/>
      <c r="Z82" s="1892"/>
      <c r="AJ82" s="1892"/>
      <c r="AP82" s="1892"/>
    </row>
    <row r="83" spans="1:42" ht="15" customHeight="1">
      <c r="A83" s="1983"/>
      <c r="B83" s="1568"/>
      <c r="C83" s="1568"/>
      <c r="D83" s="1568"/>
      <c r="E83" s="1568"/>
      <c r="F83" s="1568"/>
      <c r="G83" s="1568"/>
      <c r="H83" s="1568"/>
      <c r="I83" s="1568"/>
      <c r="J83" s="1568"/>
      <c r="K83" s="1568"/>
      <c r="L83" s="1568"/>
      <c r="M83" s="1568"/>
      <c r="N83" s="1568"/>
      <c r="O83" s="1568"/>
      <c r="P83" s="1568"/>
      <c r="Q83" s="1901"/>
      <c r="T83" s="1568"/>
      <c r="U83" s="1568"/>
      <c r="V83" s="1568"/>
      <c r="W83" s="1568"/>
      <c r="X83" s="1568"/>
      <c r="Y83" s="1568"/>
      <c r="Z83" s="1568"/>
      <c r="AB83" s="1568"/>
      <c r="AC83" s="1568"/>
      <c r="AD83" s="1568"/>
      <c r="AE83" s="1568"/>
      <c r="AF83" s="1568"/>
      <c r="AG83" s="1568"/>
      <c r="AH83" s="1568"/>
      <c r="AI83" s="1568"/>
      <c r="AJ83" s="1568"/>
      <c r="AK83" s="1568"/>
      <c r="AL83" s="1568"/>
      <c r="AM83" s="1568"/>
      <c r="AN83" s="1568"/>
      <c r="AO83" s="1568"/>
      <c r="AP83" s="1568"/>
    </row>
    <row r="84" spans="1:42" ht="15" customHeight="1">
      <c r="A84" s="1902" t="s">
        <v>945</v>
      </c>
      <c r="B84" s="1672"/>
      <c r="C84" s="1672"/>
      <c r="D84" s="1672"/>
      <c r="E84" s="1672"/>
      <c r="F84" s="1672"/>
      <c r="G84" s="1903"/>
      <c r="H84" s="1903"/>
      <c r="I84" s="1672"/>
      <c r="J84" s="1672"/>
      <c r="K84" s="1672"/>
      <c r="L84" s="1672"/>
      <c r="M84" s="1672"/>
      <c r="N84" s="1672"/>
      <c r="O84" s="1672"/>
      <c r="P84" s="1904"/>
      <c r="Q84" s="1901"/>
      <c r="R84" s="1905"/>
      <c r="T84" s="1672"/>
      <c r="U84" s="1672"/>
      <c r="V84" s="1672"/>
      <c r="W84" s="1672"/>
      <c r="X84" s="1672"/>
      <c r="Y84" s="1672"/>
      <c r="Z84" s="1672"/>
      <c r="AB84" s="1903"/>
      <c r="AC84" s="1672"/>
      <c r="AD84" s="1672"/>
      <c r="AE84" s="1672"/>
      <c r="AF84" s="1672"/>
      <c r="AG84" s="1903"/>
      <c r="AH84" s="1903"/>
      <c r="AI84" s="1672"/>
      <c r="AJ84" s="1672"/>
      <c r="AK84" s="1672"/>
      <c r="AL84" s="1672"/>
      <c r="AM84" s="1672"/>
      <c r="AN84" s="1672"/>
      <c r="AO84" s="1672"/>
      <c r="AP84" s="1672"/>
    </row>
    <row r="85" spans="1:42" ht="15" customHeight="1">
      <c r="A85" s="1906"/>
      <c r="B85" s="1672"/>
      <c r="C85" s="1672"/>
      <c r="D85" s="1672"/>
      <c r="E85" s="1672"/>
      <c r="F85" s="1672"/>
      <c r="G85" s="1672"/>
      <c r="H85" s="1672"/>
      <c r="I85" s="1672"/>
      <c r="J85" s="1672"/>
      <c r="K85" s="1672"/>
      <c r="L85" s="1672"/>
      <c r="M85" s="1672"/>
      <c r="N85" s="1672"/>
      <c r="O85" s="1672"/>
      <c r="P85" s="1672"/>
      <c r="Q85" s="1901"/>
      <c r="Z85" s="1672"/>
      <c r="AB85" s="1907"/>
      <c r="AC85" s="1672"/>
      <c r="AD85" s="1672"/>
      <c r="AE85" s="1672"/>
      <c r="AF85" s="1672"/>
      <c r="AG85" s="1672"/>
      <c r="AH85" s="1672"/>
      <c r="AI85" s="1672"/>
      <c r="AJ85" s="1672"/>
      <c r="AK85" s="1672"/>
      <c r="AL85" s="1672"/>
      <c r="AM85" s="1672"/>
      <c r="AN85" s="1672"/>
      <c r="AO85" s="1672"/>
      <c r="AP85" s="1672"/>
    </row>
    <row r="86" spans="1:42" ht="15" customHeight="1">
      <c r="A86" s="1889"/>
      <c r="B86" s="1661" t="s">
        <v>208</v>
      </c>
      <c r="C86" s="1661" t="s">
        <v>27</v>
      </c>
      <c r="D86" s="1568" t="str">
        <f>D9</f>
        <v>Morowali Utara</v>
      </c>
      <c r="E86" s="1892"/>
      <c r="K86" s="1661" t="s">
        <v>944</v>
      </c>
      <c r="M86" s="1661" t="s">
        <v>27</v>
      </c>
      <c r="N86" s="1661" t="str">
        <f>N9</f>
        <v>Undisturbed Sample / UDS</v>
      </c>
      <c r="O86" s="1892"/>
      <c r="Q86" s="1901"/>
      <c r="AO86" s="1892"/>
    </row>
    <row r="87" spans="1:42" ht="15" customHeight="1">
      <c r="A87" s="1889"/>
      <c r="B87" s="1661" t="s">
        <v>943</v>
      </c>
      <c r="C87" s="1661" t="s">
        <v>27</v>
      </c>
      <c r="D87" s="1568" t="str">
        <f>D10</f>
        <v>BH-05_UDS-01</v>
      </c>
      <c r="E87" s="1892"/>
      <c r="F87" s="1892"/>
      <c r="K87" s="1661" t="s">
        <v>942</v>
      </c>
      <c r="M87" s="1661" t="s">
        <v>27</v>
      </c>
      <c r="N87" s="1984" t="str">
        <f>N10</f>
        <v>silty CLAY with sand</v>
      </c>
      <c r="Q87" s="1901"/>
      <c r="AF87" s="1892"/>
    </row>
    <row r="88" spans="1:42" ht="15" customHeight="1">
      <c r="A88" s="1889"/>
      <c r="B88" s="1661" t="s">
        <v>210</v>
      </c>
      <c r="C88" s="1661" t="s">
        <v>27</v>
      </c>
      <c r="D88" s="1568" t="str">
        <f>D11</f>
        <v>0,00-0,50</v>
      </c>
      <c r="E88" s="1661" t="s">
        <v>68</v>
      </c>
      <c r="F88" s="1892"/>
      <c r="K88" s="1568" t="s">
        <v>941</v>
      </c>
      <c r="M88" s="1568" t="s">
        <v>27</v>
      </c>
      <c r="N88" s="1666"/>
      <c r="Q88" s="1901"/>
      <c r="AF88" s="1892"/>
      <c r="AK88" s="1568"/>
      <c r="AL88" s="1568"/>
      <c r="AM88" s="1568"/>
    </row>
    <row r="89" spans="1:42" ht="15" customHeight="1">
      <c r="A89" s="1889"/>
      <c r="L89" s="1672"/>
      <c r="M89" s="1672"/>
      <c r="Q89" s="1901"/>
      <c r="AL89" s="1672"/>
      <c r="AM89" s="1672"/>
    </row>
    <row r="90" spans="1:42" ht="15" customHeight="1">
      <c r="A90" s="1889"/>
      <c r="B90" s="1908" t="s">
        <v>940</v>
      </c>
      <c r="L90" s="1672"/>
      <c r="M90" s="1672"/>
      <c r="Q90" s="1901"/>
      <c r="AL90" s="1672"/>
      <c r="AM90" s="1672"/>
    </row>
    <row r="91" spans="1:42" ht="15" customHeight="1">
      <c r="A91" s="1889"/>
      <c r="B91" s="1909" t="s">
        <v>939</v>
      </c>
      <c r="C91" s="1910"/>
      <c r="D91" s="1910"/>
      <c r="E91" s="1910"/>
      <c r="F91" s="1911"/>
      <c r="H91" s="1885" t="s">
        <v>938</v>
      </c>
      <c r="I91" s="1886"/>
      <c r="J91" s="1886"/>
      <c r="K91" s="1886"/>
      <c r="L91" s="1912"/>
      <c r="M91" s="4519" t="s">
        <v>937</v>
      </c>
      <c r="N91" s="4520"/>
      <c r="O91" s="4521"/>
      <c r="Q91" s="1901"/>
      <c r="AL91" s="1672"/>
      <c r="AM91" s="1672"/>
    </row>
    <row r="92" spans="1:42" ht="15" customHeight="1">
      <c r="A92" s="1889"/>
      <c r="B92" s="4519" t="s">
        <v>936</v>
      </c>
      <c r="C92" s="4520"/>
      <c r="D92" s="4521"/>
      <c r="E92" s="4520" t="s">
        <v>935</v>
      </c>
      <c r="F92" s="4521"/>
      <c r="H92" s="1914"/>
      <c r="I92" s="1669"/>
      <c r="J92" s="1669"/>
      <c r="K92" s="1669"/>
      <c r="L92" s="1915"/>
      <c r="M92" s="4519" t="s">
        <v>934</v>
      </c>
      <c r="N92" s="4521"/>
      <c r="O92" s="1913" t="s">
        <v>933</v>
      </c>
      <c r="Q92" s="1901"/>
      <c r="R92" s="1908"/>
      <c r="S92" s="1908"/>
      <c r="AA92" s="1672"/>
      <c r="AB92" s="1672"/>
      <c r="AL92" s="1672"/>
      <c r="AM92" s="1672"/>
    </row>
    <row r="93" spans="1:42" ht="15" customHeight="1">
      <c r="A93" s="1889"/>
      <c r="B93" s="4535"/>
      <c r="C93" s="4536"/>
      <c r="D93" s="4537"/>
      <c r="E93" s="4538"/>
      <c r="F93" s="4539"/>
      <c r="H93" s="1917" t="s">
        <v>932</v>
      </c>
      <c r="I93" s="1918"/>
      <c r="J93" s="1918"/>
      <c r="K93" s="1918"/>
      <c r="L93" s="1919"/>
      <c r="M93" s="1917"/>
      <c r="N93" s="1985"/>
      <c r="O93" s="1985"/>
      <c r="P93" s="1650"/>
      <c r="Q93" s="1901"/>
      <c r="R93" s="1661"/>
      <c r="S93" s="1661"/>
      <c r="T93" s="1650"/>
      <c r="U93" s="1650"/>
      <c r="W93" s="1650"/>
      <c r="X93" s="1921"/>
      <c r="Y93" s="1654"/>
      <c r="AA93" s="1921"/>
      <c r="AB93" s="1921"/>
      <c r="AC93" s="1921"/>
      <c r="AL93" s="1672"/>
      <c r="AM93" s="1672"/>
    </row>
    <row r="94" spans="1:42" ht="15" customHeight="1">
      <c r="A94" s="1889"/>
      <c r="B94" s="4543"/>
      <c r="C94" s="4544"/>
      <c r="D94" s="4545"/>
      <c r="E94" s="4546"/>
      <c r="F94" s="4547"/>
      <c r="H94" s="1922" t="s">
        <v>931</v>
      </c>
      <c r="I94" s="1923"/>
      <c r="J94" s="1923"/>
      <c r="K94" s="1923"/>
      <c r="L94" s="1924" t="s">
        <v>414</v>
      </c>
      <c r="M94" s="1925"/>
      <c r="N94" s="1986"/>
      <c r="O94" s="1986"/>
      <c r="Q94" s="1901"/>
      <c r="R94" s="1661"/>
      <c r="S94" s="1661"/>
      <c r="T94" s="1568"/>
      <c r="U94" s="1650"/>
      <c r="W94" s="1650"/>
      <c r="X94" s="1921"/>
      <c r="Y94" s="1654"/>
      <c r="AA94" s="1905"/>
      <c r="AB94" s="1905"/>
      <c r="AC94" s="1903"/>
      <c r="AD94" s="1672"/>
      <c r="AL94" s="1672"/>
      <c r="AM94" s="1672"/>
    </row>
    <row r="95" spans="1:42" ht="15" customHeight="1">
      <c r="A95" s="1889"/>
      <c r="B95" s="4543"/>
      <c r="C95" s="4544"/>
      <c r="D95" s="4545"/>
      <c r="E95" s="4546"/>
      <c r="F95" s="4547"/>
      <c r="H95" s="1922" t="s">
        <v>930</v>
      </c>
      <c r="I95" s="1923"/>
      <c r="J95" s="1923"/>
      <c r="K95" s="1923"/>
      <c r="L95" s="1924" t="s">
        <v>414</v>
      </c>
      <c r="M95" s="1925"/>
      <c r="N95" s="1987"/>
      <c r="O95" s="1986"/>
      <c r="Q95" s="1901"/>
      <c r="T95" s="1921"/>
      <c r="U95" s="1654"/>
      <c r="V95" s="1568"/>
      <c r="X95" s="1926"/>
      <c r="Y95" s="1673"/>
      <c r="AA95" s="1927"/>
      <c r="AB95" s="1927"/>
      <c r="AC95" s="1928"/>
      <c r="AD95" s="1929"/>
      <c r="AL95" s="1672"/>
      <c r="AM95" s="1672"/>
    </row>
    <row r="96" spans="1:42" ht="15" customHeight="1">
      <c r="A96" s="1889"/>
      <c r="B96" s="1922" t="s">
        <v>929</v>
      </c>
      <c r="C96" s="1930"/>
      <c r="D96" s="1988">
        <f>'Cu_Multi Shear'!O14-'Cu_Multi Shear'!C92</f>
        <v>70.559127581462903</v>
      </c>
      <c r="E96" s="1931" t="s">
        <v>928</v>
      </c>
      <c r="F96" s="1931" t="e">
        <f>+AVERAGE(E93:E95)</f>
        <v>#DIV/0!</v>
      </c>
      <c r="H96" s="1922" t="s">
        <v>927</v>
      </c>
      <c r="I96" s="1923"/>
      <c r="J96" s="1923"/>
      <c r="K96" s="1923"/>
      <c r="L96" s="1924" t="s">
        <v>414</v>
      </c>
      <c r="M96" s="1925"/>
      <c r="N96" s="1986"/>
      <c r="O96" s="1986"/>
      <c r="Q96" s="1901"/>
      <c r="T96" s="1921"/>
      <c r="U96" s="1673"/>
      <c r="X96" s="1932"/>
      <c r="Y96" s="1673"/>
      <c r="AA96" s="1927"/>
      <c r="AB96" s="1927"/>
      <c r="AC96" s="1933"/>
      <c r="AD96" s="1929"/>
      <c r="AL96" s="1672"/>
      <c r="AM96" s="1672"/>
    </row>
    <row r="97" spans="1:39" ht="15" customHeight="1">
      <c r="A97" s="1889"/>
      <c r="B97" s="1922" t="s">
        <v>926</v>
      </c>
      <c r="C97" s="1923"/>
      <c r="D97" s="1923"/>
      <c r="E97" s="1923"/>
      <c r="F97" s="1930"/>
      <c r="H97" s="1922" t="s">
        <v>925</v>
      </c>
      <c r="I97" s="1923"/>
      <c r="J97" s="1923"/>
      <c r="K97" s="1923"/>
      <c r="L97" s="1930"/>
      <c r="M97" s="1923"/>
      <c r="N97" s="1987"/>
      <c r="O97" s="1987"/>
      <c r="Q97" s="1901"/>
      <c r="S97" s="4525"/>
      <c r="T97" s="4525"/>
      <c r="U97" s="4525"/>
      <c r="V97" s="4526"/>
      <c r="W97" s="4526"/>
      <c r="X97" s="1926"/>
      <c r="Y97" s="1673"/>
      <c r="AA97" s="1892"/>
      <c r="AB97" s="1892"/>
      <c r="AC97" s="1933"/>
      <c r="AD97" s="1935"/>
      <c r="AL97" s="1672"/>
      <c r="AM97" s="1672"/>
    </row>
    <row r="98" spans="1:39" ht="15" customHeight="1">
      <c r="A98" s="1889"/>
      <c r="B98" s="1922" t="s">
        <v>924</v>
      </c>
      <c r="C98" s="1923"/>
      <c r="D98" s="1923"/>
      <c r="E98" s="1924" t="s">
        <v>923</v>
      </c>
      <c r="F98" s="1989">
        <f>'Cu_Multi Shear'!O13/(1-('Cu_Multi Shear'!C92/'Cu_Multi Shear'!O14))</f>
        <v>1200.3909331075236</v>
      </c>
      <c r="H98" s="1922" t="s">
        <v>922</v>
      </c>
      <c r="I98" s="1923"/>
      <c r="J98" s="1923"/>
      <c r="K98" s="1923"/>
      <c r="L98" s="1930"/>
      <c r="M98" s="1923"/>
      <c r="N98" s="1987"/>
      <c r="O98" s="1987"/>
      <c r="Q98" s="1901"/>
      <c r="S98" s="1934"/>
      <c r="T98" s="1934"/>
      <c r="U98" s="1934"/>
      <c r="V98" s="1673"/>
      <c r="W98" s="1673"/>
      <c r="X98" s="1926"/>
      <c r="Y98" s="1673"/>
      <c r="AA98" s="1892"/>
      <c r="AB98" s="1892"/>
      <c r="AC98" s="1933"/>
      <c r="AD98" s="1935"/>
      <c r="AL98" s="1672"/>
      <c r="AM98" s="1672"/>
    </row>
    <row r="99" spans="1:39" ht="15" customHeight="1">
      <c r="A99" s="1889"/>
      <c r="B99" s="1922" t="s">
        <v>921</v>
      </c>
      <c r="C99" s="1923"/>
      <c r="D99" s="1923"/>
      <c r="E99" s="1924" t="s">
        <v>563</v>
      </c>
      <c r="F99" s="1936">
        <f>(F98*D96)/1000</f>
        <v>84.698536996765057</v>
      </c>
      <c r="H99" s="1922" t="s">
        <v>419</v>
      </c>
      <c r="I99" s="1923"/>
      <c r="J99" s="1923"/>
      <c r="K99" s="1923"/>
      <c r="L99" s="1924" t="s">
        <v>414</v>
      </c>
      <c r="M99" s="1925"/>
      <c r="N99" s="1987"/>
      <c r="O99" s="1987"/>
      <c r="Q99" s="1901"/>
      <c r="S99" s="4525"/>
      <c r="T99" s="4525"/>
      <c r="U99" s="4525"/>
      <c r="V99" s="4526"/>
      <c r="W99" s="4526"/>
      <c r="X99" s="1926"/>
      <c r="Y99" s="1926"/>
      <c r="AC99" s="1892"/>
      <c r="AD99" s="1926"/>
      <c r="AL99" s="1672"/>
      <c r="AM99" s="1672"/>
    </row>
    <row r="100" spans="1:39" ht="15" customHeight="1">
      <c r="A100" s="1889"/>
      <c r="B100" s="1922" t="s">
        <v>920</v>
      </c>
      <c r="C100" s="1923"/>
      <c r="D100" s="1923"/>
      <c r="E100" s="1924" t="s">
        <v>917</v>
      </c>
      <c r="F100" s="1936">
        <f>N20/F99</f>
        <v>1.0718662118504765</v>
      </c>
      <c r="H100" s="1937" t="s">
        <v>919</v>
      </c>
      <c r="I100" s="1569"/>
      <c r="J100" s="1938"/>
      <c r="K100" s="1569"/>
      <c r="L100" s="1939" t="s">
        <v>1</v>
      </c>
      <c r="M100" s="1940"/>
      <c r="N100" s="1990"/>
      <c r="O100" s="1990"/>
      <c r="Q100" s="1901"/>
      <c r="S100" s="4525"/>
      <c r="T100" s="4525"/>
      <c r="U100" s="4525"/>
      <c r="V100" s="4525"/>
      <c r="W100" s="4525"/>
      <c r="X100" s="1654"/>
      <c r="Y100" s="1650"/>
      <c r="AD100" s="1650"/>
      <c r="AL100" s="1672"/>
      <c r="AM100" s="1672"/>
    </row>
    <row r="101" spans="1:39" ht="15" customHeight="1">
      <c r="A101" s="1889"/>
      <c r="B101" s="1922" t="s">
        <v>919</v>
      </c>
      <c r="C101" s="1923"/>
      <c r="D101" s="1923"/>
      <c r="E101" s="1924" t="s">
        <v>1</v>
      </c>
      <c r="F101" s="1936">
        <f>F24</f>
        <v>44.630837734286011</v>
      </c>
      <c r="Q101" s="1901"/>
      <c r="V101" s="1672"/>
      <c r="W101" s="1672"/>
      <c r="AL101" s="1672"/>
      <c r="AM101" s="1672"/>
    </row>
    <row r="102" spans="1:39" ht="15" customHeight="1">
      <c r="A102" s="1889"/>
      <c r="B102" s="1941" t="s">
        <v>918</v>
      </c>
      <c r="C102" s="1938"/>
      <c r="D102" s="1938"/>
      <c r="E102" s="1939" t="s">
        <v>917</v>
      </c>
      <c r="F102" s="1942">
        <f>N21/F99</f>
        <v>0.74110489065941521</v>
      </c>
      <c r="J102" s="1650"/>
      <c r="K102" s="1650"/>
      <c r="M102" s="1650"/>
      <c r="N102" s="1921"/>
      <c r="O102" s="1654"/>
      <c r="P102" s="1654"/>
      <c r="Q102" s="1901"/>
      <c r="V102" s="1672"/>
      <c r="W102" s="1672"/>
      <c r="AL102" s="1672"/>
      <c r="AM102" s="1672"/>
    </row>
    <row r="103" spans="1:39" ht="15" customHeight="1">
      <c r="A103" s="1889"/>
      <c r="J103" s="1568"/>
      <c r="K103" s="1650"/>
      <c r="M103" s="1650"/>
      <c r="N103" s="1921"/>
      <c r="O103" s="1654"/>
      <c r="P103" s="1654"/>
      <c r="Q103" s="1901"/>
      <c r="V103" s="1672"/>
      <c r="W103" s="1672"/>
      <c r="AL103" s="1672"/>
      <c r="AM103" s="1672"/>
    </row>
    <row r="104" spans="1:39" ht="15" customHeight="1">
      <c r="A104" s="1889"/>
      <c r="B104" s="1908" t="s">
        <v>916</v>
      </c>
      <c r="K104" s="1650"/>
      <c r="L104" s="1943"/>
      <c r="M104" s="1568"/>
      <c r="N104" s="1568"/>
      <c r="Q104" s="1901"/>
      <c r="V104" s="1672"/>
      <c r="W104" s="1672"/>
      <c r="AL104" s="1672"/>
      <c r="AM104" s="1672"/>
    </row>
    <row r="105" spans="1:39" ht="15" customHeight="1">
      <c r="A105" s="1889"/>
      <c r="F105" s="1650"/>
      <c r="G105" s="1674"/>
      <c r="H105" s="1650"/>
      <c r="I105" s="1650"/>
      <c r="J105" s="1650"/>
      <c r="K105" s="1650"/>
      <c r="L105" s="1943"/>
      <c r="M105" s="1568"/>
      <c r="N105" s="1568"/>
      <c r="Q105" s="1901"/>
      <c r="V105" s="1672"/>
      <c r="W105" s="1672"/>
      <c r="AL105" s="1672"/>
      <c r="AM105" s="1672"/>
    </row>
    <row r="106" spans="1:39" s="1651" customFormat="1" ht="26.25" customHeight="1">
      <c r="A106" s="1944"/>
      <c r="B106" s="1945" t="s">
        <v>915</v>
      </c>
      <c r="C106" s="1652"/>
      <c r="D106" s="1546" t="s">
        <v>914</v>
      </c>
      <c r="E106" s="1546" t="s">
        <v>913</v>
      </c>
      <c r="F106" s="1946" t="s">
        <v>912</v>
      </c>
      <c r="G106" s="4527" t="s">
        <v>911</v>
      </c>
      <c r="H106" s="4529" t="s">
        <v>910</v>
      </c>
      <c r="I106" s="4530"/>
      <c r="J106" s="4531"/>
      <c r="K106" s="4532" t="s">
        <v>909</v>
      </c>
      <c r="L106" s="4532"/>
      <c r="M106" s="4532"/>
      <c r="N106" s="4532"/>
      <c r="O106" s="4532"/>
      <c r="P106" s="4533"/>
      <c r="Q106" s="1649"/>
      <c r="R106" s="1947"/>
      <c r="S106" s="1947"/>
      <c r="V106" s="1948"/>
      <c r="W106" s="1948"/>
      <c r="AL106" s="1948"/>
      <c r="AM106" s="1948"/>
    </row>
    <row r="107" spans="1:39" ht="40.35" customHeight="1">
      <c r="A107" s="1889"/>
      <c r="B107" s="1545" t="s">
        <v>908</v>
      </c>
      <c r="C107" s="1544"/>
      <c r="D107" s="1543" t="s">
        <v>908</v>
      </c>
      <c r="E107" s="1543" t="s">
        <v>908</v>
      </c>
      <c r="F107" s="1543" t="s">
        <v>908</v>
      </c>
      <c r="G107" s="4528"/>
      <c r="H107" s="1543" t="s">
        <v>907</v>
      </c>
      <c r="I107" s="1543" t="s">
        <v>906</v>
      </c>
      <c r="J107" s="1543" t="s">
        <v>905</v>
      </c>
      <c r="K107" s="1542" t="s">
        <v>907</v>
      </c>
      <c r="L107" s="1541" t="s">
        <v>906</v>
      </c>
      <c r="M107" s="4534" t="s">
        <v>905</v>
      </c>
      <c r="N107" s="4534"/>
      <c r="O107" s="1949" t="s">
        <v>904</v>
      </c>
      <c r="P107" s="1949" t="s">
        <v>903</v>
      </c>
      <c r="Q107" s="1901"/>
      <c r="V107" s="1672"/>
      <c r="W107" s="1672"/>
      <c r="AL107" s="1672"/>
      <c r="AM107" s="1672"/>
    </row>
    <row r="108" spans="1:39" ht="15" customHeight="1">
      <c r="A108" s="1889"/>
      <c r="B108" s="1917"/>
      <c r="C108" s="1919"/>
      <c r="D108" s="1950"/>
      <c r="E108" s="1950"/>
      <c r="F108" s="1638"/>
      <c r="G108" s="1641"/>
      <c r="H108" s="1638"/>
      <c r="I108" s="1638"/>
      <c r="J108" s="1638"/>
      <c r="K108" s="1638"/>
      <c r="L108" s="1951"/>
      <c r="M108" s="1573"/>
      <c r="N108" s="1573"/>
      <c r="O108" s="1638"/>
      <c r="P108" s="1638"/>
      <c r="Q108" s="1901"/>
      <c r="T108" s="1952" t="s">
        <v>902</v>
      </c>
      <c r="V108" s="1672"/>
      <c r="W108" s="1672"/>
      <c r="AL108" s="1672"/>
      <c r="AM108" s="1672"/>
    </row>
    <row r="109" spans="1:39" ht="15" customHeight="1">
      <c r="A109" s="1889"/>
      <c r="B109" s="1964">
        <v>590</v>
      </c>
      <c r="C109" s="1930"/>
      <c r="D109" s="1627">
        <v>390</v>
      </c>
      <c r="E109" s="1627">
        <v>580</v>
      </c>
      <c r="F109" s="1631">
        <f>ABS(E109-D109)</f>
        <v>190</v>
      </c>
      <c r="G109" s="1991">
        <f>F109/(B109-B42)</f>
        <v>0.6333333333333333</v>
      </c>
      <c r="H109" s="1956"/>
      <c r="I109" s="1956"/>
      <c r="J109" s="1625"/>
      <c r="K109" s="1956"/>
      <c r="L109" s="1957"/>
      <c r="M109" s="1572"/>
      <c r="N109" s="1572"/>
      <c r="O109" s="1954"/>
      <c r="P109" s="1954"/>
      <c r="Q109" s="1901"/>
      <c r="T109" s="1661">
        <f>B109</f>
        <v>590</v>
      </c>
      <c r="V109" s="1672"/>
      <c r="W109" s="1672"/>
      <c r="AL109" s="1672"/>
      <c r="AM109" s="1672"/>
    </row>
    <row r="110" spans="1:39" ht="15" customHeight="1">
      <c r="A110" s="1889"/>
      <c r="B110" s="1964"/>
      <c r="C110" s="1930"/>
      <c r="D110" s="1627"/>
      <c r="E110" s="1627"/>
      <c r="F110" s="1625"/>
      <c r="G110" s="1628"/>
      <c r="H110" s="1956"/>
      <c r="I110" s="1956"/>
      <c r="J110" s="1625"/>
      <c r="K110" s="1956"/>
      <c r="L110" s="1957"/>
      <c r="M110" s="1572"/>
      <c r="N110" s="1572"/>
      <c r="O110" s="1954"/>
      <c r="P110" s="1954"/>
      <c r="Q110" s="1901"/>
      <c r="T110" s="1661">
        <f>B110</f>
        <v>0</v>
      </c>
      <c r="U110" s="1667">
        <f>G110</f>
        <v>0</v>
      </c>
      <c r="V110" s="1672"/>
      <c r="W110" s="1672"/>
      <c r="AL110" s="1672"/>
      <c r="AM110" s="1672"/>
    </row>
    <row r="111" spans="1:39" ht="15" customHeight="1">
      <c r="A111" s="1889"/>
      <c r="B111" s="1964"/>
      <c r="C111" s="1930"/>
      <c r="D111" s="1627"/>
      <c r="E111" s="1627"/>
      <c r="F111" s="1625"/>
      <c r="G111" s="1628"/>
      <c r="H111" s="1630"/>
      <c r="I111" s="1630"/>
      <c r="J111" s="1631"/>
      <c r="K111" s="1956"/>
      <c r="L111" s="1957"/>
      <c r="M111" s="1572"/>
      <c r="N111" s="1572"/>
      <c r="O111" s="1954"/>
      <c r="P111" s="1954"/>
      <c r="Q111" s="1901"/>
      <c r="T111" s="1661">
        <f>B112</f>
        <v>0</v>
      </c>
      <c r="U111" s="1667">
        <f>G112</f>
        <v>0</v>
      </c>
      <c r="V111" s="1672"/>
      <c r="W111" s="1672"/>
      <c r="AL111" s="1672"/>
      <c r="AM111" s="1672"/>
    </row>
    <row r="112" spans="1:39" ht="15" customHeight="1">
      <c r="A112" s="1889"/>
      <c r="B112" s="1964"/>
      <c r="C112" s="1930"/>
      <c r="D112" s="1627"/>
      <c r="E112" s="1627"/>
      <c r="F112" s="1625"/>
      <c r="G112" s="1628"/>
      <c r="H112" s="1630"/>
      <c r="I112" s="1630"/>
      <c r="J112" s="1631"/>
      <c r="K112" s="1956"/>
      <c r="L112" s="1957"/>
      <c r="M112" s="1572"/>
      <c r="N112" s="1572"/>
      <c r="O112" s="1954"/>
      <c r="P112" s="1954"/>
      <c r="Q112" s="1901"/>
      <c r="T112" s="1661">
        <f>B114</f>
        <v>0</v>
      </c>
      <c r="U112" s="1667">
        <f>G114</f>
        <v>0</v>
      </c>
      <c r="V112" s="1672"/>
      <c r="W112" s="1672"/>
      <c r="AL112" s="1672"/>
      <c r="AM112" s="1672"/>
    </row>
    <row r="113" spans="1:42" ht="15" customHeight="1">
      <c r="A113" s="1889"/>
      <c r="B113" s="1964"/>
      <c r="C113" s="1930"/>
      <c r="D113" s="1627"/>
      <c r="E113" s="1627"/>
      <c r="F113" s="1625"/>
      <c r="G113" s="1628"/>
      <c r="H113" s="1630"/>
      <c r="I113" s="1630"/>
      <c r="J113" s="1631"/>
      <c r="K113" s="1956"/>
      <c r="L113" s="1957"/>
      <c r="M113" s="1572"/>
      <c r="N113" s="1572"/>
      <c r="O113" s="1954"/>
      <c r="P113" s="1954"/>
      <c r="Q113" s="1901"/>
      <c r="T113" s="1661">
        <f>B116</f>
        <v>0</v>
      </c>
      <c r="U113" s="1667">
        <f>G116</f>
        <v>0</v>
      </c>
      <c r="V113" s="1672"/>
      <c r="W113" s="1672"/>
      <c r="AL113" s="1672"/>
      <c r="AM113" s="1672"/>
    </row>
    <row r="114" spans="1:42" ht="15" customHeight="1">
      <c r="A114" s="1889"/>
      <c r="B114" s="1964"/>
      <c r="C114" s="1930"/>
      <c r="D114" s="1627"/>
      <c r="E114" s="1627"/>
      <c r="F114" s="1625"/>
      <c r="G114" s="1628"/>
      <c r="H114" s="1630"/>
      <c r="I114" s="1630"/>
      <c r="J114" s="1631"/>
      <c r="K114" s="1956"/>
      <c r="L114" s="1957"/>
      <c r="M114" s="1572"/>
      <c r="N114" s="1572"/>
      <c r="O114" s="1954"/>
      <c r="P114" s="1954"/>
      <c r="Q114" s="1901"/>
      <c r="T114" s="1661">
        <f>B118</f>
        <v>0</v>
      </c>
      <c r="U114" s="1667">
        <f>G118</f>
        <v>0</v>
      </c>
      <c r="V114" s="1672"/>
      <c r="W114" s="1672"/>
      <c r="AL114" s="1672"/>
      <c r="AM114" s="1672"/>
    </row>
    <row r="115" spans="1:42" ht="15" customHeight="1">
      <c r="A115" s="1889"/>
      <c r="B115" s="1964"/>
      <c r="C115" s="1930"/>
      <c r="D115" s="1627"/>
      <c r="E115" s="1627"/>
      <c r="F115" s="1625"/>
      <c r="G115" s="1628"/>
      <c r="H115" s="1630"/>
      <c r="I115" s="1630"/>
      <c r="J115" s="1631"/>
      <c r="K115" s="1959"/>
      <c r="L115" s="1957"/>
      <c r="M115" s="1572"/>
      <c r="N115" s="1572"/>
      <c r="O115" s="1954"/>
      <c r="P115" s="1954"/>
      <c r="Q115" s="1901"/>
      <c r="U115" s="1667"/>
      <c r="V115" s="1672"/>
      <c r="W115" s="1672"/>
      <c r="AL115" s="1672"/>
      <c r="AM115" s="1672"/>
    </row>
    <row r="116" spans="1:42" ht="15" customHeight="1">
      <c r="A116" s="1889"/>
      <c r="B116" s="1964"/>
      <c r="C116" s="1930"/>
      <c r="D116" s="1627"/>
      <c r="E116" s="1627"/>
      <c r="F116" s="1625"/>
      <c r="G116" s="1628"/>
      <c r="H116" s="1630"/>
      <c r="I116" s="1630"/>
      <c r="J116" s="1965"/>
      <c r="K116" s="1959"/>
      <c r="L116" s="1960"/>
      <c r="M116" s="1572"/>
      <c r="N116" s="1572"/>
      <c r="O116" s="1954"/>
      <c r="P116" s="1954"/>
      <c r="Q116" s="1901"/>
      <c r="V116" s="1672"/>
      <c r="W116" s="1672"/>
      <c r="AL116" s="1672"/>
      <c r="AM116" s="1672"/>
    </row>
    <row r="117" spans="1:42" ht="15" customHeight="1">
      <c r="A117" s="1889"/>
      <c r="B117" s="1964"/>
      <c r="C117" s="1930"/>
      <c r="D117" s="1627"/>
      <c r="E117" s="1627"/>
      <c r="F117" s="1625"/>
      <c r="G117" s="1628"/>
      <c r="H117" s="1630"/>
      <c r="I117" s="1630"/>
      <c r="J117" s="1631"/>
      <c r="K117" s="1959"/>
      <c r="L117" s="1960"/>
      <c r="M117" s="1961"/>
      <c r="N117" s="1923"/>
      <c r="O117" s="1954"/>
      <c r="P117" s="1954"/>
      <c r="Q117" s="1901"/>
      <c r="V117" s="1672"/>
      <c r="W117" s="1672"/>
      <c r="AL117" s="1672"/>
      <c r="AM117" s="1672"/>
    </row>
    <row r="118" spans="1:42" ht="15" customHeight="1">
      <c r="A118" s="1889"/>
      <c r="B118" s="1964"/>
      <c r="C118" s="1930"/>
      <c r="D118" s="1627"/>
      <c r="E118" s="1627"/>
      <c r="F118" s="1625"/>
      <c r="G118" s="1628"/>
      <c r="H118" s="1630"/>
      <c r="I118" s="1630"/>
      <c r="J118" s="1965"/>
      <c r="K118" s="1959"/>
      <c r="L118" s="1960"/>
      <c r="M118" s="1961"/>
      <c r="N118" s="1923"/>
      <c r="O118" s="1954"/>
      <c r="P118" s="1954"/>
      <c r="Q118" s="1901"/>
      <c r="R118" s="1963"/>
      <c r="V118" s="1672"/>
      <c r="W118" s="1672"/>
      <c r="AL118" s="1672"/>
      <c r="AM118" s="1672"/>
    </row>
    <row r="119" spans="1:42" ht="15" customHeight="1">
      <c r="A119" s="1889"/>
      <c r="B119" s="1964"/>
      <c r="C119" s="1930"/>
      <c r="D119" s="1627"/>
      <c r="E119" s="1627"/>
      <c r="F119" s="1625"/>
      <c r="G119" s="1628"/>
      <c r="H119" s="1630"/>
      <c r="I119" s="1630"/>
      <c r="J119" s="1631"/>
      <c r="K119" s="1959"/>
      <c r="L119" s="1959"/>
      <c r="M119" s="1923"/>
      <c r="N119" s="1923"/>
      <c r="O119" s="1954"/>
      <c r="P119" s="1954"/>
      <c r="Q119" s="1901"/>
    </row>
    <row r="120" spans="1:42" ht="15" customHeight="1">
      <c r="A120" s="1889"/>
      <c r="B120" s="1964"/>
      <c r="C120" s="1930"/>
      <c r="D120" s="1627"/>
      <c r="E120" s="1627"/>
      <c r="F120" s="1625"/>
      <c r="G120" s="1628"/>
      <c r="H120" s="1630"/>
      <c r="I120" s="1630"/>
      <c r="J120" s="1965"/>
      <c r="K120" s="1959"/>
      <c r="L120" s="1959"/>
      <c r="M120" s="1923"/>
      <c r="N120" s="1923"/>
      <c r="O120" s="1954"/>
      <c r="P120" s="1954"/>
      <c r="Q120" s="1901"/>
    </row>
    <row r="121" spans="1:42" ht="15" customHeight="1">
      <c r="A121" s="1889"/>
      <c r="B121" s="1964"/>
      <c r="C121" s="1930"/>
      <c r="D121" s="1627"/>
      <c r="E121" s="1627"/>
      <c r="F121" s="1625"/>
      <c r="G121" s="1628"/>
      <c r="H121" s="1959"/>
      <c r="I121" s="1959"/>
      <c r="J121" s="1965"/>
      <c r="K121" s="1959"/>
      <c r="L121" s="1959"/>
      <c r="M121" s="1923"/>
      <c r="N121" s="1923"/>
      <c r="O121" s="1954"/>
      <c r="P121" s="1954"/>
      <c r="Q121" s="1901"/>
    </row>
    <row r="122" spans="1:42" ht="15" customHeight="1">
      <c r="A122" s="1889"/>
      <c r="B122" s="1966"/>
      <c r="C122" s="1930"/>
      <c r="D122" s="1959"/>
      <c r="E122" s="1959"/>
      <c r="F122" s="1954"/>
      <c r="G122" s="1628"/>
      <c r="H122" s="1959"/>
      <c r="I122" s="1959"/>
      <c r="J122" s="1965"/>
      <c r="K122" s="1959"/>
      <c r="L122" s="1959"/>
      <c r="M122" s="1923"/>
      <c r="N122" s="1923"/>
      <c r="O122" s="1954"/>
      <c r="P122" s="1954"/>
      <c r="Q122" s="1901"/>
    </row>
    <row r="123" spans="1:42" ht="15" customHeight="1">
      <c r="A123" s="1889"/>
      <c r="B123" s="1966"/>
      <c r="C123" s="1930"/>
      <c r="D123" s="1959"/>
      <c r="E123" s="1959"/>
      <c r="F123" s="1954"/>
      <c r="G123" s="1954"/>
      <c r="H123" s="1959"/>
      <c r="I123" s="1959"/>
      <c r="J123" s="1965"/>
      <c r="K123" s="1959"/>
      <c r="L123" s="1959"/>
      <c r="M123" s="1923"/>
      <c r="N123" s="1923"/>
      <c r="O123" s="1954"/>
      <c r="P123" s="1954"/>
      <c r="Q123" s="1901"/>
    </row>
    <row r="124" spans="1:42" ht="15" customHeight="1">
      <c r="A124" s="1902"/>
      <c r="B124" s="1967"/>
      <c r="C124" s="1968"/>
      <c r="D124" s="1960"/>
      <c r="E124" s="1960"/>
      <c r="F124" s="1969"/>
      <c r="G124" s="1969"/>
      <c r="H124" s="1960"/>
      <c r="I124" s="1960"/>
      <c r="J124" s="1953"/>
      <c r="K124" s="1960"/>
      <c r="L124" s="1960"/>
      <c r="M124" s="1961"/>
      <c r="N124" s="1961"/>
      <c r="O124" s="1969"/>
      <c r="P124" s="1969"/>
      <c r="Q124" s="1901"/>
      <c r="V124" s="1672"/>
      <c r="W124" s="1672"/>
      <c r="X124" s="1672"/>
      <c r="Y124" s="1672"/>
      <c r="Z124" s="1672"/>
      <c r="AB124" s="1903"/>
      <c r="AC124" s="1672"/>
      <c r="AD124" s="1672"/>
      <c r="AE124" s="1672"/>
      <c r="AF124" s="1672"/>
      <c r="AG124" s="1672"/>
      <c r="AH124" s="1672"/>
      <c r="AI124" s="1672"/>
      <c r="AJ124" s="1672"/>
      <c r="AK124" s="1672"/>
      <c r="AL124" s="1672"/>
      <c r="AM124" s="1672"/>
      <c r="AN124" s="1672"/>
      <c r="AO124" s="1672"/>
      <c r="AP124" s="1672"/>
    </row>
    <row r="125" spans="1:42" ht="15" customHeight="1">
      <c r="A125" s="1889"/>
      <c r="B125" s="4540"/>
      <c r="C125" s="4541"/>
      <c r="D125" s="4541"/>
      <c r="E125" s="4541"/>
      <c r="F125" s="4541"/>
      <c r="G125" s="4541"/>
      <c r="H125" s="4541"/>
      <c r="I125" s="4542"/>
      <c r="J125" s="1970"/>
      <c r="K125" s="1992"/>
      <c r="L125" s="1993"/>
      <c r="M125" s="1973"/>
      <c r="N125" s="1973"/>
      <c r="O125" s="1972"/>
      <c r="P125" s="1974"/>
      <c r="Q125" s="1901"/>
      <c r="V125" s="1671"/>
      <c r="W125" s="1671"/>
      <c r="X125" s="1671"/>
      <c r="Y125" s="1671"/>
      <c r="AE125" s="1568"/>
      <c r="AF125" s="1568"/>
      <c r="AI125" s="1921"/>
      <c r="AJ125" s="1975"/>
      <c r="AK125" s="1671"/>
      <c r="AL125" s="1671"/>
      <c r="AM125" s="1671"/>
      <c r="AN125" s="1671"/>
      <c r="AO125" s="1671"/>
    </row>
    <row r="126" spans="1:42" ht="15" customHeight="1">
      <c r="A126" s="1889"/>
      <c r="D126" s="1568"/>
      <c r="E126" s="1568"/>
      <c r="F126" s="1568"/>
      <c r="I126" s="1921"/>
      <c r="J126" s="1976"/>
      <c r="K126" s="1671"/>
      <c r="L126" s="1671"/>
      <c r="M126" s="1671"/>
      <c r="N126" s="1671"/>
      <c r="O126" s="1671"/>
      <c r="Q126" s="1901"/>
      <c r="V126" s="1671"/>
      <c r="W126" s="1671"/>
      <c r="X126" s="1671"/>
      <c r="Y126" s="1671"/>
      <c r="AE126" s="1568"/>
      <c r="AF126" s="1568"/>
      <c r="AI126" s="1921"/>
      <c r="AJ126" s="1976"/>
      <c r="AK126" s="1671"/>
      <c r="AL126" s="1671"/>
      <c r="AM126" s="1671"/>
      <c r="AN126" s="1671"/>
      <c r="AO126" s="1671"/>
    </row>
    <row r="127" spans="1:42" ht="15" customHeight="1">
      <c r="A127" s="1889"/>
      <c r="D127" s="1568"/>
      <c r="E127" s="1568"/>
      <c r="F127" s="1568"/>
      <c r="I127" s="1921"/>
      <c r="J127" s="1976"/>
      <c r="K127" s="1671"/>
      <c r="L127" s="1671"/>
      <c r="M127" s="1671"/>
      <c r="N127" s="1671"/>
      <c r="O127" s="1671"/>
      <c r="Q127" s="1901"/>
      <c r="V127" s="1671"/>
      <c r="W127" s="1671"/>
      <c r="X127" s="1671"/>
      <c r="Y127" s="1671"/>
      <c r="AE127" s="1568"/>
      <c r="AF127" s="1568"/>
      <c r="AI127" s="1921"/>
      <c r="AJ127" s="1976"/>
      <c r="AK127" s="1671"/>
      <c r="AL127" s="1671"/>
      <c r="AM127" s="1671"/>
      <c r="AN127" s="1671"/>
      <c r="AO127" s="1671"/>
    </row>
    <row r="128" spans="1:42" ht="15" customHeight="1">
      <c r="A128" s="1889"/>
      <c r="D128" s="1568"/>
      <c r="E128" s="1568"/>
      <c r="F128" s="1568"/>
      <c r="I128" s="1921"/>
      <c r="J128" s="1976"/>
      <c r="K128" s="1671"/>
      <c r="L128" s="1671"/>
      <c r="M128" s="1671"/>
      <c r="N128" s="1671"/>
      <c r="O128" s="1671"/>
      <c r="Q128" s="1901"/>
      <c r="V128" s="1671"/>
      <c r="W128" s="1671"/>
      <c r="X128" s="1671"/>
      <c r="Y128" s="1671"/>
      <c r="AE128" s="1568"/>
      <c r="AF128" s="1568"/>
      <c r="AI128" s="1921"/>
      <c r="AJ128" s="1976"/>
      <c r="AK128" s="1671"/>
      <c r="AL128" s="1671"/>
      <c r="AM128" s="1671"/>
      <c r="AN128" s="1671"/>
      <c r="AO128" s="1671"/>
    </row>
    <row r="129" spans="1:41" ht="15" customHeight="1">
      <c r="A129" s="1889"/>
      <c r="D129" s="1568"/>
      <c r="E129" s="1568"/>
      <c r="F129" s="1568"/>
      <c r="I129" s="1921"/>
      <c r="J129" s="1976"/>
      <c r="K129" s="1671"/>
      <c r="L129" s="1671"/>
      <c r="M129" s="1671"/>
      <c r="N129" s="1671"/>
      <c r="O129" s="1671"/>
      <c r="Q129" s="1901"/>
      <c r="V129" s="1671"/>
      <c r="W129" s="1671"/>
      <c r="X129" s="1671"/>
      <c r="Y129" s="1671"/>
      <c r="AE129" s="1568"/>
      <c r="AF129" s="1568"/>
      <c r="AI129" s="1921"/>
      <c r="AJ129" s="1976"/>
      <c r="AK129" s="1671"/>
      <c r="AL129" s="1671"/>
      <c r="AM129" s="1671"/>
      <c r="AN129" s="1671"/>
      <c r="AO129" s="1671"/>
    </row>
    <row r="130" spans="1:41" ht="15" customHeight="1">
      <c r="A130" s="1889"/>
      <c r="D130" s="1568"/>
      <c r="E130" s="1568"/>
      <c r="F130" s="1568"/>
      <c r="I130" s="1921"/>
      <c r="J130" s="1976"/>
      <c r="K130" s="1671"/>
      <c r="L130" s="1671"/>
      <c r="M130" s="1671"/>
      <c r="N130" s="1671"/>
      <c r="O130" s="1671"/>
      <c r="Q130" s="1901"/>
      <c r="V130" s="1671"/>
      <c r="W130" s="1671"/>
      <c r="X130" s="1671"/>
      <c r="Y130" s="1671"/>
      <c r="AE130" s="1568"/>
      <c r="AF130" s="1568"/>
      <c r="AI130" s="1921"/>
      <c r="AJ130" s="1976"/>
      <c r="AK130" s="1671"/>
      <c r="AL130" s="1671"/>
      <c r="AM130" s="1671"/>
      <c r="AN130" s="1671"/>
      <c r="AO130" s="1671"/>
    </row>
    <row r="131" spans="1:41" ht="15" customHeight="1">
      <c r="A131" s="1889"/>
      <c r="D131" s="1568"/>
      <c r="E131" s="1568"/>
      <c r="F131" s="1568"/>
      <c r="I131" s="1921"/>
      <c r="J131" s="1976"/>
      <c r="K131" s="1671"/>
      <c r="L131" s="1671"/>
      <c r="M131" s="1671"/>
      <c r="N131" s="1671"/>
      <c r="O131" s="1671"/>
      <c r="Q131" s="1901"/>
      <c r="V131" s="1671"/>
      <c r="W131" s="1671"/>
      <c r="X131" s="1671"/>
      <c r="Y131" s="1671"/>
      <c r="AE131" s="1568"/>
      <c r="AF131" s="1568"/>
      <c r="AI131" s="1921"/>
      <c r="AJ131" s="1976"/>
      <c r="AK131" s="1671"/>
      <c r="AL131" s="1671"/>
      <c r="AM131" s="1671"/>
      <c r="AN131" s="1671"/>
      <c r="AO131" s="1671"/>
    </row>
    <row r="132" spans="1:41" ht="15" customHeight="1">
      <c r="A132" s="1889"/>
      <c r="D132" s="1568"/>
      <c r="E132" s="1568"/>
      <c r="F132" s="1568"/>
      <c r="I132" s="1921"/>
      <c r="J132" s="1976"/>
      <c r="K132" s="1671"/>
      <c r="L132" s="1671"/>
      <c r="M132" s="1671"/>
      <c r="N132" s="1671"/>
      <c r="O132" s="1671"/>
      <c r="Q132" s="1901"/>
      <c r="V132" s="1671"/>
      <c r="W132" s="1671"/>
      <c r="X132" s="1671"/>
      <c r="Y132" s="1671"/>
      <c r="AE132" s="1568"/>
      <c r="AF132" s="1568"/>
      <c r="AI132" s="1921"/>
      <c r="AJ132" s="1976"/>
      <c r="AK132" s="1671"/>
      <c r="AL132" s="1671"/>
      <c r="AM132" s="1671"/>
      <c r="AN132" s="1671"/>
      <c r="AO132" s="1671"/>
    </row>
    <row r="133" spans="1:41" ht="15" customHeight="1">
      <c r="A133" s="1889"/>
      <c r="D133" s="1568"/>
      <c r="E133" s="1568"/>
      <c r="F133" s="1568"/>
      <c r="I133" s="1921"/>
      <c r="J133" s="1976"/>
      <c r="K133" s="1671"/>
      <c r="L133" s="1671"/>
      <c r="M133" s="1671"/>
      <c r="N133" s="1671"/>
      <c r="O133" s="1671"/>
      <c r="Q133" s="1901"/>
      <c r="V133" s="1671"/>
      <c r="W133" s="1671"/>
      <c r="X133" s="1671"/>
      <c r="Y133" s="1671"/>
      <c r="AE133" s="1568"/>
      <c r="AF133" s="1568"/>
      <c r="AI133" s="1921"/>
      <c r="AJ133" s="1976"/>
      <c r="AK133" s="1671"/>
      <c r="AL133" s="1671"/>
      <c r="AM133" s="1671"/>
      <c r="AN133" s="1671"/>
      <c r="AO133" s="1671"/>
    </row>
    <row r="134" spans="1:41" ht="15" customHeight="1">
      <c r="A134" s="1889"/>
      <c r="D134" s="1568"/>
      <c r="E134" s="1568"/>
      <c r="F134" s="1568"/>
      <c r="I134" s="1921"/>
      <c r="J134" s="1976"/>
      <c r="K134" s="1671"/>
      <c r="L134" s="1671"/>
      <c r="M134" s="1671"/>
      <c r="N134" s="1671"/>
      <c r="O134" s="1671"/>
      <c r="Q134" s="1901"/>
      <c r="V134" s="1671"/>
      <c r="W134" s="1671"/>
      <c r="X134" s="1671"/>
      <c r="Y134" s="1671"/>
      <c r="AE134" s="1568"/>
      <c r="AF134" s="1568"/>
      <c r="AI134" s="1921"/>
      <c r="AJ134" s="1976"/>
      <c r="AK134" s="1671"/>
      <c r="AL134" s="1671"/>
      <c r="AM134" s="1671"/>
      <c r="AN134" s="1671"/>
      <c r="AO134" s="1671"/>
    </row>
    <row r="135" spans="1:41" ht="15" customHeight="1">
      <c r="A135" s="1889"/>
      <c r="D135" s="1568"/>
      <c r="E135" s="1568"/>
      <c r="F135" s="1568"/>
      <c r="I135" s="1921"/>
      <c r="J135" s="1976"/>
      <c r="K135" s="1671"/>
      <c r="L135" s="1671"/>
      <c r="M135" s="1671"/>
      <c r="N135" s="1671"/>
      <c r="O135" s="1671"/>
      <c r="Q135" s="1901"/>
      <c r="V135" s="1671"/>
      <c r="W135" s="1671"/>
      <c r="X135" s="1671"/>
      <c r="Y135" s="1671"/>
      <c r="AE135" s="1568"/>
      <c r="AF135" s="1568"/>
      <c r="AI135" s="1921"/>
      <c r="AJ135" s="1976"/>
      <c r="AK135" s="1671"/>
      <c r="AL135" s="1671"/>
      <c r="AM135" s="1671"/>
      <c r="AN135" s="1671"/>
      <c r="AO135" s="1671"/>
    </row>
    <row r="136" spans="1:41" ht="15" customHeight="1">
      <c r="A136" s="1889"/>
      <c r="D136" s="1568"/>
      <c r="E136" s="1568"/>
      <c r="F136" s="1568"/>
      <c r="I136" s="1921"/>
      <c r="J136" s="1976"/>
      <c r="K136" s="1671"/>
      <c r="L136" s="1671"/>
      <c r="M136" s="1671"/>
      <c r="N136" s="1671"/>
      <c r="O136" s="1671"/>
      <c r="Q136" s="1901"/>
      <c r="V136" s="1671"/>
      <c r="W136" s="1671"/>
      <c r="X136" s="1671"/>
      <c r="Y136" s="1671"/>
      <c r="AE136" s="1568"/>
      <c r="AF136" s="1568"/>
      <c r="AI136" s="1921"/>
      <c r="AJ136" s="1976"/>
      <c r="AK136" s="1671"/>
      <c r="AL136" s="1671"/>
      <c r="AM136" s="1671"/>
      <c r="AN136" s="1671"/>
      <c r="AO136" s="1671"/>
    </row>
    <row r="137" spans="1:41" ht="15" customHeight="1">
      <c r="A137" s="1889"/>
      <c r="D137" s="1568"/>
      <c r="E137" s="1568"/>
      <c r="F137" s="1568"/>
      <c r="I137" s="1921"/>
      <c r="J137" s="1976"/>
      <c r="K137" s="1671"/>
      <c r="L137" s="1671"/>
      <c r="M137" s="1671"/>
      <c r="N137" s="1671"/>
      <c r="O137" s="1671"/>
      <c r="Q137" s="1901"/>
      <c r="V137" s="1671"/>
      <c r="W137" s="1671"/>
      <c r="X137" s="1671"/>
      <c r="Y137" s="1671"/>
      <c r="AE137" s="1568"/>
      <c r="AF137" s="1568"/>
      <c r="AI137" s="1921"/>
      <c r="AJ137" s="1976"/>
      <c r="AK137" s="1671"/>
      <c r="AL137" s="1671"/>
      <c r="AM137" s="1671"/>
      <c r="AN137" s="1671"/>
      <c r="AO137" s="1671"/>
    </row>
    <row r="138" spans="1:41" ht="15" customHeight="1">
      <c r="A138" s="1889"/>
      <c r="D138" s="1568"/>
      <c r="E138" s="1568"/>
      <c r="F138" s="1568"/>
      <c r="I138" s="1921"/>
      <c r="J138" s="1976"/>
      <c r="K138" s="1671"/>
      <c r="L138" s="1671"/>
      <c r="M138" s="1671"/>
      <c r="N138" s="1671"/>
      <c r="O138" s="1671"/>
      <c r="Q138" s="1901"/>
      <c r="V138" s="1671"/>
      <c r="W138" s="1671"/>
      <c r="X138" s="1671"/>
      <c r="Y138" s="1671"/>
      <c r="AE138" s="1568"/>
      <c r="AF138" s="1568"/>
      <c r="AI138" s="1921"/>
      <c r="AJ138" s="1976"/>
      <c r="AK138" s="1671"/>
      <c r="AL138" s="1671"/>
      <c r="AM138" s="1671"/>
      <c r="AN138" s="1671"/>
      <c r="AO138" s="1671"/>
    </row>
    <row r="139" spans="1:41" ht="15" customHeight="1">
      <c r="A139" s="1889"/>
      <c r="D139" s="1568"/>
      <c r="E139" s="1568"/>
      <c r="F139" s="1568"/>
      <c r="I139" s="1921"/>
      <c r="J139" s="1976"/>
      <c r="K139" s="1671"/>
      <c r="L139" s="1671"/>
      <c r="M139" s="1671"/>
      <c r="N139" s="1671"/>
      <c r="O139" s="1671"/>
      <c r="Q139" s="1901"/>
      <c r="V139" s="1671"/>
      <c r="W139" s="1671"/>
      <c r="X139" s="1671"/>
      <c r="Y139" s="1671"/>
      <c r="AE139" s="1568"/>
      <c r="AF139" s="1568"/>
      <c r="AI139" s="1921"/>
      <c r="AJ139" s="1976"/>
      <c r="AK139" s="1671"/>
      <c r="AL139" s="1671"/>
      <c r="AM139" s="1671"/>
      <c r="AN139" s="1671"/>
      <c r="AO139" s="1671"/>
    </row>
    <row r="140" spans="1:41" ht="15" customHeight="1">
      <c r="A140" s="1889"/>
      <c r="D140" s="1568"/>
      <c r="E140" s="1568"/>
      <c r="F140" s="1568"/>
      <c r="I140" s="1921"/>
      <c r="J140" s="1976"/>
      <c r="K140" s="1671"/>
      <c r="L140" s="1671"/>
      <c r="M140" s="1671"/>
      <c r="N140" s="1671"/>
      <c r="O140" s="1671"/>
      <c r="Q140" s="1901"/>
      <c r="V140" s="1671"/>
      <c r="W140" s="1671"/>
      <c r="X140" s="1671"/>
      <c r="Y140" s="1671"/>
      <c r="AE140" s="1568"/>
      <c r="AF140" s="1568"/>
      <c r="AI140" s="1921"/>
      <c r="AJ140" s="1976"/>
      <c r="AK140" s="1671"/>
      <c r="AL140" s="1671"/>
      <c r="AM140" s="1671"/>
      <c r="AN140" s="1671"/>
      <c r="AO140" s="1671"/>
    </row>
    <row r="141" spans="1:41" ht="15" customHeight="1">
      <c r="A141" s="1889"/>
      <c r="D141" s="1568"/>
      <c r="E141" s="1568"/>
      <c r="F141" s="1568"/>
      <c r="I141" s="1921"/>
      <c r="J141" s="1976"/>
      <c r="K141" s="1671"/>
      <c r="L141" s="1671"/>
      <c r="M141" s="1671"/>
      <c r="N141" s="1671"/>
      <c r="O141" s="1671"/>
      <c r="Q141" s="1901"/>
      <c r="V141" s="1671"/>
      <c r="W141" s="1671"/>
      <c r="X141" s="1671"/>
      <c r="Y141" s="1671"/>
      <c r="AE141" s="1568"/>
      <c r="AF141" s="1568"/>
      <c r="AI141" s="1921"/>
      <c r="AJ141" s="1976"/>
      <c r="AK141" s="1671"/>
      <c r="AL141" s="1671"/>
      <c r="AM141" s="1671"/>
      <c r="AN141" s="1671"/>
      <c r="AO141" s="1671"/>
    </row>
    <row r="142" spans="1:41" ht="15" customHeight="1">
      <c r="A142" s="1889"/>
      <c r="D142" s="1568"/>
      <c r="E142" s="1568"/>
      <c r="F142" s="1568"/>
      <c r="I142" s="1921"/>
      <c r="J142" s="1976"/>
      <c r="K142" s="1671"/>
      <c r="L142" s="1671"/>
      <c r="M142" s="1671"/>
      <c r="N142" s="1671"/>
      <c r="O142" s="1671"/>
      <c r="Q142" s="1901"/>
      <c r="V142" s="1671"/>
      <c r="W142" s="1671"/>
      <c r="X142" s="1671"/>
      <c r="Y142" s="1671"/>
      <c r="AE142" s="1568"/>
      <c r="AF142" s="1568"/>
      <c r="AI142" s="1921"/>
      <c r="AJ142" s="1976"/>
      <c r="AK142" s="1671"/>
      <c r="AL142" s="1671"/>
      <c r="AM142" s="1671"/>
      <c r="AN142" s="1671"/>
      <c r="AO142" s="1671"/>
    </row>
    <row r="143" spans="1:41" ht="15" customHeight="1">
      <c r="A143" s="1889"/>
      <c r="D143" s="1568"/>
      <c r="E143" s="1568"/>
      <c r="F143" s="1568"/>
      <c r="I143" s="1921"/>
      <c r="J143" s="1976"/>
      <c r="K143" s="1671"/>
      <c r="L143" s="1671"/>
      <c r="M143" s="1671"/>
      <c r="N143" s="1671"/>
      <c r="O143" s="1671"/>
      <c r="Q143" s="1901"/>
      <c r="V143" s="1671"/>
      <c r="W143" s="1671"/>
      <c r="X143" s="1671"/>
      <c r="Y143" s="1671"/>
      <c r="AE143" s="1568"/>
      <c r="AF143" s="1568"/>
      <c r="AI143" s="1921"/>
      <c r="AJ143" s="1976"/>
      <c r="AK143" s="1671"/>
      <c r="AL143" s="1671"/>
      <c r="AM143" s="1671"/>
      <c r="AN143" s="1671"/>
      <c r="AO143" s="1671"/>
    </row>
    <row r="144" spans="1:41" ht="15" customHeight="1">
      <c r="A144" s="1889"/>
      <c r="D144" s="1568"/>
      <c r="E144" s="1568"/>
      <c r="F144" s="1568"/>
      <c r="I144" s="1921"/>
      <c r="J144" s="1976"/>
      <c r="K144" s="1671"/>
      <c r="L144" s="1671"/>
      <c r="M144" s="1671"/>
      <c r="N144" s="1671"/>
      <c r="O144" s="1671"/>
      <c r="Q144" s="1901"/>
      <c r="V144" s="1671"/>
      <c r="W144" s="1671"/>
      <c r="X144" s="1671"/>
      <c r="Y144" s="1671"/>
      <c r="AE144" s="1568"/>
      <c r="AF144" s="1568"/>
      <c r="AI144" s="1921"/>
      <c r="AJ144" s="1976"/>
      <c r="AK144" s="1671"/>
      <c r="AL144" s="1671"/>
      <c r="AM144" s="1671"/>
      <c r="AN144" s="1671"/>
      <c r="AO144" s="1671"/>
    </row>
    <row r="145" spans="1:42" ht="15" customHeight="1">
      <c r="A145" s="1889"/>
      <c r="D145" s="1568"/>
      <c r="E145" s="1568"/>
      <c r="F145" s="1568"/>
      <c r="I145" s="1921"/>
      <c r="J145" s="1976"/>
      <c r="K145" s="1671"/>
      <c r="L145" s="1671"/>
      <c r="M145" s="1671"/>
      <c r="N145" s="1671"/>
      <c r="O145" s="1671"/>
      <c r="Q145" s="1901"/>
      <c r="V145" s="1671"/>
      <c r="W145" s="1671"/>
      <c r="X145" s="1671"/>
      <c r="Y145" s="1671"/>
      <c r="AE145" s="1568"/>
      <c r="AF145" s="1568"/>
      <c r="AI145" s="1921"/>
      <c r="AJ145" s="1976"/>
      <c r="AK145" s="1671"/>
      <c r="AL145" s="1671"/>
      <c r="AM145" s="1671"/>
      <c r="AN145" s="1671"/>
      <c r="AO145" s="1671"/>
    </row>
    <row r="146" spans="1:42" ht="15" customHeight="1">
      <c r="A146" s="1889"/>
      <c r="D146" s="1568"/>
      <c r="E146" s="1568"/>
      <c r="F146" s="1568"/>
      <c r="I146" s="1921"/>
      <c r="J146" s="1976"/>
      <c r="K146" s="1671"/>
      <c r="L146" s="1671"/>
      <c r="M146" s="1671"/>
      <c r="N146" s="1671"/>
      <c r="O146" s="1671"/>
      <c r="Q146" s="1901"/>
      <c r="V146" s="1671"/>
      <c r="W146" s="1671"/>
      <c r="X146" s="1671"/>
      <c r="Y146" s="1671"/>
      <c r="AE146" s="1568"/>
      <c r="AF146" s="1568"/>
      <c r="AI146" s="1921"/>
      <c r="AJ146" s="1976"/>
      <c r="AK146" s="1671"/>
      <c r="AL146" s="1671"/>
      <c r="AM146" s="1671"/>
      <c r="AN146" s="1671"/>
      <c r="AO146" s="1671"/>
    </row>
    <row r="147" spans="1:42" ht="15" customHeight="1">
      <c r="A147" s="1889"/>
      <c r="D147" s="1568"/>
      <c r="E147" s="1568"/>
      <c r="F147" s="1568"/>
      <c r="I147" s="1921"/>
      <c r="J147" s="1976"/>
      <c r="K147" s="1671"/>
      <c r="L147" s="1671"/>
      <c r="M147" s="1671"/>
      <c r="N147" s="1671"/>
      <c r="O147" s="1671"/>
      <c r="Q147" s="1901"/>
      <c r="V147" s="1671"/>
      <c r="W147" s="1671"/>
      <c r="X147" s="1671"/>
      <c r="Y147" s="1671"/>
      <c r="AE147" s="1568"/>
      <c r="AF147" s="1568"/>
      <c r="AI147" s="1921"/>
      <c r="AJ147" s="1976"/>
      <c r="AK147" s="1671"/>
      <c r="AL147" s="1671"/>
      <c r="AM147" s="1671"/>
      <c r="AN147" s="1671"/>
      <c r="AO147" s="1671"/>
    </row>
    <row r="148" spans="1:42" ht="15" customHeight="1">
      <c r="A148" s="1889"/>
      <c r="D148" s="1568"/>
      <c r="E148" s="1568"/>
      <c r="F148" s="1568"/>
      <c r="I148" s="1921"/>
      <c r="J148" s="1976"/>
      <c r="K148" s="1671"/>
      <c r="L148" s="1671"/>
      <c r="M148" s="1671"/>
      <c r="N148" s="1671"/>
      <c r="O148" s="1671"/>
      <c r="Q148" s="1901"/>
      <c r="V148" s="1671"/>
      <c r="W148" s="1671"/>
      <c r="X148" s="1671"/>
      <c r="Y148" s="1671"/>
      <c r="AE148" s="1568"/>
      <c r="AF148" s="1568"/>
      <c r="AI148" s="1921"/>
      <c r="AJ148" s="1976"/>
      <c r="AK148" s="1671"/>
      <c r="AL148" s="1671"/>
      <c r="AM148" s="1671"/>
      <c r="AN148" s="1671"/>
      <c r="AO148" s="1671"/>
    </row>
    <row r="149" spans="1:42" ht="15" customHeight="1">
      <c r="A149" s="1889"/>
      <c r="D149" s="1568"/>
      <c r="E149" s="1568"/>
      <c r="F149" s="1568"/>
      <c r="I149" s="1921"/>
      <c r="J149" s="1976"/>
      <c r="K149" s="1671"/>
      <c r="L149" s="1671"/>
      <c r="M149" s="1671"/>
      <c r="N149" s="1671"/>
      <c r="O149" s="1671"/>
      <c r="Q149" s="1901"/>
      <c r="V149" s="1671"/>
      <c r="W149" s="1671"/>
      <c r="X149" s="1671"/>
      <c r="Y149" s="1671"/>
      <c r="AE149" s="1568"/>
      <c r="AF149" s="1568"/>
      <c r="AI149" s="1921"/>
      <c r="AJ149" s="1976"/>
      <c r="AK149" s="1671"/>
      <c r="AL149" s="1671"/>
      <c r="AM149" s="1671"/>
      <c r="AN149" s="1671"/>
      <c r="AO149" s="1671"/>
    </row>
    <row r="150" spans="1:42" ht="15" customHeight="1">
      <c r="A150" s="1889"/>
      <c r="D150" s="1568"/>
      <c r="E150" s="1568"/>
      <c r="F150" s="1568"/>
      <c r="I150" s="1921"/>
      <c r="J150" s="1976"/>
      <c r="K150" s="1671"/>
      <c r="L150" s="1671"/>
      <c r="M150" s="1671"/>
      <c r="N150" s="1671"/>
      <c r="O150" s="1671"/>
      <c r="Q150" s="1901"/>
      <c r="V150" s="1671"/>
      <c r="W150" s="1671"/>
      <c r="X150" s="1671"/>
      <c r="Y150" s="1671"/>
      <c r="AE150" s="1568"/>
      <c r="AF150" s="1568"/>
      <c r="AI150" s="1921"/>
      <c r="AJ150" s="1976"/>
      <c r="AK150" s="1671"/>
      <c r="AL150" s="1671"/>
      <c r="AM150" s="1671"/>
      <c r="AN150" s="1671"/>
      <c r="AO150" s="1671"/>
    </row>
    <row r="151" spans="1:42" ht="15" customHeight="1">
      <c r="A151" s="1889"/>
      <c r="D151" s="1568"/>
      <c r="E151" s="1568"/>
      <c r="F151" s="1568"/>
      <c r="I151" s="1921"/>
      <c r="J151" s="1976"/>
      <c r="K151" s="1671"/>
      <c r="L151" s="1671"/>
      <c r="M151" s="1671"/>
      <c r="N151" s="1671"/>
      <c r="O151" s="1671"/>
      <c r="Q151" s="1901"/>
      <c r="V151" s="1671"/>
      <c r="W151" s="1671"/>
      <c r="X151" s="1671"/>
      <c r="Y151" s="1671"/>
      <c r="AE151" s="1568"/>
      <c r="AF151" s="1568"/>
      <c r="AI151" s="1921"/>
      <c r="AJ151" s="1976"/>
      <c r="AK151" s="1671"/>
      <c r="AL151" s="1671"/>
      <c r="AM151" s="1671"/>
      <c r="AN151" s="1671"/>
      <c r="AO151" s="1671"/>
    </row>
    <row r="152" spans="1:42" ht="15" customHeight="1">
      <c r="A152" s="1889"/>
      <c r="D152" s="1568"/>
      <c r="E152" s="1568"/>
      <c r="F152" s="1568"/>
      <c r="I152" s="1921"/>
      <c r="J152" s="1976"/>
      <c r="K152" s="1671"/>
      <c r="L152" s="1671"/>
      <c r="M152" s="1671"/>
      <c r="N152" s="1671"/>
      <c r="O152" s="1671"/>
      <c r="Q152" s="1901"/>
      <c r="V152" s="1671"/>
      <c r="W152" s="1671"/>
      <c r="X152" s="1671"/>
      <c r="Y152" s="1671"/>
      <c r="AE152" s="1568"/>
      <c r="AF152" s="1568"/>
      <c r="AI152" s="1921"/>
      <c r="AJ152" s="1976"/>
      <c r="AK152" s="1671"/>
      <c r="AL152" s="1671"/>
      <c r="AM152" s="1671"/>
      <c r="AN152" s="1671"/>
      <c r="AO152" s="1671"/>
    </row>
    <row r="153" spans="1:42" ht="15" customHeight="1">
      <c r="A153" s="1914"/>
      <c r="B153" s="1669"/>
      <c r="C153" s="1669"/>
      <c r="D153" s="1670"/>
      <c r="E153" s="1670"/>
      <c r="F153" s="1670"/>
      <c r="G153" s="1669"/>
      <c r="H153" s="1669"/>
      <c r="I153" s="1977"/>
      <c r="J153" s="1978"/>
      <c r="K153" s="1979"/>
      <c r="L153" s="1979"/>
      <c r="M153" s="1979"/>
      <c r="N153" s="1979"/>
      <c r="O153" s="1979"/>
      <c r="P153" s="1669"/>
      <c r="Q153" s="1915"/>
      <c r="V153" s="1671"/>
      <c r="W153" s="1671"/>
      <c r="X153" s="1671"/>
      <c r="Y153" s="1671"/>
      <c r="AE153" s="1568"/>
      <c r="AF153" s="1568"/>
      <c r="AI153" s="1921"/>
      <c r="AJ153" s="1976"/>
      <c r="AK153" s="1671"/>
      <c r="AL153" s="1671"/>
      <c r="AM153" s="1671"/>
      <c r="AN153" s="1671"/>
      <c r="AO153" s="1671"/>
    </row>
    <row r="154" spans="1:42" ht="15" customHeight="1">
      <c r="D154" s="1568"/>
      <c r="E154" s="1568"/>
      <c r="F154" s="1568"/>
      <c r="I154" s="1921"/>
      <c r="J154" s="1976"/>
      <c r="K154" s="1671"/>
      <c r="L154" s="1671"/>
      <c r="M154" s="1671"/>
      <c r="N154" s="1671"/>
      <c r="O154" s="1671"/>
      <c r="V154" s="1671"/>
      <c r="W154" s="1671"/>
      <c r="X154" s="1671"/>
      <c r="Y154" s="1671"/>
      <c r="AE154" s="1568"/>
      <c r="AF154" s="1568"/>
      <c r="AI154" s="1921"/>
      <c r="AJ154" s="1976"/>
      <c r="AK154" s="1671"/>
      <c r="AL154" s="1671"/>
      <c r="AM154" s="1671"/>
      <c r="AN154" s="1671"/>
      <c r="AO154" s="1671"/>
    </row>
    <row r="155" spans="1:42" ht="15" customHeight="1">
      <c r="D155" s="1568"/>
      <c r="E155" s="1568"/>
      <c r="F155" s="1568"/>
      <c r="I155" s="1921"/>
      <c r="J155" s="1976"/>
      <c r="K155" s="1671"/>
      <c r="L155" s="1671"/>
      <c r="M155" s="1671"/>
      <c r="N155" s="1671"/>
      <c r="O155" s="1671"/>
      <c r="V155" s="1671"/>
      <c r="W155" s="1671"/>
      <c r="X155" s="1671"/>
      <c r="Y155" s="1671"/>
      <c r="AE155" s="1568"/>
      <c r="AF155" s="1568"/>
      <c r="AI155" s="1921"/>
      <c r="AJ155" s="1976"/>
      <c r="AK155" s="1671"/>
      <c r="AL155" s="1671"/>
      <c r="AM155" s="1671"/>
      <c r="AN155" s="1671"/>
      <c r="AO155" s="1671"/>
    </row>
    <row r="156" spans="1:42" ht="15" customHeight="1">
      <c r="A156" s="1885"/>
      <c r="B156" s="1886"/>
      <c r="C156" s="1886"/>
      <c r="D156" s="1886"/>
      <c r="E156" s="1886"/>
      <c r="F156" s="1886"/>
      <c r="G156" s="1886"/>
      <c r="H156" s="1886"/>
      <c r="I156" s="1887" t="s">
        <v>206</v>
      </c>
      <c r="J156" s="1994" t="str">
        <f>J2</f>
        <v xml:space="preserve">PT Itamatra Nusantara </v>
      </c>
      <c r="K156" s="1918"/>
      <c r="L156" s="1918"/>
      <c r="M156" s="1918"/>
      <c r="N156" s="1918"/>
      <c r="O156" s="1918"/>
      <c r="P156" s="1918"/>
      <c r="Q156" s="1919"/>
      <c r="T156" s="1888"/>
      <c r="AJ156" s="1888"/>
    </row>
    <row r="157" spans="1:42" ht="15" customHeight="1">
      <c r="A157" s="1889"/>
      <c r="I157" s="1890" t="s">
        <v>82</v>
      </c>
      <c r="J157" s="1995" t="str">
        <f>J3</f>
        <v>hidroplogi</v>
      </c>
      <c r="K157" s="1923"/>
      <c r="L157" s="1923"/>
      <c r="M157" s="1923"/>
      <c r="N157" s="1923"/>
      <c r="O157" s="1923"/>
      <c r="P157" s="1923"/>
      <c r="Q157" s="1930"/>
      <c r="T157" s="1888"/>
      <c r="AJ157" s="1888"/>
    </row>
    <row r="158" spans="1:42" ht="15" customHeight="1">
      <c r="A158" s="1889"/>
      <c r="I158" s="1890" t="s">
        <v>77</v>
      </c>
      <c r="J158" s="1995" t="str">
        <f>J4</f>
        <v>PO-GQT-19</v>
      </c>
      <c r="K158" s="1923"/>
      <c r="L158" s="1923"/>
      <c r="M158" s="1923"/>
      <c r="N158" s="1922" t="s">
        <v>76</v>
      </c>
      <c r="O158" s="1891"/>
      <c r="P158" s="1980">
        <f>P4</f>
        <v>46223</v>
      </c>
      <c r="Q158" s="1930"/>
      <c r="T158" s="1892"/>
      <c r="Z158" s="1893"/>
      <c r="AJ158" s="1892"/>
      <c r="AP158" s="1893"/>
    </row>
    <row r="159" spans="1:42" ht="15" customHeight="1">
      <c r="A159" s="1889"/>
      <c r="I159" s="1894" t="s">
        <v>75</v>
      </c>
      <c r="J159" s="1996" t="str">
        <f>J5</f>
        <v>AS Sumartadji</v>
      </c>
      <c r="K159" s="1938"/>
      <c r="L159" s="1938"/>
      <c r="M159" s="1938"/>
      <c r="N159" s="1974" t="s">
        <v>74</v>
      </c>
      <c r="O159" s="1895"/>
      <c r="P159" s="1997" t="str">
        <f>P5</f>
        <v>AS Sumartadji</v>
      </c>
      <c r="Q159" s="1981"/>
      <c r="T159" s="1892"/>
      <c r="Z159" s="1892"/>
      <c r="AJ159" s="1892"/>
      <c r="AP159" s="1892"/>
    </row>
    <row r="160" spans="1:42" ht="15" customHeight="1">
      <c r="A160" s="1898"/>
      <c r="B160" s="1899"/>
      <c r="C160" s="1899"/>
      <c r="D160" s="1899"/>
      <c r="E160" s="1899"/>
      <c r="F160" s="1899"/>
      <c r="G160" s="1899"/>
      <c r="H160" s="1899"/>
      <c r="I160" s="1899"/>
      <c r="J160" s="1899"/>
      <c r="K160" s="1899"/>
      <c r="L160" s="1899"/>
      <c r="M160" s="1899"/>
      <c r="N160" s="1899"/>
      <c r="O160" s="1899"/>
      <c r="P160" s="1899"/>
      <c r="Q160" s="1912"/>
      <c r="T160" s="1568"/>
      <c r="U160" s="1568"/>
      <c r="V160" s="1568"/>
      <c r="W160" s="1568"/>
      <c r="X160" s="1568"/>
      <c r="Y160" s="1568"/>
      <c r="Z160" s="1568"/>
      <c r="AB160" s="1568"/>
      <c r="AC160" s="1568"/>
      <c r="AD160" s="1568"/>
      <c r="AE160" s="1568"/>
      <c r="AF160" s="1568"/>
      <c r="AG160" s="1568"/>
      <c r="AH160" s="1568"/>
      <c r="AI160" s="1568"/>
      <c r="AJ160" s="1568"/>
      <c r="AK160" s="1568"/>
      <c r="AL160" s="1568"/>
      <c r="AM160" s="1568"/>
      <c r="AN160" s="1568"/>
      <c r="AO160" s="1568"/>
      <c r="AP160" s="1568"/>
    </row>
    <row r="161" spans="1:42" ht="15" customHeight="1">
      <c r="A161" s="1902" t="s">
        <v>945</v>
      </c>
      <c r="B161" s="1672"/>
      <c r="C161" s="1672"/>
      <c r="D161" s="1672"/>
      <c r="E161" s="1672"/>
      <c r="F161" s="1672"/>
      <c r="G161" s="1903"/>
      <c r="H161" s="1903"/>
      <c r="I161" s="1672"/>
      <c r="J161" s="1672"/>
      <c r="K161" s="1672"/>
      <c r="L161" s="1672"/>
      <c r="M161" s="1672"/>
      <c r="N161" s="1672"/>
      <c r="O161" s="1672"/>
      <c r="P161" s="1904"/>
      <c r="Q161" s="1901"/>
      <c r="R161" s="1905"/>
      <c r="T161" s="1672"/>
      <c r="U161" s="1672"/>
      <c r="V161" s="1672"/>
      <c r="W161" s="1672"/>
      <c r="X161" s="1672"/>
      <c r="Y161" s="1672"/>
      <c r="Z161" s="1672"/>
      <c r="AB161" s="1903"/>
      <c r="AC161" s="1672"/>
      <c r="AD161" s="1672"/>
      <c r="AE161" s="1672"/>
      <c r="AF161" s="1672"/>
      <c r="AG161" s="1903"/>
      <c r="AH161" s="1903"/>
      <c r="AI161" s="1672"/>
      <c r="AJ161" s="1672"/>
      <c r="AK161" s="1672"/>
      <c r="AL161" s="1672"/>
      <c r="AM161" s="1672"/>
      <c r="AN161" s="1672"/>
      <c r="AO161" s="1672"/>
      <c r="AP161" s="1672"/>
    </row>
    <row r="162" spans="1:42" ht="15" customHeight="1">
      <c r="A162" s="1906"/>
      <c r="B162" s="1672"/>
      <c r="C162" s="1672"/>
      <c r="D162" s="1672"/>
      <c r="E162" s="1672"/>
      <c r="F162" s="1672"/>
      <c r="G162" s="1672"/>
      <c r="H162" s="1672"/>
      <c r="I162" s="1672"/>
      <c r="J162" s="1672"/>
      <c r="K162" s="1672"/>
      <c r="L162" s="1672"/>
      <c r="M162" s="1672"/>
      <c r="N162" s="1672"/>
      <c r="O162" s="1672"/>
      <c r="P162" s="1672"/>
      <c r="Q162" s="1901"/>
      <c r="Z162" s="1672"/>
      <c r="AB162" s="1907"/>
      <c r="AC162" s="1672"/>
      <c r="AD162" s="1672"/>
      <c r="AE162" s="1672"/>
      <c r="AF162" s="1672"/>
      <c r="AG162" s="1672"/>
      <c r="AH162" s="1672"/>
      <c r="AI162" s="1672"/>
      <c r="AJ162" s="1672"/>
      <c r="AK162" s="1672"/>
      <c r="AL162" s="1672"/>
      <c r="AM162" s="1672"/>
      <c r="AN162" s="1672"/>
      <c r="AO162" s="1672"/>
      <c r="AP162" s="1672"/>
    </row>
    <row r="163" spans="1:42" ht="15" customHeight="1">
      <c r="A163" s="1889"/>
      <c r="B163" s="1661" t="s">
        <v>208</v>
      </c>
      <c r="C163" s="1661" t="s">
        <v>27</v>
      </c>
      <c r="D163" s="1661" t="str">
        <f>D9</f>
        <v>Morowali Utara</v>
      </c>
      <c r="E163" s="1892"/>
      <c r="K163" s="1661" t="s">
        <v>944</v>
      </c>
      <c r="M163" s="1661" t="s">
        <v>27</v>
      </c>
      <c r="N163" s="1661" t="str">
        <f>N9</f>
        <v>Undisturbed Sample / UDS</v>
      </c>
      <c r="O163" s="1892"/>
      <c r="Q163" s="1901"/>
      <c r="AO163" s="1892"/>
    </row>
    <row r="164" spans="1:42" ht="15" customHeight="1">
      <c r="A164" s="1889"/>
      <c r="B164" s="1661" t="s">
        <v>943</v>
      </c>
      <c r="C164" s="1661" t="s">
        <v>27</v>
      </c>
      <c r="D164" s="1661" t="str">
        <f>D10</f>
        <v>BH-05_UDS-01</v>
      </c>
      <c r="E164" s="1892"/>
      <c r="F164" s="1892"/>
      <c r="K164" s="1661" t="s">
        <v>942</v>
      </c>
      <c r="M164" s="1661" t="s">
        <v>27</v>
      </c>
      <c r="N164" s="1984" t="str">
        <f>N87</f>
        <v>silty CLAY with sand</v>
      </c>
      <c r="Q164" s="1901"/>
      <c r="AF164" s="1892"/>
    </row>
    <row r="165" spans="1:42" ht="15" customHeight="1">
      <c r="A165" s="1889"/>
      <c r="B165" s="1661" t="s">
        <v>210</v>
      </c>
      <c r="C165" s="1661" t="s">
        <v>27</v>
      </c>
      <c r="D165" s="1661" t="str">
        <f>D11</f>
        <v>0,00-0,50</v>
      </c>
      <c r="E165" s="1661" t="s">
        <v>68</v>
      </c>
      <c r="F165" s="1892"/>
      <c r="K165" s="1568" t="s">
        <v>941</v>
      </c>
      <c r="M165" s="1568" t="s">
        <v>27</v>
      </c>
      <c r="N165" s="1666">
        <v>3</v>
      </c>
      <c r="Q165" s="1901"/>
      <c r="AF165" s="1892"/>
      <c r="AK165" s="1568"/>
      <c r="AL165" s="1568"/>
      <c r="AM165" s="1568"/>
    </row>
    <row r="166" spans="1:42" ht="15" customHeight="1">
      <c r="A166" s="1889"/>
      <c r="L166" s="1672"/>
      <c r="M166" s="1672"/>
      <c r="Q166" s="1901"/>
      <c r="AL166" s="1672"/>
      <c r="AM166" s="1672"/>
    </row>
    <row r="167" spans="1:42" ht="15" customHeight="1">
      <c r="A167" s="1889"/>
      <c r="B167" s="1908" t="s">
        <v>940</v>
      </c>
      <c r="L167" s="1672"/>
      <c r="M167" s="1672"/>
      <c r="Q167" s="1901"/>
      <c r="AL167" s="1672"/>
      <c r="AM167" s="1672"/>
    </row>
    <row r="168" spans="1:42" ht="15" customHeight="1">
      <c r="A168" s="1889"/>
      <c r="B168" s="1909" t="s">
        <v>939</v>
      </c>
      <c r="C168" s="1910"/>
      <c r="D168" s="1910"/>
      <c r="E168" s="1910"/>
      <c r="F168" s="1911"/>
      <c r="H168" s="1885" t="s">
        <v>938</v>
      </c>
      <c r="I168" s="1886"/>
      <c r="J168" s="1886"/>
      <c r="K168" s="1886"/>
      <c r="L168" s="1912"/>
      <c r="M168" s="4519" t="s">
        <v>937</v>
      </c>
      <c r="N168" s="4520"/>
      <c r="O168" s="4521"/>
      <c r="Q168" s="1901"/>
      <c r="AL168" s="1672"/>
      <c r="AM168" s="1672"/>
    </row>
    <row r="169" spans="1:42" ht="15" customHeight="1">
      <c r="A169" s="1889"/>
      <c r="B169" s="4519" t="s">
        <v>936</v>
      </c>
      <c r="C169" s="4520"/>
      <c r="D169" s="4521"/>
      <c r="E169" s="4520" t="s">
        <v>935</v>
      </c>
      <c r="F169" s="4521"/>
      <c r="H169" s="1914"/>
      <c r="I169" s="1669"/>
      <c r="J169" s="1669"/>
      <c r="K169" s="1669"/>
      <c r="L169" s="1915"/>
      <c r="M169" s="4519" t="s">
        <v>934</v>
      </c>
      <c r="N169" s="4521"/>
      <c r="O169" s="1913" t="s">
        <v>933</v>
      </c>
      <c r="Q169" s="1901"/>
      <c r="R169" s="1908"/>
      <c r="S169" s="1908"/>
      <c r="AA169" s="1672"/>
      <c r="AB169" s="1672"/>
      <c r="AL169" s="1672"/>
      <c r="AM169" s="1672"/>
    </row>
    <row r="170" spans="1:42" ht="15" customHeight="1">
      <c r="A170" s="1889"/>
      <c r="B170" s="4535"/>
      <c r="C170" s="4536"/>
      <c r="D170" s="4537"/>
      <c r="E170" s="4538"/>
      <c r="F170" s="4539"/>
      <c r="H170" s="1917" t="s">
        <v>932</v>
      </c>
      <c r="I170" s="1918"/>
      <c r="J170" s="1918"/>
      <c r="K170" s="1918"/>
      <c r="L170" s="1919"/>
      <c r="M170" s="1917"/>
      <c r="N170" s="1985"/>
      <c r="O170" s="1985"/>
      <c r="P170" s="1650"/>
      <c r="Q170" s="1901"/>
      <c r="R170" s="1661"/>
      <c r="S170" s="1661"/>
      <c r="T170" s="1650"/>
      <c r="U170" s="1650"/>
      <c r="W170" s="1650"/>
      <c r="X170" s="1921"/>
      <c r="Y170" s="1654"/>
      <c r="AA170" s="1921"/>
      <c r="AB170" s="1921"/>
      <c r="AC170" s="1921"/>
      <c r="AL170" s="1672"/>
      <c r="AM170" s="1672"/>
    </row>
    <row r="171" spans="1:42" ht="15" customHeight="1">
      <c r="A171" s="1889"/>
      <c r="B171" s="4543"/>
      <c r="C171" s="4544"/>
      <c r="D171" s="4545"/>
      <c r="E171" s="4546"/>
      <c r="F171" s="4547"/>
      <c r="H171" s="1922" t="s">
        <v>931</v>
      </c>
      <c r="I171" s="1923"/>
      <c r="J171" s="1923"/>
      <c r="K171" s="1923"/>
      <c r="L171" s="1924" t="s">
        <v>414</v>
      </c>
      <c r="M171" s="1925"/>
      <c r="N171" s="1986"/>
      <c r="O171" s="1986"/>
      <c r="Q171" s="1901"/>
      <c r="R171" s="1661"/>
      <c r="S171" s="1661"/>
      <c r="T171" s="1568"/>
      <c r="U171" s="1650"/>
      <c r="W171" s="1650"/>
      <c r="X171" s="1921"/>
      <c r="Y171" s="1654"/>
      <c r="AA171" s="1905"/>
      <c r="AB171" s="1905"/>
      <c r="AC171" s="1903"/>
      <c r="AD171" s="1672"/>
      <c r="AL171" s="1672"/>
      <c r="AM171" s="1672"/>
    </row>
    <row r="172" spans="1:42" ht="15" customHeight="1">
      <c r="A172" s="1889"/>
      <c r="B172" s="4543"/>
      <c r="C172" s="4544"/>
      <c r="D172" s="4545"/>
      <c r="E172" s="4546"/>
      <c r="F172" s="4547"/>
      <c r="H172" s="1922" t="s">
        <v>930</v>
      </c>
      <c r="I172" s="1923"/>
      <c r="J172" s="1923"/>
      <c r="K172" s="1923"/>
      <c r="L172" s="1924" t="s">
        <v>414</v>
      </c>
      <c r="M172" s="1925"/>
      <c r="N172" s="1987"/>
      <c r="O172" s="1986"/>
      <c r="Q172" s="1901"/>
      <c r="T172" s="1921"/>
      <c r="U172" s="1654"/>
      <c r="V172" s="1568"/>
      <c r="X172" s="1926"/>
      <c r="Y172" s="1673"/>
      <c r="AA172" s="1927"/>
      <c r="AB172" s="1927"/>
      <c r="AC172" s="1928"/>
      <c r="AD172" s="1929"/>
      <c r="AL172" s="1672"/>
      <c r="AM172" s="1672"/>
    </row>
    <row r="173" spans="1:42" ht="15" customHeight="1">
      <c r="A173" s="1889"/>
      <c r="B173" s="1922" t="s">
        <v>929</v>
      </c>
      <c r="C173" s="1930"/>
      <c r="D173" s="1988">
        <f>'Cu_Multi Shear'!O81-('Cu_Multi Shear'!C159-'Cu_Multi Shear'!C92)</f>
        <v>65.287059148556892</v>
      </c>
      <c r="E173" s="1931" t="s">
        <v>928</v>
      </c>
      <c r="F173" s="1931" t="e">
        <f>+AVERAGE(E170:E172)</f>
        <v>#DIV/0!</v>
      </c>
      <c r="H173" s="1922" t="s">
        <v>927</v>
      </c>
      <c r="I173" s="1923"/>
      <c r="J173" s="1923"/>
      <c r="K173" s="1923"/>
      <c r="L173" s="1924" t="s">
        <v>414</v>
      </c>
      <c r="M173" s="1925"/>
      <c r="N173" s="1986"/>
      <c r="O173" s="1986"/>
      <c r="Q173" s="1901"/>
      <c r="T173" s="1921"/>
      <c r="U173" s="1673"/>
      <c r="X173" s="1932"/>
      <c r="Y173" s="1673"/>
      <c r="AA173" s="1927"/>
      <c r="AB173" s="1927"/>
      <c r="AC173" s="1933"/>
      <c r="AD173" s="1929"/>
      <c r="AL173" s="1672"/>
      <c r="AM173" s="1672"/>
    </row>
    <row r="174" spans="1:42" ht="15" customHeight="1">
      <c r="A174" s="1889"/>
      <c r="B174" s="1922" t="s">
        <v>926</v>
      </c>
      <c r="C174" s="1923"/>
      <c r="D174" s="1923"/>
      <c r="E174" s="1923"/>
      <c r="F174" s="1930"/>
      <c r="H174" s="1922" t="s">
        <v>925</v>
      </c>
      <c r="I174" s="1923"/>
      <c r="J174" s="1923"/>
      <c r="K174" s="1923"/>
      <c r="L174" s="1930"/>
      <c r="M174" s="1923"/>
      <c r="N174" s="1987"/>
      <c r="O174" s="1987"/>
      <c r="Q174" s="1901"/>
      <c r="S174" s="4525"/>
      <c r="T174" s="4525"/>
      <c r="U174" s="4525"/>
      <c r="V174" s="4526"/>
      <c r="W174" s="4526"/>
      <c r="X174" s="1926"/>
      <c r="Y174" s="1673"/>
      <c r="AA174" s="1892"/>
      <c r="AB174" s="1892"/>
      <c r="AC174" s="1933"/>
      <c r="AD174" s="1935"/>
      <c r="AL174" s="1672"/>
      <c r="AM174" s="1672"/>
    </row>
    <row r="175" spans="1:42" ht="15" customHeight="1">
      <c r="A175" s="1889"/>
      <c r="B175" s="1922" t="s">
        <v>924</v>
      </c>
      <c r="C175" s="1923"/>
      <c r="D175" s="1923"/>
      <c r="E175" s="1924" t="s">
        <v>923</v>
      </c>
      <c r="F175" s="1989">
        <f>'Cu_Multi Shear'!O80/(1-('Cu_Multi Shear'!C159-'Cu_Multi Shear'!C92)/'Cu_Multi Shear'!O81)</f>
        <v>1271.4023349640022</v>
      </c>
      <c r="H175" s="1922" t="s">
        <v>922</v>
      </c>
      <c r="I175" s="1923"/>
      <c r="J175" s="1923"/>
      <c r="K175" s="1923"/>
      <c r="L175" s="1930"/>
      <c r="M175" s="1923"/>
      <c r="N175" s="1987"/>
      <c r="O175" s="1987"/>
      <c r="Q175" s="1901"/>
      <c r="S175" s="1934"/>
      <c r="T175" s="1934"/>
      <c r="U175" s="1934"/>
      <c r="V175" s="1673"/>
      <c r="W175" s="1673"/>
      <c r="X175" s="1926"/>
      <c r="Y175" s="1673"/>
      <c r="AA175" s="1892"/>
      <c r="AB175" s="1892"/>
      <c r="AC175" s="1933"/>
      <c r="AD175" s="1935"/>
      <c r="AL175" s="1672"/>
      <c r="AM175" s="1672"/>
    </row>
    <row r="176" spans="1:42" ht="15" customHeight="1">
      <c r="A176" s="1889"/>
      <c r="B176" s="1922" t="s">
        <v>921</v>
      </c>
      <c r="C176" s="1923"/>
      <c r="D176" s="1923"/>
      <c r="E176" s="1924" t="s">
        <v>563</v>
      </c>
      <c r="F176" s="1936">
        <f>(F175*D173)/1000</f>
        <v>83.006119444408142</v>
      </c>
      <c r="H176" s="1922" t="s">
        <v>419</v>
      </c>
      <c r="I176" s="1923"/>
      <c r="J176" s="1923"/>
      <c r="K176" s="1923"/>
      <c r="L176" s="1924" t="s">
        <v>414</v>
      </c>
      <c r="M176" s="1925"/>
      <c r="N176" s="1987"/>
      <c r="O176" s="1987"/>
      <c r="Q176" s="1901"/>
      <c r="S176" s="4525"/>
      <c r="T176" s="4525"/>
      <c r="U176" s="4525"/>
      <c r="V176" s="4526"/>
      <c r="W176" s="4526"/>
      <c r="X176" s="1926"/>
      <c r="Y176" s="1926"/>
      <c r="AC176" s="1892"/>
      <c r="AD176" s="1926"/>
      <c r="AL176" s="1672"/>
      <c r="AM176" s="1672"/>
    </row>
    <row r="177" spans="1:39" ht="15" customHeight="1">
      <c r="A177" s="1889"/>
      <c r="B177" s="1922" t="s">
        <v>920</v>
      </c>
      <c r="C177" s="1923"/>
      <c r="D177" s="1923"/>
      <c r="E177" s="1924" t="s">
        <v>917</v>
      </c>
      <c r="F177" s="1936">
        <f>N20/F176</f>
        <v>1.0937205667204086</v>
      </c>
      <c r="H177" s="1937" t="s">
        <v>919</v>
      </c>
      <c r="I177" s="1569"/>
      <c r="J177" s="1938"/>
      <c r="K177" s="1569"/>
      <c r="L177" s="1939" t="s">
        <v>1</v>
      </c>
      <c r="M177" s="1940"/>
      <c r="N177" s="1990"/>
      <c r="O177" s="1990"/>
      <c r="Q177" s="1901"/>
      <c r="S177" s="4525"/>
      <c r="T177" s="4525"/>
      <c r="U177" s="4525"/>
      <c r="V177" s="4525"/>
      <c r="W177" s="4525"/>
      <c r="X177" s="1654"/>
      <c r="Y177" s="1650"/>
      <c r="AD177" s="1650"/>
      <c r="AL177" s="1672"/>
      <c r="AM177" s="1672"/>
    </row>
    <row r="178" spans="1:39" ht="15" customHeight="1">
      <c r="A178" s="1889"/>
      <c r="B178" s="1922" t="s">
        <v>919</v>
      </c>
      <c r="C178" s="1923"/>
      <c r="D178" s="1923"/>
      <c r="E178" s="1924" t="s">
        <v>1</v>
      </c>
      <c r="F178" s="1936">
        <f>F24</f>
        <v>44.630837734286011</v>
      </c>
      <c r="Q178" s="1901"/>
      <c r="V178" s="1672"/>
      <c r="W178" s="1672"/>
      <c r="AL178" s="1672"/>
      <c r="AM178" s="1672"/>
    </row>
    <row r="179" spans="1:39" ht="15" customHeight="1">
      <c r="A179" s="1889"/>
      <c r="B179" s="1941" t="s">
        <v>918</v>
      </c>
      <c r="C179" s="1938"/>
      <c r="D179" s="1938"/>
      <c r="E179" s="1939" t="s">
        <v>917</v>
      </c>
      <c r="F179" s="1942">
        <f>N21/F176</f>
        <v>0.75621532990756679</v>
      </c>
      <c r="J179" s="1650"/>
      <c r="K179" s="1650"/>
      <c r="M179" s="1650"/>
      <c r="N179" s="1921"/>
      <c r="O179" s="1654"/>
      <c r="P179" s="1654"/>
      <c r="Q179" s="1901"/>
      <c r="V179" s="1672"/>
      <c r="W179" s="1672"/>
      <c r="AL179" s="1672"/>
      <c r="AM179" s="1672"/>
    </row>
    <row r="180" spans="1:39" ht="15" customHeight="1">
      <c r="A180" s="1889"/>
      <c r="J180" s="1568"/>
      <c r="K180" s="1650"/>
      <c r="M180" s="1650"/>
      <c r="N180" s="1921"/>
      <c r="O180" s="1654"/>
      <c r="P180" s="1654"/>
      <c r="Q180" s="1901"/>
      <c r="V180" s="1672"/>
      <c r="W180" s="1672"/>
      <c r="AL180" s="1672"/>
      <c r="AM180" s="1672"/>
    </row>
    <row r="181" spans="1:39" ht="15" customHeight="1">
      <c r="A181" s="1889"/>
      <c r="B181" s="1908" t="s">
        <v>916</v>
      </c>
      <c r="K181" s="1650"/>
      <c r="L181" s="1943"/>
      <c r="M181" s="1568"/>
      <c r="N181" s="1568"/>
      <c r="Q181" s="1901"/>
      <c r="V181" s="1672"/>
      <c r="W181" s="1672"/>
      <c r="AL181" s="1672"/>
      <c r="AM181" s="1672"/>
    </row>
    <row r="182" spans="1:39" ht="15" customHeight="1">
      <c r="A182" s="1889"/>
      <c r="F182" s="1650"/>
      <c r="G182" s="1674"/>
      <c r="H182" s="1650"/>
      <c r="I182" s="1650"/>
      <c r="J182" s="1650"/>
      <c r="K182" s="1650"/>
      <c r="L182" s="1943"/>
      <c r="M182" s="1568"/>
      <c r="N182" s="1568"/>
      <c r="Q182" s="1901"/>
      <c r="V182" s="1672"/>
      <c r="W182" s="1672"/>
      <c r="AL182" s="1672"/>
      <c r="AM182" s="1672"/>
    </row>
    <row r="183" spans="1:39" s="1651" customFormat="1" ht="26.25" customHeight="1">
      <c r="A183" s="1944"/>
      <c r="B183" s="1945" t="s">
        <v>915</v>
      </c>
      <c r="C183" s="1652"/>
      <c r="D183" s="1546" t="s">
        <v>914</v>
      </c>
      <c r="E183" s="1546" t="s">
        <v>913</v>
      </c>
      <c r="F183" s="1946" t="s">
        <v>912</v>
      </c>
      <c r="G183" s="4527" t="s">
        <v>911</v>
      </c>
      <c r="H183" s="4529" t="s">
        <v>910</v>
      </c>
      <c r="I183" s="4530"/>
      <c r="J183" s="4531"/>
      <c r="K183" s="4532" t="s">
        <v>909</v>
      </c>
      <c r="L183" s="4532"/>
      <c r="M183" s="4532"/>
      <c r="N183" s="4532"/>
      <c r="O183" s="4532"/>
      <c r="P183" s="4533"/>
      <c r="Q183" s="1649"/>
      <c r="R183" s="1947"/>
      <c r="S183" s="1947"/>
      <c r="V183" s="1948"/>
      <c r="W183" s="1948"/>
      <c r="AL183" s="1948"/>
      <c r="AM183" s="1948"/>
    </row>
    <row r="184" spans="1:39" ht="40.35" customHeight="1">
      <c r="A184" s="1889"/>
      <c r="B184" s="1545" t="s">
        <v>908</v>
      </c>
      <c r="C184" s="1544"/>
      <c r="D184" s="1543" t="s">
        <v>908</v>
      </c>
      <c r="E184" s="1543" t="s">
        <v>908</v>
      </c>
      <c r="F184" s="1543" t="s">
        <v>908</v>
      </c>
      <c r="G184" s="4528"/>
      <c r="H184" s="1543" t="s">
        <v>907</v>
      </c>
      <c r="I184" s="1543" t="s">
        <v>906</v>
      </c>
      <c r="J184" s="1543" t="s">
        <v>905</v>
      </c>
      <c r="K184" s="1542" t="s">
        <v>907</v>
      </c>
      <c r="L184" s="1541" t="s">
        <v>906</v>
      </c>
      <c r="M184" s="4534" t="s">
        <v>905</v>
      </c>
      <c r="N184" s="4534"/>
      <c r="O184" s="1949" t="s">
        <v>904</v>
      </c>
      <c r="P184" s="1949" t="s">
        <v>903</v>
      </c>
      <c r="Q184" s="1901"/>
      <c r="V184" s="1672"/>
      <c r="W184" s="1672"/>
      <c r="AL184" s="1672"/>
      <c r="AM184" s="1672"/>
    </row>
    <row r="185" spans="1:39" ht="15" customHeight="1">
      <c r="A185" s="1889"/>
      <c r="B185" s="1917"/>
      <c r="C185" s="1919"/>
      <c r="D185" s="1950"/>
      <c r="E185" s="1950"/>
      <c r="F185" s="1638"/>
      <c r="G185" s="1641"/>
      <c r="H185" s="1638"/>
      <c r="I185" s="1638"/>
      <c r="J185" s="1638"/>
      <c r="K185" s="1638"/>
      <c r="L185" s="1951"/>
      <c r="M185" s="1573"/>
      <c r="N185" s="1573"/>
      <c r="O185" s="1638"/>
      <c r="P185" s="1638"/>
      <c r="Q185" s="1901"/>
      <c r="T185" s="1952" t="s">
        <v>902</v>
      </c>
      <c r="V185" s="1672"/>
      <c r="W185" s="1672"/>
      <c r="AL185" s="1672"/>
      <c r="AM185" s="1672"/>
    </row>
    <row r="186" spans="1:39" ht="15" customHeight="1">
      <c r="A186" s="1889"/>
      <c r="B186" s="1964">
        <v>790</v>
      </c>
      <c r="C186" s="1930"/>
      <c r="D186" s="1627">
        <v>390</v>
      </c>
      <c r="E186" s="1627">
        <v>780</v>
      </c>
      <c r="F186" s="1631">
        <f>ABS(E186-D186)</f>
        <v>390</v>
      </c>
      <c r="G186" s="1628">
        <f>F186/(B186-B42)</f>
        <v>0.78</v>
      </c>
      <c r="H186" s="1956"/>
      <c r="I186" s="1956"/>
      <c r="J186" s="1625"/>
      <c r="K186" s="1956"/>
      <c r="L186" s="1957"/>
      <c r="M186" s="1572"/>
      <c r="N186" s="1572"/>
      <c r="O186" s="1954"/>
      <c r="P186" s="1954"/>
      <c r="Q186" s="1901"/>
      <c r="T186" s="1661">
        <f>B186</f>
        <v>790</v>
      </c>
      <c r="V186" s="1672"/>
      <c r="W186" s="1672"/>
      <c r="AL186" s="1672"/>
      <c r="AM186" s="1672"/>
    </row>
    <row r="187" spans="1:39" ht="15" customHeight="1">
      <c r="A187" s="1889"/>
      <c r="B187" s="1964"/>
      <c r="C187" s="1930"/>
      <c r="D187" s="1627"/>
      <c r="E187" s="1627"/>
      <c r="F187" s="1625"/>
      <c r="G187" s="1628"/>
      <c r="H187" s="1956"/>
      <c r="I187" s="1956"/>
      <c r="J187" s="1625"/>
      <c r="K187" s="1956"/>
      <c r="L187" s="1957"/>
      <c r="M187" s="1572"/>
      <c r="N187" s="1572"/>
      <c r="O187" s="1954"/>
      <c r="P187" s="1954"/>
      <c r="Q187" s="1901"/>
      <c r="T187" s="1661">
        <f>B187</f>
        <v>0</v>
      </c>
      <c r="U187" s="1667">
        <f>G187</f>
        <v>0</v>
      </c>
      <c r="V187" s="1672"/>
      <c r="W187" s="1672"/>
      <c r="AL187" s="1672"/>
      <c r="AM187" s="1672"/>
    </row>
    <row r="188" spans="1:39" ht="15" customHeight="1">
      <c r="A188" s="1889"/>
      <c r="B188" s="1964"/>
      <c r="C188" s="1930"/>
      <c r="D188" s="1627"/>
      <c r="E188" s="1627"/>
      <c r="F188" s="1625"/>
      <c r="G188" s="1628"/>
      <c r="H188" s="1630"/>
      <c r="I188" s="1630"/>
      <c r="J188" s="1631"/>
      <c r="K188" s="1956"/>
      <c r="L188" s="1957"/>
      <c r="M188" s="1572"/>
      <c r="N188" s="1572"/>
      <c r="O188" s="1954"/>
      <c r="P188" s="1954"/>
      <c r="Q188" s="1901"/>
      <c r="T188" s="1661">
        <f>B189</f>
        <v>0</v>
      </c>
      <c r="U188" s="1667">
        <f>G189</f>
        <v>0</v>
      </c>
      <c r="V188" s="1672"/>
      <c r="W188" s="1672"/>
      <c r="AL188" s="1672"/>
      <c r="AM188" s="1672"/>
    </row>
    <row r="189" spans="1:39" ht="15" customHeight="1">
      <c r="A189" s="1889"/>
      <c r="B189" s="1964"/>
      <c r="C189" s="1930"/>
      <c r="D189" s="1627"/>
      <c r="E189" s="1627"/>
      <c r="F189" s="1625"/>
      <c r="G189" s="1628"/>
      <c r="H189" s="1630"/>
      <c r="I189" s="1630"/>
      <c r="J189" s="1631"/>
      <c r="K189" s="1956"/>
      <c r="L189" s="1957"/>
      <c r="M189" s="1572"/>
      <c r="N189" s="1572"/>
      <c r="O189" s="1954"/>
      <c r="P189" s="1954"/>
      <c r="Q189" s="1901"/>
      <c r="T189" s="1661">
        <f>B191</f>
        <v>0</v>
      </c>
      <c r="U189" s="1667">
        <f>G191</f>
        <v>0</v>
      </c>
      <c r="V189" s="1672"/>
      <c r="W189" s="1672"/>
      <c r="AL189" s="1672"/>
      <c r="AM189" s="1672"/>
    </row>
    <row r="190" spans="1:39" ht="15" customHeight="1">
      <c r="A190" s="1889"/>
      <c r="B190" s="1964"/>
      <c r="C190" s="1930"/>
      <c r="D190" s="1627"/>
      <c r="E190" s="1627"/>
      <c r="F190" s="1625"/>
      <c r="G190" s="1628"/>
      <c r="H190" s="1630"/>
      <c r="I190" s="1630"/>
      <c r="J190" s="1631"/>
      <c r="K190" s="1956"/>
      <c r="L190" s="1957"/>
      <c r="M190" s="1572"/>
      <c r="N190" s="1572"/>
      <c r="O190" s="1954"/>
      <c r="P190" s="1954"/>
      <c r="Q190" s="1901"/>
      <c r="T190" s="1661">
        <f>B193</f>
        <v>0</v>
      </c>
      <c r="U190" s="1667">
        <f>G193</f>
        <v>0</v>
      </c>
      <c r="V190" s="1672"/>
      <c r="W190" s="1672"/>
      <c r="AL190" s="1672"/>
      <c r="AM190" s="1672"/>
    </row>
    <row r="191" spans="1:39" ht="15" customHeight="1">
      <c r="A191" s="1889"/>
      <c r="B191" s="1964"/>
      <c r="C191" s="1930"/>
      <c r="D191" s="1627"/>
      <c r="E191" s="1627"/>
      <c r="F191" s="1625"/>
      <c r="G191" s="1628"/>
      <c r="H191" s="1630"/>
      <c r="I191" s="1630"/>
      <c r="J191" s="1631"/>
      <c r="K191" s="1956"/>
      <c r="L191" s="1957"/>
      <c r="M191" s="1572"/>
      <c r="N191" s="1572"/>
      <c r="O191" s="1954"/>
      <c r="P191" s="1954"/>
      <c r="Q191" s="1901"/>
      <c r="T191" s="1661">
        <f>B195</f>
        <v>0</v>
      </c>
      <c r="U191" s="1667">
        <f>G195</f>
        <v>0</v>
      </c>
      <c r="V191" s="1672"/>
      <c r="W191" s="1672"/>
      <c r="AL191" s="1672"/>
      <c r="AM191" s="1672"/>
    </row>
    <row r="192" spans="1:39" ht="15" customHeight="1">
      <c r="A192" s="1889"/>
      <c r="B192" s="1964"/>
      <c r="C192" s="1930"/>
      <c r="D192" s="1627"/>
      <c r="E192" s="1627"/>
      <c r="F192" s="1625"/>
      <c r="G192" s="1628"/>
      <c r="H192" s="1630"/>
      <c r="I192" s="1630"/>
      <c r="J192" s="1631"/>
      <c r="K192" s="1959"/>
      <c r="L192" s="1957"/>
      <c r="M192" s="1572"/>
      <c r="N192" s="1572"/>
      <c r="O192" s="1954"/>
      <c r="P192" s="1954"/>
      <c r="Q192" s="1901"/>
      <c r="U192" s="1667"/>
      <c r="V192" s="1672"/>
      <c r="W192" s="1672"/>
      <c r="AL192" s="1672"/>
      <c r="AM192" s="1672"/>
    </row>
    <row r="193" spans="1:42" ht="15" customHeight="1">
      <c r="A193" s="1889"/>
      <c r="B193" s="1964"/>
      <c r="C193" s="1930"/>
      <c r="D193" s="1627"/>
      <c r="E193" s="1627"/>
      <c r="F193" s="1625"/>
      <c r="G193" s="1628"/>
      <c r="H193" s="1630"/>
      <c r="I193" s="1630"/>
      <c r="J193" s="1965"/>
      <c r="K193" s="1959"/>
      <c r="L193" s="1960"/>
      <c r="M193" s="1572"/>
      <c r="N193" s="1572"/>
      <c r="O193" s="1954"/>
      <c r="P193" s="1954"/>
      <c r="Q193" s="1901"/>
      <c r="V193" s="1672"/>
      <c r="W193" s="1672"/>
      <c r="AL193" s="1672"/>
      <c r="AM193" s="1672"/>
    </row>
    <row r="194" spans="1:42" ht="15" customHeight="1">
      <c r="A194" s="1889"/>
      <c r="B194" s="1964"/>
      <c r="C194" s="1930"/>
      <c r="D194" s="1627"/>
      <c r="E194" s="1627"/>
      <c r="F194" s="1625"/>
      <c r="G194" s="1628"/>
      <c r="H194" s="1630"/>
      <c r="I194" s="1630"/>
      <c r="J194" s="1631"/>
      <c r="K194" s="1959"/>
      <c r="L194" s="1960"/>
      <c r="M194" s="1961"/>
      <c r="N194" s="1923"/>
      <c r="O194" s="1954"/>
      <c r="P194" s="1954"/>
      <c r="Q194" s="1901"/>
      <c r="V194" s="1672"/>
      <c r="W194" s="1672"/>
      <c r="AL194" s="1672"/>
      <c r="AM194" s="1672"/>
    </row>
    <row r="195" spans="1:42" ht="15" customHeight="1">
      <c r="A195" s="1889"/>
      <c r="B195" s="1964"/>
      <c r="C195" s="1930"/>
      <c r="D195" s="1627"/>
      <c r="E195" s="1627"/>
      <c r="F195" s="1625"/>
      <c r="G195" s="1628"/>
      <c r="H195" s="1630"/>
      <c r="I195" s="1630"/>
      <c r="J195" s="1965"/>
      <c r="K195" s="1959"/>
      <c r="L195" s="1960"/>
      <c r="M195" s="1961"/>
      <c r="N195" s="1923"/>
      <c r="O195" s="1954"/>
      <c r="P195" s="1954"/>
      <c r="Q195" s="1901"/>
      <c r="R195" s="1963"/>
      <c r="V195" s="1672"/>
      <c r="W195" s="1672"/>
      <c r="AL195" s="1672"/>
      <c r="AM195" s="1672"/>
    </row>
    <row r="196" spans="1:42" ht="15" customHeight="1">
      <c r="A196" s="1889"/>
      <c r="B196" s="1964"/>
      <c r="C196" s="1930"/>
      <c r="D196" s="1627"/>
      <c r="E196" s="1627"/>
      <c r="F196" s="1625"/>
      <c r="G196" s="1628"/>
      <c r="H196" s="1630"/>
      <c r="I196" s="1630"/>
      <c r="J196" s="1631"/>
      <c r="K196" s="1959"/>
      <c r="L196" s="1959"/>
      <c r="M196" s="1923"/>
      <c r="N196" s="1923"/>
      <c r="O196" s="1954"/>
      <c r="P196" s="1954"/>
      <c r="Q196" s="1901"/>
    </row>
    <row r="197" spans="1:42" ht="15" customHeight="1">
      <c r="A197" s="1889"/>
      <c r="B197" s="1964"/>
      <c r="C197" s="1930"/>
      <c r="D197" s="1627"/>
      <c r="E197" s="1627"/>
      <c r="F197" s="1625"/>
      <c r="G197" s="1628"/>
      <c r="H197" s="1630"/>
      <c r="I197" s="1630"/>
      <c r="J197" s="1965"/>
      <c r="K197" s="1959"/>
      <c r="L197" s="1959"/>
      <c r="M197" s="1923"/>
      <c r="N197" s="1923"/>
      <c r="O197" s="1954"/>
      <c r="P197" s="1954"/>
      <c r="Q197" s="1901"/>
    </row>
    <row r="198" spans="1:42" ht="15" customHeight="1">
      <c r="A198" s="1889"/>
      <c r="B198" s="1964"/>
      <c r="C198" s="1930"/>
      <c r="D198" s="1627"/>
      <c r="E198" s="1627"/>
      <c r="F198" s="1625"/>
      <c r="G198" s="1628"/>
      <c r="H198" s="1959"/>
      <c r="I198" s="1959"/>
      <c r="J198" s="1965"/>
      <c r="K198" s="1959"/>
      <c r="L198" s="1959"/>
      <c r="M198" s="1923"/>
      <c r="N198" s="1923"/>
      <c r="O198" s="1954"/>
      <c r="P198" s="1954"/>
      <c r="Q198" s="1901"/>
    </row>
    <row r="199" spans="1:42" ht="15" customHeight="1">
      <c r="A199" s="1889"/>
      <c r="B199" s="1966"/>
      <c r="C199" s="1930"/>
      <c r="D199" s="1959"/>
      <c r="E199" s="1959"/>
      <c r="F199" s="1954"/>
      <c r="G199" s="1628"/>
      <c r="H199" s="1959"/>
      <c r="I199" s="1959"/>
      <c r="J199" s="1965"/>
      <c r="K199" s="1959"/>
      <c r="L199" s="1959"/>
      <c r="M199" s="1923"/>
      <c r="N199" s="1923"/>
      <c r="O199" s="1954"/>
      <c r="P199" s="1954"/>
      <c r="Q199" s="1901"/>
    </row>
    <row r="200" spans="1:42" ht="15" customHeight="1">
      <c r="A200" s="1889"/>
      <c r="B200" s="1966"/>
      <c r="C200" s="1930"/>
      <c r="D200" s="1959"/>
      <c r="E200" s="1959"/>
      <c r="F200" s="1954"/>
      <c r="G200" s="1954"/>
      <c r="H200" s="1959"/>
      <c r="I200" s="1959"/>
      <c r="J200" s="1965"/>
      <c r="K200" s="1959"/>
      <c r="L200" s="1959"/>
      <c r="M200" s="1923"/>
      <c r="N200" s="1923"/>
      <c r="O200" s="1954"/>
      <c r="P200" s="1954"/>
      <c r="Q200" s="1901"/>
    </row>
    <row r="201" spans="1:42" ht="15" customHeight="1">
      <c r="A201" s="1902"/>
      <c r="B201" s="1967"/>
      <c r="C201" s="1968"/>
      <c r="D201" s="1960"/>
      <c r="E201" s="1960"/>
      <c r="F201" s="1969"/>
      <c r="G201" s="1969"/>
      <c r="H201" s="1960"/>
      <c r="I201" s="1960"/>
      <c r="J201" s="1953"/>
      <c r="K201" s="1960"/>
      <c r="L201" s="1960"/>
      <c r="M201" s="1961"/>
      <c r="N201" s="1961"/>
      <c r="O201" s="1969"/>
      <c r="P201" s="1969"/>
      <c r="Q201" s="1901"/>
      <c r="V201" s="1672"/>
      <c r="W201" s="1672"/>
      <c r="X201" s="1672"/>
      <c r="Y201" s="1672"/>
      <c r="Z201" s="1672"/>
      <c r="AB201" s="1903"/>
      <c r="AC201" s="1672"/>
      <c r="AD201" s="1672"/>
      <c r="AE201" s="1672"/>
      <c r="AF201" s="1672"/>
      <c r="AG201" s="1672"/>
      <c r="AH201" s="1672"/>
      <c r="AI201" s="1672"/>
      <c r="AJ201" s="1672"/>
      <c r="AK201" s="1672"/>
      <c r="AL201" s="1672"/>
      <c r="AM201" s="1672"/>
      <c r="AN201" s="1672"/>
      <c r="AO201" s="1672"/>
      <c r="AP201" s="1672"/>
    </row>
    <row r="202" spans="1:42" ht="15" customHeight="1">
      <c r="A202" s="1889"/>
      <c r="B202" s="4540"/>
      <c r="C202" s="4541"/>
      <c r="D202" s="4541"/>
      <c r="E202" s="4541"/>
      <c r="F202" s="4541"/>
      <c r="G202" s="4541"/>
      <c r="H202" s="4541"/>
      <c r="I202" s="4542"/>
      <c r="J202" s="1970"/>
      <c r="K202" s="1992"/>
      <c r="L202" s="1993"/>
      <c r="M202" s="1973"/>
      <c r="N202" s="1973"/>
      <c r="O202" s="1972"/>
      <c r="P202" s="1974"/>
      <c r="Q202" s="1901"/>
      <c r="V202" s="1671"/>
      <c r="W202" s="1671"/>
      <c r="X202" s="1671"/>
      <c r="Y202" s="1671"/>
      <c r="AE202" s="1568"/>
      <c r="AF202" s="1568"/>
      <c r="AI202" s="1921"/>
      <c r="AJ202" s="1975"/>
      <c r="AK202" s="1671"/>
      <c r="AL202" s="1671"/>
      <c r="AM202" s="1671"/>
      <c r="AN202" s="1671"/>
      <c r="AO202" s="1671"/>
    </row>
    <row r="203" spans="1:42" ht="15" customHeight="1">
      <c r="A203" s="1889"/>
      <c r="D203" s="1568"/>
      <c r="E203" s="1568"/>
      <c r="F203" s="1568"/>
      <c r="I203" s="1921"/>
      <c r="J203" s="1976"/>
      <c r="K203" s="1671"/>
      <c r="L203" s="1671"/>
      <c r="M203" s="1671"/>
      <c r="N203" s="1671"/>
      <c r="O203" s="1671"/>
      <c r="Q203" s="1901"/>
      <c r="V203" s="1671"/>
      <c r="W203" s="1671"/>
      <c r="X203" s="1671"/>
      <c r="Y203" s="1671"/>
      <c r="AE203" s="1568"/>
      <c r="AF203" s="1568"/>
      <c r="AI203" s="1921"/>
      <c r="AJ203" s="1976"/>
      <c r="AK203" s="1671"/>
      <c r="AL203" s="1671"/>
      <c r="AM203" s="1671"/>
      <c r="AN203" s="1671"/>
      <c r="AO203" s="1671"/>
    </row>
    <row r="204" spans="1:42" ht="15" customHeight="1">
      <c r="A204" s="1889"/>
      <c r="D204" s="1568"/>
      <c r="E204" s="1568"/>
      <c r="F204" s="1568"/>
      <c r="I204" s="1921"/>
      <c r="J204" s="1976"/>
      <c r="K204" s="1671"/>
      <c r="L204" s="1671"/>
      <c r="M204" s="1671"/>
      <c r="N204" s="1671"/>
      <c r="O204" s="1671"/>
      <c r="Q204" s="1901"/>
      <c r="V204" s="1671"/>
      <c r="W204" s="1671"/>
      <c r="X204" s="1671"/>
      <c r="Y204" s="1671"/>
      <c r="AE204" s="1568"/>
      <c r="AF204" s="1568"/>
      <c r="AI204" s="1921"/>
      <c r="AJ204" s="1976"/>
      <c r="AK204" s="1671"/>
      <c r="AL204" s="1671"/>
      <c r="AM204" s="1671"/>
      <c r="AN204" s="1671"/>
      <c r="AO204" s="1671"/>
    </row>
    <row r="205" spans="1:42" ht="15" customHeight="1">
      <c r="A205" s="1889"/>
      <c r="D205" s="1568"/>
      <c r="E205" s="1568"/>
      <c r="F205" s="1568"/>
      <c r="I205" s="1921"/>
      <c r="J205" s="1976"/>
      <c r="K205" s="1671"/>
      <c r="L205" s="1671"/>
      <c r="M205" s="1671"/>
      <c r="N205" s="1671"/>
      <c r="O205" s="1671"/>
      <c r="Q205" s="1901"/>
      <c r="V205" s="1671"/>
      <c r="W205" s="1671"/>
      <c r="X205" s="1671"/>
      <c r="Y205" s="1671"/>
      <c r="AE205" s="1568"/>
      <c r="AF205" s="1568"/>
      <c r="AI205" s="1921"/>
      <c r="AJ205" s="1976"/>
      <c r="AK205" s="1671"/>
      <c r="AL205" s="1671"/>
      <c r="AM205" s="1671"/>
      <c r="AN205" s="1671"/>
      <c r="AO205" s="1671"/>
    </row>
    <row r="206" spans="1:42" ht="15" customHeight="1">
      <c r="A206" s="1889"/>
      <c r="D206" s="1568"/>
      <c r="E206" s="1568"/>
      <c r="F206" s="1568"/>
      <c r="I206" s="1921"/>
      <c r="J206" s="1976"/>
      <c r="K206" s="1671"/>
      <c r="L206" s="1671"/>
      <c r="M206" s="1671"/>
      <c r="N206" s="1671"/>
      <c r="O206" s="1671"/>
      <c r="Q206" s="1901"/>
      <c r="V206" s="1671"/>
      <c r="W206" s="1671"/>
      <c r="X206" s="1671"/>
      <c r="Y206" s="1671"/>
      <c r="AE206" s="1568"/>
      <c r="AF206" s="1568"/>
      <c r="AI206" s="1921"/>
      <c r="AJ206" s="1976"/>
      <c r="AK206" s="1671"/>
      <c r="AL206" s="1671"/>
      <c r="AM206" s="1671"/>
      <c r="AN206" s="1671"/>
      <c r="AO206" s="1671"/>
    </row>
    <row r="207" spans="1:42" ht="15" customHeight="1">
      <c r="A207" s="1889"/>
      <c r="D207" s="1568"/>
      <c r="E207" s="1568"/>
      <c r="F207" s="1568"/>
      <c r="I207" s="1921"/>
      <c r="J207" s="1976"/>
      <c r="K207" s="1671"/>
      <c r="L207" s="1671"/>
      <c r="M207" s="1671"/>
      <c r="N207" s="1671"/>
      <c r="O207" s="1671"/>
      <c r="Q207" s="1901"/>
      <c r="V207" s="1671"/>
      <c r="W207" s="1671"/>
      <c r="X207" s="1671"/>
      <c r="Y207" s="1671"/>
      <c r="AE207" s="1568"/>
      <c r="AF207" s="1568"/>
      <c r="AI207" s="1921"/>
      <c r="AJ207" s="1976"/>
      <c r="AK207" s="1671"/>
      <c r="AL207" s="1671"/>
      <c r="AM207" s="1671"/>
      <c r="AN207" s="1671"/>
      <c r="AO207" s="1671"/>
    </row>
    <row r="208" spans="1:42" ht="15" customHeight="1">
      <c r="A208" s="1889"/>
      <c r="D208" s="1568"/>
      <c r="E208" s="1568"/>
      <c r="F208" s="1568"/>
      <c r="I208" s="1921"/>
      <c r="J208" s="1976"/>
      <c r="K208" s="1671"/>
      <c r="L208" s="1671"/>
      <c r="M208" s="1671"/>
      <c r="N208" s="1671"/>
      <c r="O208" s="1671"/>
      <c r="Q208" s="1901"/>
      <c r="V208" s="1671"/>
      <c r="W208" s="1671"/>
      <c r="X208" s="1671"/>
      <c r="Y208" s="1671"/>
      <c r="AE208" s="1568"/>
      <c r="AF208" s="1568"/>
      <c r="AI208" s="1921"/>
      <c r="AJ208" s="1976"/>
      <c r="AK208" s="1671"/>
      <c r="AL208" s="1671"/>
      <c r="AM208" s="1671"/>
      <c r="AN208" s="1671"/>
      <c r="AO208" s="1671"/>
    </row>
    <row r="209" spans="1:41" ht="15" customHeight="1">
      <c r="A209" s="1889"/>
      <c r="D209" s="1568"/>
      <c r="E209" s="1568"/>
      <c r="F209" s="1568"/>
      <c r="I209" s="1921"/>
      <c r="J209" s="1976"/>
      <c r="K209" s="1671"/>
      <c r="L209" s="1671"/>
      <c r="M209" s="1671"/>
      <c r="N209" s="1671"/>
      <c r="O209" s="1671"/>
      <c r="Q209" s="1901"/>
      <c r="V209" s="1671"/>
      <c r="W209" s="1671"/>
      <c r="X209" s="1671"/>
      <c r="Y209" s="1671"/>
      <c r="AE209" s="1568"/>
      <c r="AF209" s="1568"/>
      <c r="AI209" s="1921"/>
      <c r="AJ209" s="1976"/>
      <c r="AK209" s="1671"/>
      <c r="AL209" s="1671"/>
      <c r="AM209" s="1671"/>
      <c r="AN209" s="1671"/>
      <c r="AO209" s="1671"/>
    </row>
    <row r="210" spans="1:41" ht="15" customHeight="1">
      <c r="A210" s="1889"/>
      <c r="D210" s="1568"/>
      <c r="E210" s="1568"/>
      <c r="F210" s="1568"/>
      <c r="I210" s="1921"/>
      <c r="J210" s="1976"/>
      <c r="K210" s="1671"/>
      <c r="L210" s="1671"/>
      <c r="M210" s="1671"/>
      <c r="N210" s="1671"/>
      <c r="O210" s="1671"/>
      <c r="Q210" s="1901"/>
      <c r="V210" s="1671"/>
      <c r="W210" s="1671"/>
      <c r="X210" s="1671"/>
      <c r="Y210" s="1671"/>
      <c r="AE210" s="1568"/>
      <c r="AF210" s="1568"/>
      <c r="AI210" s="1921"/>
      <c r="AJ210" s="1976"/>
      <c r="AK210" s="1671"/>
      <c r="AL210" s="1671"/>
      <c r="AM210" s="1671"/>
      <c r="AN210" s="1671"/>
      <c r="AO210" s="1671"/>
    </row>
    <row r="211" spans="1:41" ht="15" customHeight="1">
      <c r="A211" s="1889"/>
      <c r="D211" s="1568"/>
      <c r="E211" s="1568"/>
      <c r="F211" s="1568"/>
      <c r="I211" s="1921"/>
      <c r="J211" s="1976"/>
      <c r="K211" s="1671"/>
      <c r="L211" s="1671"/>
      <c r="M211" s="1671"/>
      <c r="N211" s="1671"/>
      <c r="O211" s="1671"/>
      <c r="Q211" s="1901"/>
      <c r="V211" s="1671"/>
      <c r="W211" s="1671"/>
      <c r="X211" s="1671"/>
      <c r="Y211" s="1671"/>
      <c r="AE211" s="1568"/>
      <c r="AF211" s="1568"/>
      <c r="AI211" s="1921"/>
      <c r="AJ211" s="1976"/>
      <c r="AK211" s="1671"/>
      <c r="AL211" s="1671"/>
      <c r="AM211" s="1671"/>
      <c r="AN211" s="1671"/>
      <c r="AO211" s="1671"/>
    </row>
    <row r="212" spans="1:41" ht="15" customHeight="1">
      <c r="A212" s="1889"/>
      <c r="D212" s="1568"/>
      <c r="E212" s="1568"/>
      <c r="F212" s="1568"/>
      <c r="I212" s="1921"/>
      <c r="J212" s="1976"/>
      <c r="K212" s="1671"/>
      <c r="L212" s="1671"/>
      <c r="M212" s="1671"/>
      <c r="N212" s="1671"/>
      <c r="O212" s="1671"/>
      <c r="Q212" s="1901"/>
      <c r="V212" s="1671"/>
      <c r="W212" s="1671"/>
      <c r="X212" s="1671"/>
      <c r="Y212" s="1671"/>
      <c r="AE212" s="1568"/>
      <c r="AF212" s="1568"/>
      <c r="AI212" s="1921"/>
      <c r="AJ212" s="1976"/>
      <c r="AK212" s="1671"/>
      <c r="AL212" s="1671"/>
      <c r="AM212" s="1671"/>
      <c r="AN212" s="1671"/>
      <c r="AO212" s="1671"/>
    </row>
    <row r="213" spans="1:41" ht="15" customHeight="1">
      <c r="A213" s="1889"/>
      <c r="D213" s="1568"/>
      <c r="E213" s="1568"/>
      <c r="F213" s="1568"/>
      <c r="I213" s="1921"/>
      <c r="J213" s="1976"/>
      <c r="K213" s="1671"/>
      <c r="L213" s="1671"/>
      <c r="M213" s="1671"/>
      <c r="N213" s="1671"/>
      <c r="O213" s="1671"/>
      <c r="Q213" s="1901"/>
      <c r="V213" s="1671"/>
      <c r="W213" s="1671"/>
      <c r="X213" s="1671"/>
      <c r="Y213" s="1671"/>
      <c r="AE213" s="1568"/>
      <c r="AF213" s="1568"/>
      <c r="AI213" s="1921"/>
      <c r="AJ213" s="1976"/>
      <c r="AK213" s="1671"/>
      <c r="AL213" s="1671"/>
      <c r="AM213" s="1671"/>
      <c r="AN213" s="1671"/>
      <c r="AO213" s="1671"/>
    </row>
    <row r="214" spans="1:41" ht="15" customHeight="1">
      <c r="A214" s="1889"/>
      <c r="D214" s="1568"/>
      <c r="E214" s="1568"/>
      <c r="F214" s="1568"/>
      <c r="I214" s="1921"/>
      <c r="J214" s="1976"/>
      <c r="K214" s="1671"/>
      <c r="L214" s="1671"/>
      <c r="M214" s="1671"/>
      <c r="N214" s="1671"/>
      <c r="O214" s="1671"/>
      <c r="Q214" s="1901"/>
      <c r="V214" s="1671"/>
      <c r="W214" s="1671"/>
      <c r="X214" s="1671"/>
      <c r="Y214" s="1671"/>
      <c r="AE214" s="1568"/>
      <c r="AF214" s="1568"/>
      <c r="AI214" s="1921"/>
      <c r="AJ214" s="1976"/>
      <c r="AK214" s="1671"/>
      <c r="AL214" s="1671"/>
      <c r="AM214" s="1671"/>
      <c r="AN214" s="1671"/>
      <c r="AO214" s="1671"/>
    </row>
    <row r="215" spans="1:41" ht="15" customHeight="1">
      <c r="A215" s="1889"/>
      <c r="D215" s="1568"/>
      <c r="E215" s="1568"/>
      <c r="F215" s="1568"/>
      <c r="I215" s="1921"/>
      <c r="J215" s="1976"/>
      <c r="K215" s="1671"/>
      <c r="L215" s="1671"/>
      <c r="M215" s="1671"/>
      <c r="N215" s="1671"/>
      <c r="O215" s="1671"/>
      <c r="Q215" s="1901"/>
      <c r="V215" s="1671"/>
      <c r="W215" s="1671"/>
      <c r="X215" s="1671"/>
      <c r="Y215" s="1671"/>
      <c r="AE215" s="1568"/>
      <c r="AF215" s="1568"/>
      <c r="AI215" s="1921"/>
      <c r="AJ215" s="1976"/>
      <c r="AK215" s="1671"/>
      <c r="AL215" s="1671"/>
      <c r="AM215" s="1671"/>
      <c r="AN215" s="1671"/>
      <c r="AO215" s="1671"/>
    </row>
    <row r="216" spans="1:41" ht="15" customHeight="1">
      <c r="A216" s="1889"/>
      <c r="D216" s="1568"/>
      <c r="E216" s="1568"/>
      <c r="F216" s="1568"/>
      <c r="I216" s="1921"/>
      <c r="J216" s="1976"/>
      <c r="K216" s="1671"/>
      <c r="L216" s="1671"/>
      <c r="M216" s="1671"/>
      <c r="N216" s="1671"/>
      <c r="O216" s="1671"/>
      <c r="Q216" s="1901"/>
      <c r="V216" s="1671"/>
      <c r="W216" s="1671"/>
      <c r="X216" s="1671"/>
      <c r="Y216" s="1671"/>
      <c r="AE216" s="1568"/>
      <c r="AF216" s="1568"/>
      <c r="AI216" s="1921"/>
      <c r="AJ216" s="1976"/>
      <c r="AK216" s="1671"/>
      <c r="AL216" s="1671"/>
      <c r="AM216" s="1671"/>
      <c r="AN216" s="1671"/>
      <c r="AO216" s="1671"/>
    </row>
    <row r="217" spans="1:41" ht="15" customHeight="1">
      <c r="A217" s="1889"/>
      <c r="D217" s="1568"/>
      <c r="E217" s="1568"/>
      <c r="F217" s="1568"/>
      <c r="I217" s="1921"/>
      <c r="J217" s="1976"/>
      <c r="K217" s="1671"/>
      <c r="L217" s="1671"/>
      <c r="M217" s="1671"/>
      <c r="N217" s="1671"/>
      <c r="O217" s="1671"/>
      <c r="Q217" s="1901"/>
      <c r="V217" s="1671"/>
      <c r="W217" s="1671"/>
      <c r="X217" s="1671"/>
      <c r="Y217" s="1671"/>
      <c r="AE217" s="1568"/>
      <c r="AF217" s="1568"/>
      <c r="AI217" s="1921"/>
      <c r="AJ217" s="1976"/>
      <c r="AK217" s="1671"/>
      <c r="AL217" s="1671"/>
      <c r="AM217" s="1671"/>
      <c r="AN217" s="1671"/>
      <c r="AO217" s="1671"/>
    </row>
    <row r="218" spans="1:41" ht="15" customHeight="1">
      <c r="A218" s="1889"/>
      <c r="D218" s="1568"/>
      <c r="E218" s="1568"/>
      <c r="F218" s="1568"/>
      <c r="I218" s="1921"/>
      <c r="J218" s="1976"/>
      <c r="K218" s="1671"/>
      <c r="L218" s="1671"/>
      <c r="M218" s="1671"/>
      <c r="N218" s="1671"/>
      <c r="O218" s="1671"/>
      <c r="Q218" s="1901"/>
      <c r="V218" s="1671"/>
      <c r="W218" s="1671"/>
      <c r="X218" s="1671"/>
      <c r="Y218" s="1671"/>
      <c r="AE218" s="1568"/>
      <c r="AF218" s="1568"/>
      <c r="AI218" s="1921"/>
      <c r="AJ218" s="1976"/>
      <c r="AK218" s="1671"/>
      <c r="AL218" s="1671"/>
      <c r="AM218" s="1671"/>
      <c r="AN218" s="1671"/>
      <c r="AO218" s="1671"/>
    </row>
    <row r="219" spans="1:41" ht="15" customHeight="1">
      <c r="A219" s="1889"/>
      <c r="D219" s="1568"/>
      <c r="E219" s="1568"/>
      <c r="F219" s="1568"/>
      <c r="I219" s="1921"/>
      <c r="J219" s="1976"/>
      <c r="K219" s="1671"/>
      <c r="L219" s="1671"/>
      <c r="M219" s="1671"/>
      <c r="N219" s="1671"/>
      <c r="O219" s="1671"/>
      <c r="Q219" s="1901"/>
      <c r="V219" s="1671"/>
      <c r="W219" s="1671"/>
      <c r="X219" s="1671"/>
      <c r="Y219" s="1671"/>
      <c r="AE219" s="1568"/>
      <c r="AF219" s="1568"/>
      <c r="AI219" s="1921"/>
      <c r="AJ219" s="1976"/>
      <c r="AK219" s="1671"/>
      <c r="AL219" s="1671"/>
      <c r="AM219" s="1671"/>
      <c r="AN219" s="1671"/>
      <c r="AO219" s="1671"/>
    </row>
    <row r="220" spans="1:41" ht="15" customHeight="1">
      <c r="A220" s="1889"/>
      <c r="D220" s="1568"/>
      <c r="E220" s="1568"/>
      <c r="F220" s="1568"/>
      <c r="I220" s="1921"/>
      <c r="J220" s="1976"/>
      <c r="K220" s="1671"/>
      <c r="L220" s="1671"/>
      <c r="M220" s="1671"/>
      <c r="N220" s="1671"/>
      <c r="O220" s="1671"/>
      <c r="Q220" s="1901"/>
      <c r="V220" s="1671"/>
      <c r="W220" s="1671"/>
      <c r="X220" s="1671"/>
      <c r="Y220" s="1671"/>
      <c r="AE220" s="1568"/>
      <c r="AF220" s="1568"/>
      <c r="AI220" s="1921"/>
      <c r="AJ220" s="1976"/>
      <c r="AK220" s="1671"/>
      <c r="AL220" s="1671"/>
      <c r="AM220" s="1671"/>
      <c r="AN220" s="1671"/>
      <c r="AO220" s="1671"/>
    </row>
    <row r="221" spans="1:41" ht="15" customHeight="1">
      <c r="A221" s="1889"/>
      <c r="D221" s="1568"/>
      <c r="E221" s="1568"/>
      <c r="F221" s="1568"/>
      <c r="I221" s="1921"/>
      <c r="J221" s="1976"/>
      <c r="K221" s="1671"/>
      <c r="L221" s="1671"/>
      <c r="M221" s="1671"/>
      <c r="N221" s="1671"/>
      <c r="O221" s="1671"/>
      <c r="Q221" s="1901"/>
      <c r="V221" s="1671"/>
      <c r="W221" s="1671"/>
      <c r="X221" s="1671"/>
      <c r="Y221" s="1671"/>
      <c r="AE221" s="1568"/>
      <c r="AF221" s="1568"/>
      <c r="AI221" s="1921"/>
      <c r="AJ221" s="1976"/>
      <c r="AK221" s="1671"/>
      <c r="AL221" s="1671"/>
      <c r="AM221" s="1671"/>
      <c r="AN221" s="1671"/>
      <c r="AO221" s="1671"/>
    </row>
    <row r="222" spans="1:41" ht="15" customHeight="1">
      <c r="A222" s="1889"/>
      <c r="D222" s="1568"/>
      <c r="E222" s="1568"/>
      <c r="F222" s="1568"/>
      <c r="I222" s="1921"/>
      <c r="J222" s="1976"/>
      <c r="K222" s="1671"/>
      <c r="L222" s="1671"/>
      <c r="M222" s="1671"/>
      <c r="N222" s="1671"/>
      <c r="O222" s="1671"/>
      <c r="Q222" s="1901"/>
      <c r="V222" s="1671"/>
      <c r="W222" s="1671"/>
      <c r="X222" s="1671"/>
      <c r="Y222" s="1671"/>
      <c r="AE222" s="1568"/>
      <c r="AF222" s="1568"/>
      <c r="AI222" s="1921"/>
      <c r="AJ222" s="1976"/>
      <c r="AK222" s="1671"/>
      <c r="AL222" s="1671"/>
      <c r="AM222" s="1671"/>
      <c r="AN222" s="1671"/>
      <c r="AO222" s="1671"/>
    </row>
    <row r="223" spans="1:41" ht="15" customHeight="1">
      <c r="A223" s="1889"/>
      <c r="D223" s="1568"/>
      <c r="E223" s="1568"/>
      <c r="F223" s="1568"/>
      <c r="I223" s="1921"/>
      <c r="J223" s="1976"/>
      <c r="K223" s="1671"/>
      <c r="L223" s="1671"/>
      <c r="M223" s="1671"/>
      <c r="N223" s="1671"/>
      <c r="O223" s="1671"/>
      <c r="Q223" s="1901"/>
      <c r="V223" s="1671"/>
      <c r="W223" s="1671"/>
      <c r="X223" s="1671"/>
      <c r="Y223" s="1671"/>
      <c r="AE223" s="1568"/>
      <c r="AF223" s="1568"/>
      <c r="AI223" s="1921"/>
      <c r="AJ223" s="1976"/>
      <c r="AK223" s="1671"/>
      <c r="AL223" s="1671"/>
      <c r="AM223" s="1671"/>
      <c r="AN223" s="1671"/>
      <c r="AO223" s="1671"/>
    </row>
    <row r="224" spans="1:41" ht="15" customHeight="1">
      <c r="A224" s="1889"/>
      <c r="D224" s="1568"/>
      <c r="E224" s="1568"/>
      <c r="F224" s="1568"/>
      <c r="I224" s="1921"/>
      <c r="J224" s="1976"/>
      <c r="K224" s="1671"/>
      <c r="L224" s="1671"/>
      <c r="M224" s="1671"/>
      <c r="N224" s="1671"/>
      <c r="O224" s="1671"/>
      <c r="Q224" s="1901"/>
      <c r="V224" s="1671"/>
      <c r="W224" s="1671"/>
      <c r="X224" s="1671"/>
      <c r="Y224" s="1671"/>
      <c r="AE224" s="1568"/>
      <c r="AF224" s="1568"/>
      <c r="AI224" s="1921"/>
      <c r="AJ224" s="1976"/>
      <c r="AK224" s="1671"/>
      <c r="AL224" s="1671"/>
      <c r="AM224" s="1671"/>
      <c r="AN224" s="1671"/>
      <c r="AO224" s="1671"/>
    </row>
    <row r="225" spans="1:41" ht="15" customHeight="1">
      <c r="A225" s="1889"/>
      <c r="D225" s="1568"/>
      <c r="E225" s="1568"/>
      <c r="F225" s="1568"/>
      <c r="I225" s="1921"/>
      <c r="J225" s="1976"/>
      <c r="K225" s="1671"/>
      <c r="L225" s="1671"/>
      <c r="M225" s="1671"/>
      <c r="N225" s="1671"/>
      <c r="O225" s="1671"/>
      <c r="Q225" s="1901"/>
      <c r="V225" s="1671"/>
      <c r="W225" s="1671"/>
      <c r="X225" s="1671"/>
      <c r="Y225" s="1671"/>
      <c r="AE225" s="1568"/>
      <c r="AF225" s="1568"/>
      <c r="AI225" s="1921"/>
      <c r="AJ225" s="1976"/>
      <c r="AK225" s="1671"/>
      <c r="AL225" s="1671"/>
      <c r="AM225" s="1671"/>
      <c r="AN225" s="1671"/>
      <c r="AO225" s="1671"/>
    </row>
    <row r="226" spans="1:41" ht="15" customHeight="1">
      <c r="A226" s="1889"/>
      <c r="D226" s="1568"/>
      <c r="E226" s="1568"/>
      <c r="F226" s="1568"/>
      <c r="I226" s="1921"/>
      <c r="J226" s="1976"/>
      <c r="K226" s="1671"/>
      <c r="L226" s="1671"/>
      <c r="M226" s="1671"/>
      <c r="N226" s="1671"/>
      <c r="O226" s="1671"/>
      <c r="Q226" s="1901"/>
      <c r="V226" s="1671"/>
      <c r="W226" s="1671"/>
      <c r="X226" s="1671"/>
      <c r="Y226" s="1671"/>
      <c r="AE226" s="1568"/>
      <c r="AF226" s="1568"/>
      <c r="AI226" s="1921"/>
      <c r="AJ226" s="1976"/>
      <c r="AK226" s="1671"/>
      <c r="AL226" s="1671"/>
      <c r="AM226" s="1671"/>
      <c r="AN226" s="1671"/>
      <c r="AO226" s="1671"/>
    </row>
    <row r="227" spans="1:41" ht="15" customHeight="1">
      <c r="A227" s="1889"/>
      <c r="D227" s="1568"/>
      <c r="E227" s="1568"/>
      <c r="F227" s="1568"/>
      <c r="I227" s="1921"/>
      <c r="J227" s="1976"/>
      <c r="K227" s="1671"/>
      <c r="L227" s="1671"/>
      <c r="M227" s="1671"/>
      <c r="N227" s="1671"/>
      <c r="O227" s="1671"/>
      <c r="Q227" s="1901"/>
      <c r="V227" s="1671"/>
      <c r="W227" s="1671"/>
      <c r="X227" s="1671"/>
      <c r="Y227" s="1671"/>
      <c r="AE227" s="1568"/>
      <c r="AF227" s="1568"/>
      <c r="AI227" s="1921"/>
      <c r="AJ227" s="1976"/>
      <c r="AK227" s="1671"/>
      <c r="AL227" s="1671"/>
      <c r="AM227" s="1671"/>
      <c r="AN227" s="1671"/>
      <c r="AO227" s="1671"/>
    </row>
    <row r="228" spans="1:41" ht="15" customHeight="1">
      <c r="A228" s="1889"/>
      <c r="D228" s="1568"/>
      <c r="E228" s="1568"/>
      <c r="F228" s="1568"/>
      <c r="I228" s="1921"/>
      <c r="J228" s="1976"/>
      <c r="K228" s="1671"/>
      <c r="L228" s="1671"/>
      <c r="M228" s="1671"/>
      <c r="N228" s="1671"/>
      <c r="O228" s="1671"/>
      <c r="Q228" s="1901"/>
      <c r="V228" s="1671"/>
      <c r="W228" s="1671"/>
      <c r="X228" s="1671"/>
      <c r="Y228" s="1671"/>
      <c r="AE228" s="1568"/>
      <c r="AF228" s="1568"/>
      <c r="AI228" s="1921"/>
      <c r="AJ228" s="1976"/>
      <c r="AK228" s="1671"/>
      <c r="AL228" s="1671"/>
      <c r="AM228" s="1671"/>
      <c r="AN228" s="1671"/>
      <c r="AO228" s="1671"/>
    </row>
    <row r="229" spans="1:41" ht="15" customHeight="1">
      <c r="A229" s="1889"/>
      <c r="D229" s="1568"/>
      <c r="E229" s="1568"/>
      <c r="F229" s="1568"/>
      <c r="I229" s="1921"/>
      <c r="J229" s="1976"/>
      <c r="K229" s="1671"/>
      <c r="L229" s="1671"/>
      <c r="M229" s="1671"/>
      <c r="N229" s="1671"/>
      <c r="O229" s="1671"/>
      <c r="Q229" s="1901"/>
      <c r="V229" s="1671"/>
      <c r="W229" s="1671"/>
      <c r="X229" s="1671"/>
      <c r="Y229" s="1671"/>
      <c r="AE229" s="1568"/>
      <c r="AF229" s="1568"/>
      <c r="AI229" s="1921"/>
      <c r="AJ229" s="1976"/>
      <c r="AK229" s="1671"/>
      <c r="AL229" s="1671"/>
      <c r="AM229" s="1671"/>
      <c r="AN229" s="1671"/>
      <c r="AO229" s="1671"/>
    </row>
    <row r="230" spans="1:41" ht="15" customHeight="1">
      <c r="A230" s="1914"/>
      <c r="B230" s="1669"/>
      <c r="C230" s="1669"/>
      <c r="D230" s="1670"/>
      <c r="E230" s="1670"/>
      <c r="F230" s="1670"/>
      <c r="G230" s="1669"/>
      <c r="H230" s="1669"/>
      <c r="I230" s="1977"/>
      <c r="J230" s="1978"/>
      <c r="K230" s="1979"/>
      <c r="L230" s="1979"/>
      <c r="M230" s="1979"/>
      <c r="N230" s="1979"/>
      <c r="O230" s="1979"/>
      <c r="P230" s="1669"/>
      <c r="Q230" s="1915"/>
      <c r="V230" s="1671"/>
      <c r="W230" s="1671"/>
      <c r="X230" s="1671"/>
      <c r="Y230" s="1671"/>
      <c r="AE230" s="1568"/>
      <c r="AF230" s="1568"/>
      <c r="AI230" s="1921"/>
      <c r="AJ230" s="1976"/>
      <c r="AK230" s="1671"/>
      <c r="AL230" s="1671"/>
      <c r="AM230" s="1671"/>
      <c r="AN230" s="1671"/>
      <c r="AO230" s="1671"/>
    </row>
  </sheetData>
  <mergeCells count="71">
    <mergeCell ref="V174:W174"/>
    <mergeCell ref="B125:I125"/>
    <mergeCell ref="M168:O168"/>
    <mergeCell ref="B169:D169"/>
    <mergeCell ref="E169:F169"/>
    <mergeCell ref="B172:D172"/>
    <mergeCell ref="E172:F172"/>
    <mergeCell ref="S174:U174"/>
    <mergeCell ref="M169:N169"/>
    <mergeCell ref="B171:D171"/>
    <mergeCell ref="E171:F171"/>
    <mergeCell ref="B170:D170"/>
    <mergeCell ref="E170:F170"/>
    <mergeCell ref="B202:I202"/>
    <mergeCell ref="S176:U176"/>
    <mergeCell ref="V176:W176"/>
    <mergeCell ref="S177:U177"/>
    <mergeCell ref="V177:W177"/>
    <mergeCell ref="G183:G184"/>
    <mergeCell ref="H183:J183"/>
    <mergeCell ref="K183:P183"/>
    <mergeCell ref="M184:N184"/>
    <mergeCell ref="V97:W97"/>
    <mergeCell ref="B48:I48"/>
    <mergeCell ref="M91:O91"/>
    <mergeCell ref="B92:D92"/>
    <mergeCell ref="E92:F92"/>
    <mergeCell ref="M92:N92"/>
    <mergeCell ref="B94:D94"/>
    <mergeCell ref="E94:F94"/>
    <mergeCell ref="B95:D95"/>
    <mergeCell ref="E95:F95"/>
    <mergeCell ref="S97:U97"/>
    <mergeCell ref="J81:K81"/>
    <mergeCell ref="S99:U99"/>
    <mergeCell ref="V99:W99"/>
    <mergeCell ref="S100:U100"/>
    <mergeCell ref="V100:W100"/>
    <mergeCell ref="G106:G107"/>
    <mergeCell ref="H106:J106"/>
    <mergeCell ref="K106:P106"/>
    <mergeCell ref="M107:N107"/>
    <mergeCell ref="G29:G30"/>
    <mergeCell ref="H29:J29"/>
    <mergeCell ref="K29:P29"/>
    <mergeCell ref="M30:N30"/>
    <mergeCell ref="B93:D93"/>
    <mergeCell ref="E93:F93"/>
    <mergeCell ref="S22:U22"/>
    <mergeCell ref="V22:W22"/>
    <mergeCell ref="S23:U23"/>
    <mergeCell ref="V23:W23"/>
    <mergeCell ref="E18:F18"/>
    <mergeCell ref="S20:U20"/>
    <mergeCell ref="V20:W20"/>
    <mergeCell ref="B17:D17"/>
    <mergeCell ref="E17:F17"/>
    <mergeCell ref="B18:D18"/>
    <mergeCell ref="M14:O14"/>
    <mergeCell ref="B15:D15"/>
    <mergeCell ref="E15:F15"/>
    <mergeCell ref="M15:N15"/>
    <mergeCell ref="B16:D16"/>
    <mergeCell ref="E16:F16"/>
    <mergeCell ref="P4:Q4"/>
    <mergeCell ref="J2:Q2"/>
    <mergeCell ref="J3:Q3"/>
    <mergeCell ref="J4:M4"/>
    <mergeCell ref="J5:M5"/>
    <mergeCell ref="N4:O4"/>
    <mergeCell ref="N5:O5"/>
  </mergeCells>
  <printOptions horizontalCentered="1" verticalCentered="1"/>
  <pageMargins left="0.59055118110236227" right="0.35433070866141736" top="0.74803149606299213" bottom="0.74803149606299213" header="0.23622047244094491" footer="0.59055118110236227"/>
  <pageSetup paperSize="9" scale="61" fitToHeight="3" orientation="portrait" r:id="rId1"/>
  <headerFooter alignWithMargins="0">
    <oddHeader>&amp;R&amp;P of &amp;N</oddHeader>
    <oddFooter>&amp;LC/LAB DATA/2001/IMK001/BATCH240701/TRIAXIAL/&amp;F/&amp;A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E96F8-3FC2-42C5-B868-7D1BB61FDA83}">
  <sheetPr>
    <tabColor theme="1"/>
    <pageSetUpPr fitToPage="1"/>
  </sheetPr>
  <dimension ref="A2:AO192"/>
  <sheetViews>
    <sheetView showGridLines="0" zoomScaleNormal="100" workbookViewId="0">
      <selection activeCell="S16" sqref="S16"/>
    </sheetView>
  </sheetViews>
  <sheetFormatPr defaultColWidth="7.75" defaultRowHeight="13.5"/>
  <cols>
    <col min="1" max="1" width="7.875" style="1518" customWidth="1"/>
    <col min="2" max="2" width="9" style="1518" customWidth="1"/>
    <col min="3" max="3" width="0.875" style="1518" customWidth="1"/>
    <col min="4" max="4" width="11.125" style="1518" customWidth="1"/>
    <col min="5" max="5" width="1.25" style="1518" customWidth="1"/>
    <col min="6" max="6" width="12.125" style="1518" customWidth="1"/>
    <col min="7" max="7" width="8.125" style="1518" customWidth="1"/>
    <col min="8" max="8" width="9.125" style="1518" customWidth="1"/>
    <col min="9" max="9" width="9.625" style="1518" customWidth="1"/>
    <col min="10" max="11" width="10.75" style="1518" customWidth="1"/>
    <col min="12" max="12" width="1.25" style="1518" customWidth="1"/>
    <col min="13" max="13" width="11.75" style="1518" customWidth="1"/>
    <col min="14" max="14" width="1" style="1518" customWidth="1"/>
    <col min="15" max="15" width="9.375" style="1518" customWidth="1"/>
    <col min="16" max="16" width="7.75" style="1518"/>
    <col min="17" max="18" width="7.75" style="1519" customWidth="1"/>
    <col min="19" max="19" width="8.375" style="1518" bestFit="1" customWidth="1"/>
    <col min="20" max="20" width="7.75" style="1522"/>
    <col min="21" max="21" width="8" style="1518" bestFit="1" customWidth="1"/>
    <col min="22" max="22" width="7.75" style="1519"/>
    <col min="23" max="256" width="7.75" style="1518"/>
    <col min="257" max="257" width="7.875" style="1518" customWidth="1"/>
    <col min="258" max="258" width="9" style="1518" customWidth="1"/>
    <col min="259" max="259" width="0.875" style="1518" customWidth="1"/>
    <col min="260" max="260" width="11.125" style="1518" customWidth="1"/>
    <col min="261" max="261" width="1.25" style="1518" customWidth="1"/>
    <col min="262" max="262" width="12.125" style="1518" customWidth="1"/>
    <col min="263" max="263" width="8.125" style="1518" customWidth="1"/>
    <col min="264" max="264" width="9.125" style="1518" customWidth="1"/>
    <col min="265" max="265" width="9.625" style="1518" customWidth="1"/>
    <col min="266" max="267" width="10.75" style="1518" customWidth="1"/>
    <col min="268" max="268" width="1.25" style="1518" customWidth="1"/>
    <col min="269" max="269" width="11.75" style="1518" customWidth="1"/>
    <col min="270" max="270" width="1" style="1518" customWidth="1"/>
    <col min="271" max="271" width="9.375" style="1518" customWidth="1"/>
    <col min="272" max="512" width="7.75" style="1518"/>
    <col min="513" max="513" width="7.875" style="1518" customWidth="1"/>
    <col min="514" max="514" width="9" style="1518" customWidth="1"/>
    <col min="515" max="515" width="0.875" style="1518" customWidth="1"/>
    <col min="516" max="516" width="11.125" style="1518" customWidth="1"/>
    <col min="517" max="517" width="1.25" style="1518" customWidth="1"/>
    <col min="518" max="518" width="12.125" style="1518" customWidth="1"/>
    <col min="519" max="519" width="8.125" style="1518" customWidth="1"/>
    <col min="520" max="520" width="9.125" style="1518" customWidth="1"/>
    <col min="521" max="521" width="9.625" style="1518" customWidth="1"/>
    <col min="522" max="523" width="10.75" style="1518" customWidth="1"/>
    <col min="524" max="524" width="1.25" style="1518" customWidth="1"/>
    <col min="525" max="525" width="11.75" style="1518" customWidth="1"/>
    <col min="526" max="526" width="1" style="1518" customWidth="1"/>
    <col min="527" max="527" width="9.375" style="1518" customWidth="1"/>
    <col min="528" max="768" width="7.75" style="1518"/>
    <col min="769" max="769" width="7.875" style="1518" customWidth="1"/>
    <col min="770" max="770" width="9" style="1518" customWidth="1"/>
    <col min="771" max="771" width="0.875" style="1518" customWidth="1"/>
    <col min="772" max="772" width="11.125" style="1518" customWidth="1"/>
    <col min="773" max="773" width="1.25" style="1518" customWidth="1"/>
    <col min="774" max="774" width="12.125" style="1518" customWidth="1"/>
    <col min="775" max="775" width="8.125" style="1518" customWidth="1"/>
    <col min="776" max="776" width="9.125" style="1518" customWidth="1"/>
    <col min="777" max="777" width="9.625" style="1518" customWidth="1"/>
    <col min="778" max="779" width="10.75" style="1518" customWidth="1"/>
    <col min="780" max="780" width="1.25" style="1518" customWidth="1"/>
    <col min="781" max="781" width="11.75" style="1518" customWidth="1"/>
    <col min="782" max="782" width="1" style="1518" customWidth="1"/>
    <col min="783" max="783" width="9.375" style="1518" customWidth="1"/>
    <col min="784" max="1024" width="7.75" style="1518"/>
    <col min="1025" max="1025" width="7.875" style="1518" customWidth="1"/>
    <col min="1026" max="1026" width="9" style="1518" customWidth="1"/>
    <col min="1027" max="1027" width="0.875" style="1518" customWidth="1"/>
    <col min="1028" max="1028" width="11.125" style="1518" customWidth="1"/>
    <col min="1029" max="1029" width="1.25" style="1518" customWidth="1"/>
    <col min="1030" max="1030" width="12.125" style="1518" customWidth="1"/>
    <col min="1031" max="1031" width="8.125" style="1518" customWidth="1"/>
    <col min="1032" max="1032" width="9.125" style="1518" customWidth="1"/>
    <col min="1033" max="1033" width="9.625" style="1518" customWidth="1"/>
    <col min="1034" max="1035" width="10.75" style="1518" customWidth="1"/>
    <col min="1036" max="1036" width="1.25" style="1518" customWidth="1"/>
    <col min="1037" max="1037" width="11.75" style="1518" customWidth="1"/>
    <col min="1038" max="1038" width="1" style="1518" customWidth="1"/>
    <col min="1039" max="1039" width="9.375" style="1518" customWidth="1"/>
    <col min="1040" max="1280" width="7.75" style="1518"/>
    <col min="1281" max="1281" width="7.875" style="1518" customWidth="1"/>
    <col min="1282" max="1282" width="9" style="1518" customWidth="1"/>
    <col min="1283" max="1283" width="0.875" style="1518" customWidth="1"/>
    <col min="1284" max="1284" width="11.125" style="1518" customWidth="1"/>
    <col min="1285" max="1285" width="1.25" style="1518" customWidth="1"/>
    <col min="1286" max="1286" width="12.125" style="1518" customWidth="1"/>
    <col min="1287" max="1287" width="8.125" style="1518" customWidth="1"/>
    <col min="1288" max="1288" width="9.125" style="1518" customWidth="1"/>
    <col min="1289" max="1289" width="9.625" style="1518" customWidth="1"/>
    <col min="1290" max="1291" width="10.75" style="1518" customWidth="1"/>
    <col min="1292" max="1292" width="1.25" style="1518" customWidth="1"/>
    <col min="1293" max="1293" width="11.75" style="1518" customWidth="1"/>
    <col min="1294" max="1294" width="1" style="1518" customWidth="1"/>
    <col min="1295" max="1295" width="9.375" style="1518" customWidth="1"/>
    <col min="1296" max="1536" width="7.75" style="1518"/>
    <col min="1537" max="1537" width="7.875" style="1518" customWidth="1"/>
    <col min="1538" max="1538" width="9" style="1518" customWidth="1"/>
    <col min="1539" max="1539" width="0.875" style="1518" customWidth="1"/>
    <col min="1540" max="1540" width="11.125" style="1518" customWidth="1"/>
    <col min="1541" max="1541" width="1.25" style="1518" customWidth="1"/>
    <col min="1542" max="1542" width="12.125" style="1518" customWidth="1"/>
    <col min="1543" max="1543" width="8.125" style="1518" customWidth="1"/>
    <col min="1544" max="1544" width="9.125" style="1518" customWidth="1"/>
    <col min="1545" max="1545" width="9.625" style="1518" customWidth="1"/>
    <col min="1546" max="1547" width="10.75" style="1518" customWidth="1"/>
    <col min="1548" max="1548" width="1.25" style="1518" customWidth="1"/>
    <col min="1549" max="1549" width="11.75" style="1518" customWidth="1"/>
    <col min="1550" max="1550" width="1" style="1518" customWidth="1"/>
    <col min="1551" max="1551" width="9.375" style="1518" customWidth="1"/>
    <col min="1552" max="1792" width="7.75" style="1518"/>
    <col min="1793" max="1793" width="7.875" style="1518" customWidth="1"/>
    <col min="1794" max="1794" width="9" style="1518" customWidth="1"/>
    <col min="1795" max="1795" width="0.875" style="1518" customWidth="1"/>
    <col min="1796" max="1796" width="11.125" style="1518" customWidth="1"/>
    <col min="1797" max="1797" width="1.25" style="1518" customWidth="1"/>
    <col min="1798" max="1798" width="12.125" style="1518" customWidth="1"/>
    <col min="1799" max="1799" width="8.125" style="1518" customWidth="1"/>
    <col min="1800" max="1800" width="9.125" style="1518" customWidth="1"/>
    <col min="1801" max="1801" width="9.625" style="1518" customWidth="1"/>
    <col min="1802" max="1803" width="10.75" style="1518" customWidth="1"/>
    <col min="1804" max="1804" width="1.25" style="1518" customWidth="1"/>
    <col min="1805" max="1805" width="11.75" style="1518" customWidth="1"/>
    <col min="1806" max="1806" width="1" style="1518" customWidth="1"/>
    <col min="1807" max="1807" width="9.375" style="1518" customWidth="1"/>
    <col min="1808" max="2048" width="7.75" style="1518"/>
    <col min="2049" max="2049" width="7.875" style="1518" customWidth="1"/>
    <col min="2050" max="2050" width="9" style="1518" customWidth="1"/>
    <col min="2051" max="2051" width="0.875" style="1518" customWidth="1"/>
    <col min="2052" max="2052" width="11.125" style="1518" customWidth="1"/>
    <col min="2053" max="2053" width="1.25" style="1518" customWidth="1"/>
    <col min="2054" max="2054" width="12.125" style="1518" customWidth="1"/>
    <col min="2055" max="2055" width="8.125" style="1518" customWidth="1"/>
    <col min="2056" max="2056" width="9.125" style="1518" customWidth="1"/>
    <col min="2057" max="2057" width="9.625" style="1518" customWidth="1"/>
    <col min="2058" max="2059" width="10.75" style="1518" customWidth="1"/>
    <col min="2060" max="2060" width="1.25" style="1518" customWidth="1"/>
    <col min="2061" max="2061" width="11.75" style="1518" customWidth="1"/>
    <col min="2062" max="2062" width="1" style="1518" customWidth="1"/>
    <col min="2063" max="2063" width="9.375" style="1518" customWidth="1"/>
    <col min="2064" max="2304" width="7.75" style="1518"/>
    <col min="2305" max="2305" width="7.875" style="1518" customWidth="1"/>
    <col min="2306" max="2306" width="9" style="1518" customWidth="1"/>
    <col min="2307" max="2307" width="0.875" style="1518" customWidth="1"/>
    <col min="2308" max="2308" width="11.125" style="1518" customWidth="1"/>
    <col min="2309" max="2309" width="1.25" style="1518" customWidth="1"/>
    <col min="2310" max="2310" width="12.125" style="1518" customWidth="1"/>
    <col min="2311" max="2311" width="8.125" style="1518" customWidth="1"/>
    <col min="2312" max="2312" width="9.125" style="1518" customWidth="1"/>
    <col min="2313" max="2313" width="9.625" style="1518" customWidth="1"/>
    <col min="2314" max="2315" width="10.75" style="1518" customWidth="1"/>
    <col min="2316" max="2316" width="1.25" style="1518" customWidth="1"/>
    <col min="2317" max="2317" width="11.75" style="1518" customWidth="1"/>
    <col min="2318" max="2318" width="1" style="1518" customWidth="1"/>
    <col min="2319" max="2319" width="9.375" style="1518" customWidth="1"/>
    <col min="2320" max="2560" width="7.75" style="1518"/>
    <col min="2561" max="2561" width="7.875" style="1518" customWidth="1"/>
    <col min="2562" max="2562" width="9" style="1518" customWidth="1"/>
    <col min="2563" max="2563" width="0.875" style="1518" customWidth="1"/>
    <col min="2564" max="2564" width="11.125" style="1518" customWidth="1"/>
    <col min="2565" max="2565" width="1.25" style="1518" customWidth="1"/>
    <col min="2566" max="2566" width="12.125" style="1518" customWidth="1"/>
    <col min="2567" max="2567" width="8.125" style="1518" customWidth="1"/>
    <col min="2568" max="2568" width="9.125" style="1518" customWidth="1"/>
    <col min="2569" max="2569" width="9.625" style="1518" customWidth="1"/>
    <col min="2570" max="2571" width="10.75" style="1518" customWidth="1"/>
    <col min="2572" max="2572" width="1.25" style="1518" customWidth="1"/>
    <col min="2573" max="2573" width="11.75" style="1518" customWidth="1"/>
    <col min="2574" max="2574" width="1" style="1518" customWidth="1"/>
    <col min="2575" max="2575" width="9.375" style="1518" customWidth="1"/>
    <col min="2576" max="2816" width="7.75" style="1518"/>
    <col min="2817" max="2817" width="7.875" style="1518" customWidth="1"/>
    <col min="2818" max="2818" width="9" style="1518" customWidth="1"/>
    <col min="2819" max="2819" width="0.875" style="1518" customWidth="1"/>
    <col min="2820" max="2820" width="11.125" style="1518" customWidth="1"/>
    <col min="2821" max="2821" width="1.25" style="1518" customWidth="1"/>
    <col min="2822" max="2822" width="12.125" style="1518" customWidth="1"/>
    <col min="2823" max="2823" width="8.125" style="1518" customWidth="1"/>
    <col min="2824" max="2824" width="9.125" style="1518" customWidth="1"/>
    <col min="2825" max="2825" width="9.625" style="1518" customWidth="1"/>
    <col min="2826" max="2827" width="10.75" style="1518" customWidth="1"/>
    <col min="2828" max="2828" width="1.25" style="1518" customWidth="1"/>
    <col min="2829" max="2829" width="11.75" style="1518" customWidth="1"/>
    <col min="2830" max="2830" width="1" style="1518" customWidth="1"/>
    <col min="2831" max="2831" width="9.375" style="1518" customWidth="1"/>
    <col min="2832" max="3072" width="7.75" style="1518"/>
    <col min="3073" max="3073" width="7.875" style="1518" customWidth="1"/>
    <col min="3074" max="3074" width="9" style="1518" customWidth="1"/>
    <col min="3075" max="3075" width="0.875" style="1518" customWidth="1"/>
    <col min="3076" max="3076" width="11.125" style="1518" customWidth="1"/>
    <col min="3077" max="3077" width="1.25" style="1518" customWidth="1"/>
    <col min="3078" max="3078" width="12.125" style="1518" customWidth="1"/>
    <col min="3079" max="3079" width="8.125" style="1518" customWidth="1"/>
    <col min="3080" max="3080" width="9.125" style="1518" customWidth="1"/>
    <col min="3081" max="3081" width="9.625" style="1518" customWidth="1"/>
    <col min="3082" max="3083" width="10.75" style="1518" customWidth="1"/>
    <col min="3084" max="3084" width="1.25" style="1518" customWidth="1"/>
    <col min="3085" max="3085" width="11.75" style="1518" customWidth="1"/>
    <col min="3086" max="3086" width="1" style="1518" customWidth="1"/>
    <col min="3087" max="3087" width="9.375" style="1518" customWidth="1"/>
    <col min="3088" max="3328" width="7.75" style="1518"/>
    <col min="3329" max="3329" width="7.875" style="1518" customWidth="1"/>
    <col min="3330" max="3330" width="9" style="1518" customWidth="1"/>
    <col min="3331" max="3331" width="0.875" style="1518" customWidth="1"/>
    <col min="3332" max="3332" width="11.125" style="1518" customWidth="1"/>
    <col min="3333" max="3333" width="1.25" style="1518" customWidth="1"/>
    <col min="3334" max="3334" width="12.125" style="1518" customWidth="1"/>
    <col min="3335" max="3335" width="8.125" style="1518" customWidth="1"/>
    <col min="3336" max="3336" width="9.125" style="1518" customWidth="1"/>
    <col min="3337" max="3337" width="9.625" style="1518" customWidth="1"/>
    <col min="3338" max="3339" width="10.75" style="1518" customWidth="1"/>
    <col min="3340" max="3340" width="1.25" style="1518" customWidth="1"/>
    <col min="3341" max="3341" width="11.75" style="1518" customWidth="1"/>
    <col min="3342" max="3342" width="1" style="1518" customWidth="1"/>
    <col min="3343" max="3343" width="9.375" style="1518" customWidth="1"/>
    <col min="3344" max="3584" width="7.75" style="1518"/>
    <col min="3585" max="3585" width="7.875" style="1518" customWidth="1"/>
    <col min="3586" max="3586" width="9" style="1518" customWidth="1"/>
    <col min="3587" max="3587" width="0.875" style="1518" customWidth="1"/>
    <col min="3588" max="3588" width="11.125" style="1518" customWidth="1"/>
    <col min="3589" max="3589" width="1.25" style="1518" customWidth="1"/>
    <col min="3590" max="3590" width="12.125" style="1518" customWidth="1"/>
    <col min="3591" max="3591" width="8.125" style="1518" customWidth="1"/>
    <col min="3592" max="3592" width="9.125" style="1518" customWidth="1"/>
    <col min="3593" max="3593" width="9.625" style="1518" customWidth="1"/>
    <col min="3594" max="3595" width="10.75" style="1518" customWidth="1"/>
    <col min="3596" max="3596" width="1.25" style="1518" customWidth="1"/>
    <col min="3597" max="3597" width="11.75" style="1518" customWidth="1"/>
    <col min="3598" max="3598" width="1" style="1518" customWidth="1"/>
    <col min="3599" max="3599" width="9.375" style="1518" customWidth="1"/>
    <col min="3600" max="3840" width="7.75" style="1518"/>
    <col min="3841" max="3841" width="7.875" style="1518" customWidth="1"/>
    <col min="3842" max="3842" width="9" style="1518" customWidth="1"/>
    <col min="3843" max="3843" width="0.875" style="1518" customWidth="1"/>
    <col min="3844" max="3844" width="11.125" style="1518" customWidth="1"/>
    <col min="3845" max="3845" width="1.25" style="1518" customWidth="1"/>
    <col min="3846" max="3846" width="12.125" style="1518" customWidth="1"/>
    <col min="3847" max="3847" width="8.125" style="1518" customWidth="1"/>
    <col min="3848" max="3848" width="9.125" style="1518" customWidth="1"/>
    <col min="3849" max="3849" width="9.625" style="1518" customWidth="1"/>
    <col min="3850" max="3851" width="10.75" style="1518" customWidth="1"/>
    <col min="3852" max="3852" width="1.25" style="1518" customWidth="1"/>
    <col min="3853" max="3853" width="11.75" style="1518" customWidth="1"/>
    <col min="3854" max="3854" width="1" style="1518" customWidth="1"/>
    <col min="3855" max="3855" width="9.375" style="1518" customWidth="1"/>
    <col min="3856" max="4096" width="7.75" style="1518"/>
    <col min="4097" max="4097" width="7.875" style="1518" customWidth="1"/>
    <col min="4098" max="4098" width="9" style="1518" customWidth="1"/>
    <col min="4099" max="4099" width="0.875" style="1518" customWidth="1"/>
    <col min="4100" max="4100" width="11.125" style="1518" customWidth="1"/>
    <col min="4101" max="4101" width="1.25" style="1518" customWidth="1"/>
    <col min="4102" max="4102" width="12.125" style="1518" customWidth="1"/>
    <col min="4103" max="4103" width="8.125" style="1518" customWidth="1"/>
    <col min="4104" max="4104" width="9.125" style="1518" customWidth="1"/>
    <col min="4105" max="4105" width="9.625" style="1518" customWidth="1"/>
    <col min="4106" max="4107" width="10.75" style="1518" customWidth="1"/>
    <col min="4108" max="4108" width="1.25" style="1518" customWidth="1"/>
    <col min="4109" max="4109" width="11.75" style="1518" customWidth="1"/>
    <col min="4110" max="4110" width="1" style="1518" customWidth="1"/>
    <col min="4111" max="4111" width="9.375" style="1518" customWidth="1"/>
    <col min="4112" max="4352" width="7.75" style="1518"/>
    <col min="4353" max="4353" width="7.875" style="1518" customWidth="1"/>
    <col min="4354" max="4354" width="9" style="1518" customWidth="1"/>
    <col min="4355" max="4355" width="0.875" style="1518" customWidth="1"/>
    <col min="4356" max="4356" width="11.125" style="1518" customWidth="1"/>
    <col min="4357" max="4357" width="1.25" style="1518" customWidth="1"/>
    <col min="4358" max="4358" width="12.125" style="1518" customWidth="1"/>
    <col min="4359" max="4359" width="8.125" style="1518" customWidth="1"/>
    <col min="4360" max="4360" width="9.125" style="1518" customWidth="1"/>
    <col min="4361" max="4361" width="9.625" style="1518" customWidth="1"/>
    <col min="4362" max="4363" width="10.75" style="1518" customWidth="1"/>
    <col min="4364" max="4364" width="1.25" style="1518" customWidth="1"/>
    <col min="4365" max="4365" width="11.75" style="1518" customWidth="1"/>
    <col min="4366" max="4366" width="1" style="1518" customWidth="1"/>
    <col min="4367" max="4367" width="9.375" style="1518" customWidth="1"/>
    <col min="4368" max="4608" width="7.75" style="1518"/>
    <col min="4609" max="4609" width="7.875" style="1518" customWidth="1"/>
    <col min="4610" max="4610" width="9" style="1518" customWidth="1"/>
    <col min="4611" max="4611" width="0.875" style="1518" customWidth="1"/>
    <col min="4612" max="4612" width="11.125" style="1518" customWidth="1"/>
    <col min="4613" max="4613" width="1.25" style="1518" customWidth="1"/>
    <col min="4614" max="4614" width="12.125" style="1518" customWidth="1"/>
    <col min="4615" max="4615" width="8.125" style="1518" customWidth="1"/>
    <col min="4616" max="4616" width="9.125" style="1518" customWidth="1"/>
    <col min="4617" max="4617" width="9.625" style="1518" customWidth="1"/>
    <col min="4618" max="4619" width="10.75" style="1518" customWidth="1"/>
    <col min="4620" max="4620" width="1.25" style="1518" customWidth="1"/>
    <col min="4621" max="4621" width="11.75" style="1518" customWidth="1"/>
    <col min="4622" max="4622" width="1" style="1518" customWidth="1"/>
    <col min="4623" max="4623" width="9.375" style="1518" customWidth="1"/>
    <col min="4624" max="4864" width="7.75" style="1518"/>
    <col min="4865" max="4865" width="7.875" style="1518" customWidth="1"/>
    <col min="4866" max="4866" width="9" style="1518" customWidth="1"/>
    <col min="4867" max="4867" width="0.875" style="1518" customWidth="1"/>
    <col min="4868" max="4868" width="11.125" style="1518" customWidth="1"/>
    <col min="4869" max="4869" width="1.25" style="1518" customWidth="1"/>
    <col min="4870" max="4870" width="12.125" style="1518" customWidth="1"/>
    <col min="4871" max="4871" width="8.125" style="1518" customWidth="1"/>
    <col min="4872" max="4872" width="9.125" style="1518" customWidth="1"/>
    <col min="4873" max="4873" width="9.625" style="1518" customWidth="1"/>
    <col min="4874" max="4875" width="10.75" style="1518" customWidth="1"/>
    <col min="4876" max="4876" width="1.25" style="1518" customWidth="1"/>
    <col min="4877" max="4877" width="11.75" style="1518" customWidth="1"/>
    <col min="4878" max="4878" width="1" style="1518" customWidth="1"/>
    <col min="4879" max="4879" width="9.375" style="1518" customWidth="1"/>
    <col min="4880" max="5120" width="7.75" style="1518"/>
    <col min="5121" max="5121" width="7.875" style="1518" customWidth="1"/>
    <col min="5122" max="5122" width="9" style="1518" customWidth="1"/>
    <col min="5123" max="5123" width="0.875" style="1518" customWidth="1"/>
    <col min="5124" max="5124" width="11.125" style="1518" customWidth="1"/>
    <col min="5125" max="5125" width="1.25" style="1518" customWidth="1"/>
    <col min="5126" max="5126" width="12.125" style="1518" customWidth="1"/>
    <col min="5127" max="5127" width="8.125" style="1518" customWidth="1"/>
    <col min="5128" max="5128" width="9.125" style="1518" customWidth="1"/>
    <col min="5129" max="5129" width="9.625" style="1518" customWidth="1"/>
    <col min="5130" max="5131" width="10.75" style="1518" customWidth="1"/>
    <col min="5132" max="5132" width="1.25" style="1518" customWidth="1"/>
    <col min="5133" max="5133" width="11.75" style="1518" customWidth="1"/>
    <col min="5134" max="5134" width="1" style="1518" customWidth="1"/>
    <col min="5135" max="5135" width="9.375" style="1518" customWidth="1"/>
    <col min="5136" max="5376" width="7.75" style="1518"/>
    <col min="5377" max="5377" width="7.875" style="1518" customWidth="1"/>
    <col min="5378" max="5378" width="9" style="1518" customWidth="1"/>
    <col min="5379" max="5379" width="0.875" style="1518" customWidth="1"/>
    <col min="5380" max="5380" width="11.125" style="1518" customWidth="1"/>
    <col min="5381" max="5381" width="1.25" style="1518" customWidth="1"/>
    <col min="5382" max="5382" width="12.125" style="1518" customWidth="1"/>
    <col min="5383" max="5383" width="8.125" style="1518" customWidth="1"/>
    <col min="5384" max="5384" width="9.125" style="1518" customWidth="1"/>
    <col min="5385" max="5385" width="9.625" style="1518" customWidth="1"/>
    <col min="5386" max="5387" width="10.75" style="1518" customWidth="1"/>
    <col min="5388" max="5388" width="1.25" style="1518" customWidth="1"/>
    <col min="5389" max="5389" width="11.75" style="1518" customWidth="1"/>
    <col min="5390" max="5390" width="1" style="1518" customWidth="1"/>
    <col min="5391" max="5391" width="9.375" style="1518" customWidth="1"/>
    <col min="5392" max="5632" width="7.75" style="1518"/>
    <col min="5633" max="5633" width="7.875" style="1518" customWidth="1"/>
    <col min="5634" max="5634" width="9" style="1518" customWidth="1"/>
    <col min="5635" max="5635" width="0.875" style="1518" customWidth="1"/>
    <col min="5636" max="5636" width="11.125" style="1518" customWidth="1"/>
    <col min="5637" max="5637" width="1.25" style="1518" customWidth="1"/>
    <col min="5638" max="5638" width="12.125" style="1518" customWidth="1"/>
    <col min="5639" max="5639" width="8.125" style="1518" customWidth="1"/>
    <col min="5640" max="5640" width="9.125" style="1518" customWidth="1"/>
    <col min="5641" max="5641" width="9.625" style="1518" customWidth="1"/>
    <col min="5642" max="5643" width="10.75" style="1518" customWidth="1"/>
    <col min="5644" max="5644" width="1.25" style="1518" customWidth="1"/>
    <col min="5645" max="5645" width="11.75" style="1518" customWidth="1"/>
    <col min="5646" max="5646" width="1" style="1518" customWidth="1"/>
    <col min="5647" max="5647" width="9.375" style="1518" customWidth="1"/>
    <col min="5648" max="5888" width="7.75" style="1518"/>
    <col min="5889" max="5889" width="7.875" style="1518" customWidth="1"/>
    <col min="5890" max="5890" width="9" style="1518" customWidth="1"/>
    <col min="5891" max="5891" width="0.875" style="1518" customWidth="1"/>
    <col min="5892" max="5892" width="11.125" style="1518" customWidth="1"/>
    <col min="5893" max="5893" width="1.25" style="1518" customWidth="1"/>
    <col min="5894" max="5894" width="12.125" style="1518" customWidth="1"/>
    <col min="5895" max="5895" width="8.125" style="1518" customWidth="1"/>
    <col min="5896" max="5896" width="9.125" style="1518" customWidth="1"/>
    <col min="5897" max="5897" width="9.625" style="1518" customWidth="1"/>
    <col min="5898" max="5899" width="10.75" style="1518" customWidth="1"/>
    <col min="5900" max="5900" width="1.25" style="1518" customWidth="1"/>
    <col min="5901" max="5901" width="11.75" style="1518" customWidth="1"/>
    <col min="5902" max="5902" width="1" style="1518" customWidth="1"/>
    <col min="5903" max="5903" width="9.375" style="1518" customWidth="1"/>
    <col min="5904" max="6144" width="7.75" style="1518"/>
    <col min="6145" max="6145" width="7.875" style="1518" customWidth="1"/>
    <col min="6146" max="6146" width="9" style="1518" customWidth="1"/>
    <col min="6147" max="6147" width="0.875" style="1518" customWidth="1"/>
    <col min="6148" max="6148" width="11.125" style="1518" customWidth="1"/>
    <col min="6149" max="6149" width="1.25" style="1518" customWidth="1"/>
    <col min="6150" max="6150" width="12.125" style="1518" customWidth="1"/>
    <col min="6151" max="6151" width="8.125" style="1518" customWidth="1"/>
    <col min="6152" max="6152" width="9.125" style="1518" customWidth="1"/>
    <col min="6153" max="6153" width="9.625" style="1518" customWidth="1"/>
    <col min="6154" max="6155" width="10.75" style="1518" customWidth="1"/>
    <col min="6156" max="6156" width="1.25" style="1518" customWidth="1"/>
    <col min="6157" max="6157" width="11.75" style="1518" customWidth="1"/>
    <col min="6158" max="6158" width="1" style="1518" customWidth="1"/>
    <col min="6159" max="6159" width="9.375" style="1518" customWidth="1"/>
    <col min="6160" max="6400" width="7.75" style="1518"/>
    <col min="6401" max="6401" width="7.875" style="1518" customWidth="1"/>
    <col min="6402" max="6402" width="9" style="1518" customWidth="1"/>
    <col min="6403" max="6403" width="0.875" style="1518" customWidth="1"/>
    <col min="6404" max="6404" width="11.125" style="1518" customWidth="1"/>
    <col min="6405" max="6405" width="1.25" style="1518" customWidth="1"/>
    <col min="6406" max="6406" width="12.125" style="1518" customWidth="1"/>
    <col min="6407" max="6407" width="8.125" style="1518" customWidth="1"/>
    <col min="6408" max="6408" width="9.125" style="1518" customWidth="1"/>
    <col min="6409" max="6409" width="9.625" style="1518" customWidth="1"/>
    <col min="6410" max="6411" width="10.75" style="1518" customWidth="1"/>
    <col min="6412" max="6412" width="1.25" style="1518" customWidth="1"/>
    <col min="6413" max="6413" width="11.75" style="1518" customWidth="1"/>
    <col min="6414" max="6414" width="1" style="1518" customWidth="1"/>
    <col min="6415" max="6415" width="9.375" style="1518" customWidth="1"/>
    <col min="6416" max="6656" width="7.75" style="1518"/>
    <col min="6657" max="6657" width="7.875" style="1518" customWidth="1"/>
    <col min="6658" max="6658" width="9" style="1518" customWidth="1"/>
    <col min="6659" max="6659" width="0.875" style="1518" customWidth="1"/>
    <col min="6660" max="6660" width="11.125" style="1518" customWidth="1"/>
    <col min="6661" max="6661" width="1.25" style="1518" customWidth="1"/>
    <col min="6662" max="6662" width="12.125" style="1518" customWidth="1"/>
    <col min="6663" max="6663" width="8.125" style="1518" customWidth="1"/>
    <col min="6664" max="6664" width="9.125" style="1518" customWidth="1"/>
    <col min="6665" max="6665" width="9.625" style="1518" customWidth="1"/>
    <col min="6666" max="6667" width="10.75" style="1518" customWidth="1"/>
    <col min="6668" max="6668" width="1.25" style="1518" customWidth="1"/>
    <col min="6669" max="6669" width="11.75" style="1518" customWidth="1"/>
    <col min="6670" max="6670" width="1" style="1518" customWidth="1"/>
    <col min="6671" max="6671" width="9.375" style="1518" customWidth="1"/>
    <col min="6672" max="6912" width="7.75" style="1518"/>
    <col min="6913" max="6913" width="7.875" style="1518" customWidth="1"/>
    <col min="6914" max="6914" width="9" style="1518" customWidth="1"/>
    <col min="6915" max="6915" width="0.875" style="1518" customWidth="1"/>
    <col min="6916" max="6916" width="11.125" style="1518" customWidth="1"/>
    <col min="6917" max="6917" width="1.25" style="1518" customWidth="1"/>
    <col min="6918" max="6918" width="12.125" style="1518" customWidth="1"/>
    <col min="6919" max="6919" width="8.125" style="1518" customWidth="1"/>
    <col min="6920" max="6920" width="9.125" style="1518" customWidth="1"/>
    <col min="6921" max="6921" width="9.625" style="1518" customWidth="1"/>
    <col min="6922" max="6923" width="10.75" style="1518" customWidth="1"/>
    <col min="6924" max="6924" width="1.25" style="1518" customWidth="1"/>
    <col min="6925" max="6925" width="11.75" style="1518" customWidth="1"/>
    <col min="6926" max="6926" width="1" style="1518" customWidth="1"/>
    <col min="6927" max="6927" width="9.375" style="1518" customWidth="1"/>
    <col min="6928" max="7168" width="7.75" style="1518"/>
    <col min="7169" max="7169" width="7.875" style="1518" customWidth="1"/>
    <col min="7170" max="7170" width="9" style="1518" customWidth="1"/>
    <col min="7171" max="7171" width="0.875" style="1518" customWidth="1"/>
    <col min="7172" max="7172" width="11.125" style="1518" customWidth="1"/>
    <col min="7173" max="7173" width="1.25" style="1518" customWidth="1"/>
    <col min="7174" max="7174" width="12.125" style="1518" customWidth="1"/>
    <col min="7175" max="7175" width="8.125" style="1518" customWidth="1"/>
    <col min="7176" max="7176" width="9.125" style="1518" customWidth="1"/>
    <col min="7177" max="7177" width="9.625" style="1518" customWidth="1"/>
    <col min="7178" max="7179" width="10.75" style="1518" customWidth="1"/>
    <col min="7180" max="7180" width="1.25" style="1518" customWidth="1"/>
    <col min="7181" max="7181" width="11.75" style="1518" customWidth="1"/>
    <col min="7182" max="7182" width="1" style="1518" customWidth="1"/>
    <col min="7183" max="7183" width="9.375" style="1518" customWidth="1"/>
    <col min="7184" max="7424" width="7.75" style="1518"/>
    <col min="7425" max="7425" width="7.875" style="1518" customWidth="1"/>
    <col min="7426" max="7426" width="9" style="1518" customWidth="1"/>
    <col min="7427" max="7427" width="0.875" style="1518" customWidth="1"/>
    <col min="7428" max="7428" width="11.125" style="1518" customWidth="1"/>
    <col min="7429" max="7429" width="1.25" style="1518" customWidth="1"/>
    <col min="7430" max="7430" width="12.125" style="1518" customWidth="1"/>
    <col min="7431" max="7431" width="8.125" style="1518" customWidth="1"/>
    <col min="7432" max="7432" width="9.125" style="1518" customWidth="1"/>
    <col min="7433" max="7433" width="9.625" style="1518" customWidth="1"/>
    <col min="7434" max="7435" width="10.75" style="1518" customWidth="1"/>
    <col min="7436" max="7436" width="1.25" style="1518" customWidth="1"/>
    <col min="7437" max="7437" width="11.75" style="1518" customWidth="1"/>
    <col min="7438" max="7438" width="1" style="1518" customWidth="1"/>
    <col min="7439" max="7439" width="9.375" style="1518" customWidth="1"/>
    <col min="7440" max="7680" width="7.75" style="1518"/>
    <col min="7681" max="7681" width="7.875" style="1518" customWidth="1"/>
    <col min="7682" max="7682" width="9" style="1518" customWidth="1"/>
    <col min="7683" max="7683" width="0.875" style="1518" customWidth="1"/>
    <col min="7684" max="7684" width="11.125" style="1518" customWidth="1"/>
    <col min="7685" max="7685" width="1.25" style="1518" customWidth="1"/>
    <col min="7686" max="7686" width="12.125" style="1518" customWidth="1"/>
    <col min="7687" max="7687" width="8.125" style="1518" customWidth="1"/>
    <col min="7688" max="7688" width="9.125" style="1518" customWidth="1"/>
    <col min="7689" max="7689" width="9.625" style="1518" customWidth="1"/>
    <col min="7690" max="7691" width="10.75" style="1518" customWidth="1"/>
    <col min="7692" max="7692" width="1.25" style="1518" customWidth="1"/>
    <col min="7693" max="7693" width="11.75" style="1518" customWidth="1"/>
    <col min="7694" max="7694" width="1" style="1518" customWidth="1"/>
    <col min="7695" max="7695" width="9.375" style="1518" customWidth="1"/>
    <col min="7696" max="7936" width="7.75" style="1518"/>
    <col min="7937" max="7937" width="7.875" style="1518" customWidth="1"/>
    <col min="7938" max="7938" width="9" style="1518" customWidth="1"/>
    <col min="7939" max="7939" width="0.875" style="1518" customWidth="1"/>
    <col min="7940" max="7940" width="11.125" style="1518" customWidth="1"/>
    <col min="7941" max="7941" width="1.25" style="1518" customWidth="1"/>
    <col min="7942" max="7942" width="12.125" style="1518" customWidth="1"/>
    <col min="7943" max="7943" width="8.125" style="1518" customWidth="1"/>
    <col min="7944" max="7944" width="9.125" style="1518" customWidth="1"/>
    <col min="7945" max="7945" width="9.625" style="1518" customWidth="1"/>
    <col min="7946" max="7947" width="10.75" style="1518" customWidth="1"/>
    <col min="7948" max="7948" width="1.25" style="1518" customWidth="1"/>
    <col min="7949" max="7949" width="11.75" style="1518" customWidth="1"/>
    <col min="7950" max="7950" width="1" style="1518" customWidth="1"/>
    <col min="7951" max="7951" width="9.375" style="1518" customWidth="1"/>
    <col min="7952" max="8192" width="7.75" style="1518"/>
    <col min="8193" max="8193" width="7.875" style="1518" customWidth="1"/>
    <col min="8194" max="8194" width="9" style="1518" customWidth="1"/>
    <col min="8195" max="8195" width="0.875" style="1518" customWidth="1"/>
    <col min="8196" max="8196" width="11.125" style="1518" customWidth="1"/>
    <col min="8197" max="8197" width="1.25" style="1518" customWidth="1"/>
    <col min="8198" max="8198" width="12.125" style="1518" customWidth="1"/>
    <col min="8199" max="8199" width="8.125" style="1518" customWidth="1"/>
    <col min="8200" max="8200" width="9.125" style="1518" customWidth="1"/>
    <col min="8201" max="8201" width="9.625" style="1518" customWidth="1"/>
    <col min="8202" max="8203" width="10.75" style="1518" customWidth="1"/>
    <col min="8204" max="8204" width="1.25" style="1518" customWidth="1"/>
    <col min="8205" max="8205" width="11.75" style="1518" customWidth="1"/>
    <col min="8206" max="8206" width="1" style="1518" customWidth="1"/>
    <col min="8207" max="8207" width="9.375" style="1518" customWidth="1"/>
    <col min="8208" max="8448" width="7.75" style="1518"/>
    <col min="8449" max="8449" width="7.875" style="1518" customWidth="1"/>
    <col min="8450" max="8450" width="9" style="1518" customWidth="1"/>
    <col min="8451" max="8451" width="0.875" style="1518" customWidth="1"/>
    <col min="8452" max="8452" width="11.125" style="1518" customWidth="1"/>
    <col min="8453" max="8453" width="1.25" style="1518" customWidth="1"/>
    <col min="8454" max="8454" width="12.125" style="1518" customWidth="1"/>
    <col min="8455" max="8455" width="8.125" style="1518" customWidth="1"/>
    <col min="8456" max="8456" width="9.125" style="1518" customWidth="1"/>
    <col min="8457" max="8457" width="9.625" style="1518" customWidth="1"/>
    <col min="8458" max="8459" width="10.75" style="1518" customWidth="1"/>
    <col min="8460" max="8460" width="1.25" style="1518" customWidth="1"/>
    <col min="8461" max="8461" width="11.75" style="1518" customWidth="1"/>
    <col min="8462" max="8462" width="1" style="1518" customWidth="1"/>
    <col min="8463" max="8463" width="9.375" style="1518" customWidth="1"/>
    <col min="8464" max="8704" width="7.75" style="1518"/>
    <col min="8705" max="8705" width="7.875" style="1518" customWidth="1"/>
    <col min="8706" max="8706" width="9" style="1518" customWidth="1"/>
    <col min="8707" max="8707" width="0.875" style="1518" customWidth="1"/>
    <col min="8708" max="8708" width="11.125" style="1518" customWidth="1"/>
    <col min="8709" max="8709" width="1.25" style="1518" customWidth="1"/>
    <col min="8710" max="8710" width="12.125" style="1518" customWidth="1"/>
    <col min="8711" max="8711" width="8.125" style="1518" customWidth="1"/>
    <col min="8712" max="8712" width="9.125" style="1518" customWidth="1"/>
    <col min="8713" max="8713" width="9.625" style="1518" customWidth="1"/>
    <col min="8714" max="8715" width="10.75" style="1518" customWidth="1"/>
    <col min="8716" max="8716" width="1.25" style="1518" customWidth="1"/>
    <col min="8717" max="8717" width="11.75" style="1518" customWidth="1"/>
    <col min="8718" max="8718" width="1" style="1518" customWidth="1"/>
    <col min="8719" max="8719" width="9.375" style="1518" customWidth="1"/>
    <col min="8720" max="8960" width="7.75" style="1518"/>
    <col min="8961" max="8961" width="7.875" style="1518" customWidth="1"/>
    <col min="8962" max="8962" width="9" style="1518" customWidth="1"/>
    <col min="8963" max="8963" width="0.875" style="1518" customWidth="1"/>
    <col min="8964" max="8964" width="11.125" style="1518" customWidth="1"/>
    <col min="8965" max="8965" width="1.25" style="1518" customWidth="1"/>
    <col min="8966" max="8966" width="12.125" style="1518" customWidth="1"/>
    <col min="8967" max="8967" width="8.125" style="1518" customWidth="1"/>
    <col min="8968" max="8968" width="9.125" style="1518" customWidth="1"/>
    <col min="8969" max="8969" width="9.625" style="1518" customWidth="1"/>
    <col min="8970" max="8971" width="10.75" style="1518" customWidth="1"/>
    <col min="8972" max="8972" width="1.25" style="1518" customWidth="1"/>
    <col min="8973" max="8973" width="11.75" style="1518" customWidth="1"/>
    <col min="8974" max="8974" width="1" style="1518" customWidth="1"/>
    <col min="8975" max="8975" width="9.375" style="1518" customWidth="1"/>
    <col min="8976" max="9216" width="7.75" style="1518"/>
    <col min="9217" max="9217" width="7.875" style="1518" customWidth="1"/>
    <col min="9218" max="9218" width="9" style="1518" customWidth="1"/>
    <col min="9219" max="9219" width="0.875" style="1518" customWidth="1"/>
    <col min="9220" max="9220" width="11.125" style="1518" customWidth="1"/>
    <col min="9221" max="9221" width="1.25" style="1518" customWidth="1"/>
    <col min="9222" max="9222" width="12.125" style="1518" customWidth="1"/>
    <col min="9223" max="9223" width="8.125" style="1518" customWidth="1"/>
    <col min="9224" max="9224" width="9.125" style="1518" customWidth="1"/>
    <col min="9225" max="9225" width="9.625" style="1518" customWidth="1"/>
    <col min="9226" max="9227" width="10.75" style="1518" customWidth="1"/>
    <col min="9228" max="9228" width="1.25" style="1518" customWidth="1"/>
    <col min="9229" max="9229" width="11.75" style="1518" customWidth="1"/>
    <col min="9230" max="9230" width="1" style="1518" customWidth="1"/>
    <col min="9231" max="9231" width="9.375" style="1518" customWidth="1"/>
    <col min="9232" max="9472" width="7.75" style="1518"/>
    <col min="9473" max="9473" width="7.875" style="1518" customWidth="1"/>
    <col min="9474" max="9474" width="9" style="1518" customWidth="1"/>
    <col min="9475" max="9475" width="0.875" style="1518" customWidth="1"/>
    <col min="9476" max="9476" width="11.125" style="1518" customWidth="1"/>
    <col min="9477" max="9477" width="1.25" style="1518" customWidth="1"/>
    <col min="9478" max="9478" width="12.125" style="1518" customWidth="1"/>
    <col min="9479" max="9479" width="8.125" style="1518" customWidth="1"/>
    <col min="9480" max="9480" width="9.125" style="1518" customWidth="1"/>
    <col min="9481" max="9481" width="9.625" style="1518" customWidth="1"/>
    <col min="9482" max="9483" width="10.75" style="1518" customWidth="1"/>
    <col min="9484" max="9484" width="1.25" style="1518" customWidth="1"/>
    <col min="9485" max="9485" width="11.75" style="1518" customWidth="1"/>
    <col min="9486" max="9486" width="1" style="1518" customWidth="1"/>
    <col min="9487" max="9487" width="9.375" style="1518" customWidth="1"/>
    <col min="9488" max="9728" width="7.75" style="1518"/>
    <col min="9729" max="9729" width="7.875" style="1518" customWidth="1"/>
    <col min="9730" max="9730" width="9" style="1518" customWidth="1"/>
    <col min="9731" max="9731" width="0.875" style="1518" customWidth="1"/>
    <col min="9732" max="9732" width="11.125" style="1518" customWidth="1"/>
    <col min="9733" max="9733" width="1.25" style="1518" customWidth="1"/>
    <col min="9734" max="9734" width="12.125" style="1518" customWidth="1"/>
    <col min="9735" max="9735" width="8.125" style="1518" customWidth="1"/>
    <col min="9736" max="9736" width="9.125" style="1518" customWidth="1"/>
    <col min="9737" max="9737" width="9.625" style="1518" customWidth="1"/>
    <col min="9738" max="9739" width="10.75" style="1518" customWidth="1"/>
    <col min="9740" max="9740" width="1.25" style="1518" customWidth="1"/>
    <col min="9741" max="9741" width="11.75" style="1518" customWidth="1"/>
    <col min="9742" max="9742" width="1" style="1518" customWidth="1"/>
    <col min="9743" max="9743" width="9.375" style="1518" customWidth="1"/>
    <col min="9744" max="9984" width="7.75" style="1518"/>
    <col min="9985" max="9985" width="7.875" style="1518" customWidth="1"/>
    <col min="9986" max="9986" width="9" style="1518" customWidth="1"/>
    <col min="9987" max="9987" width="0.875" style="1518" customWidth="1"/>
    <col min="9988" max="9988" width="11.125" style="1518" customWidth="1"/>
    <col min="9989" max="9989" width="1.25" style="1518" customWidth="1"/>
    <col min="9990" max="9990" width="12.125" style="1518" customWidth="1"/>
    <col min="9991" max="9991" width="8.125" style="1518" customWidth="1"/>
    <col min="9992" max="9992" width="9.125" style="1518" customWidth="1"/>
    <col min="9993" max="9993" width="9.625" style="1518" customWidth="1"/>
    <col min="9994" max="9995" width="10.75" style="1518" customWidth="1"/>
    <col min="9996" max="9996" width="1.25" style="1518" customWidth="1"/>
    <col min="9997" max="9997" width="11.75" style="1518" customWidth="1"/>
    <col min="9998" max="9998" width="1" style="1518" customWidth="1"/>
    <col min="9999" max="9999" width="9.375" style="1518" customWidth="1"/>
    <col min="10000" max="10240" width="7.75" style="1518"/>
    <col min="10241" max="10241" width="7.875" style="1518" customWidth="1"/>
    <col min="10242" max="10242" width="9" style="1518" customWidth="1"/>
    <col min="10243" max="10243" width="0.875" style="1518" customWidth="1"/>
    <col min="10244" max="10244" width="11.125" style="1518" customWidth="1"/>
    <col min="10245" max="10245" width="1.25" style="1518" customWidth="1"/>
    <col min="10246" max="10246" width="12.125" style="1518" customWidth="1"/>
    <col min="10247" max="10247" width="8.125" style="1518" customWidth="1"/>
    <col min="10248" max="10248" width="9.125" style="1518" customWidth="1"/>
    <col min="10249" max="10249" width="9.625" style="1518" customWidth="1"/>
    <col min="10250" max="10251" width="10.75" style="1518" customWidth="1"/>
    <col min="10252" max="10252" width="1.25" style="1518" customWidth="1"/>
    <col min="10253" max="10253" width="11.75" style="1518" customWidth="1"/>
    <col min="10254" max="10254" width="1" style="1518" customWidth="1"/>
    <col min="10255" max="10255" width="9.375" style="1518" customWidth="1"/>
    <col min="10256" max="10496" width="7.75" style="1518"/>
    <col min="10497" max="10497" width="7.875" style="1518" customWidth="1"/>
    <col min="10498" max="10498" width="9" style="1518" customWidth="1"/>
    <col min="10499" max="10499" width="0.875" style="1518" customWidth="1"/>
    <col min="10500" max="10500" width="11.125" style="1518" customWidth="1"/>
    <col min="10501" max="10501" width="1.25" style="1518" customWidth="1"/>
    <col min="10502" max="10502" width="12.125" style="1518" customWidth="1"/>
    <col min="10503" max="10503" width="8.125" style="1518" customWidth="1"/>
    <col min="10504" max="10504" width="9.125" style="1518" customWidth="1"/>
    <col min="10505" max="10505" width="9.625" style="1518" customWidth="1"/>
    <col min="10506" max="10507" width="10.75" style="1518" customWidth="1"/>
    <col min="10508" max="10508" width="1.25" style="1518" customWidth="1"/>
    <col min="10509" max="10509" width="11.75" style="1518" customWidth="1"/>
    <col min="10510" max="10510" width="1" style="1518" customWidth="1"/>
    <col min="10511" max="10511" width="9.375" style="1518" customWidth="1"/>
    <col min="10512" max="10752" width="7.75" style="1518"/>
    <col min="10753" max="10753" width="7.875" style="1518" customWidth="1"/>
    <col min="10754" max="10754" width="9" style="1518" customWidth="1"/>
    <col min="10755" max="10755" width="0.875" style="1518" customWidth="1"/>
    <col min="10756" max="10756" width="11.125" style="1518" customWidth="1"/>
    <col min="10757" max="10757" width="1.25" style="1518" customWidth="1"/>
    <col min="10758" max="10758" width="12.125" style="1518" customWidth="1"/>
    <col min="10759" max="10759" width="8.125" style="1518" customWidth="1"/>
    <col min="10760" max="10760" width="9.125" style="1518" customWidth="1"/>
    <col min="10761" max="10761" width="9.625" style="1518" customWidth="1"/>
    <col min="10762" max="10763" width="10.75" style="1518" customWidth="1"/>
    <col min="10764" max="10764" width="1.25" style="1518" customWidth="1"/>
    <col min="10765" max="10765" width="11.75" style="1518" customWidth="1"/>
    <col min="10766" max="10766" width="1" style="1518" customWidth="1"/>
    <col min="10767" max="10767" width="9.375" style="1518" customWidth="1"/>
    <col min="10768" max="11008" width="7.75" style="1518"/>
    <col min="11009" max="11009" width="7.875" style="1518" customWidth="1"/>
    <col min="11010" max="11010" width="9" style="1518" customWidth="1"/>
    <col min="11011" max="11011" width="0.875" style="1518" customWidth="1"/>
    <col min="11012" max="11012" width="11.125" style="1518" customWidth="1"/>
    <col min="11013" max="11013" width="1.25" style="1518" customWidth="1"/>
    <col min="11014" max="11014" width="12.125" style="1518" customWidth="1"/>
    <col min="11015" max="11015" width="8.125" style="1518" customWidth="1"/>
    <col min="11016" max="11016" width="9.125" style="1518" customWidth="1"/>
    <col min="11017" max="11017" width="9.625" style="1518" customWidth="1"/>
    <col min="11018" max="11019" width="10.75" style="1518" customWidth="1"/>
    <col min="11020" max="11020" width="1.25" style="1518" customWidth="1"/>
    <col min="11021" max="11021" width="11.75" style="1518" customWidth="1"/>
    <col min="11022" max="11022" width="1" style="1518" customWidth="1"/>
    <col min="11023" max="11023" width="9.375" style="1518" customWidth="1"/>
    <col min="11024" max="11264" width="7.75" style="1518"/>
    <col min="11265" max="11265" width="7.875" style="1518" customWidth="1"/>
    <col min="11266" max="11266" width="9" style="1518" customWidth="1"/>
    <col min="11267" max="11267" width="0.875" style="1518" customWidth="1"/>
    <col min="11268" max="11268" width="11.125" style="1518" customWidth="1"/>
    <col min="11269" max="11269" width="1.25" style="1518" customWidth="1"/>
    <col min="11270" max="11270" width="12.125" style="1518" customWidth="1"/>
    <col min="11271" max="11271" width="8.125" style="1518" customWidth="1"/>
    <col min="11272" max="11272" width="9.125" style="1518" customWidth="1"/>
    <col min="11273" max="11273" width="9.625" style="1518" customWidth="1"/>
    <col min="11274" max="11275" width="10.75" style="1518" customWidth="1"/>
    <col min="11276" max="11276" width="1.25" style="1518" customWidth="1"/>
    <col min="11277" max="11277" width="11.75" style="1518" customWidth="1"/>
    <col min="11278" max="11278" width="1" style="1518" customWidth="1"/>
    <col min="11279" max="11279" width="9.375" style="1518" customWidth="1"/>
    <col min="11280" max="11520" width="7.75" style="1518"/>
    <col min="11521" max="11521" width="7.875" style="1518" customWidth="1"/>
    <col min="11522" max="11522" width="9" style="1518" customWidth="1"/>
    <col min="11523" max="11523" width="0.875" style="1518" customWidth="1"/>
    <col min="11524" max="11524" width="11.125" style="1518" customWidth="1"/>
    <col min="11525" max="11525" width="1.25" style="1518" customWidth="1"/>
    <col min="11526" max="11526" width="12.125" style="1518" customWidth="1"/>
    <col min="11527" max="11527" width="8.125" style="1518" customWidth="1"/>
    <col min="11528" max="11528" width="9.125" style="1518" customWidth="1"/>
    <col min="11529" max="11529" width="9.625" style="1518" customWidth="1"/>
    <col min="11530" max="11531" width="10.75" style="1518" customWidth="1"/>
    <col min="11532" max="11532" width="1.25" style="1518" customWidth="1"/>
    <col min="11533" max="11533" width="11.75" style="1518" customWidth="1"/>
    <col min="11534" max="11534" width="1" style="1518" customWidth="1"/>
    <col min="11535" max="11535" width="9.375" style="1518" customWidth="1"/>
    <col min="11536" max="11776" width="7.75" style="1518"/>
    <col min="11777" max="11777" width="7.875" style="1518" customWidth="1"/>
    <col min="11778" max="11778" width="9" style="1518" customWidth="1"/>
    <col min="11779" max="11779" width="0.875" style="1518" customWidth="1"/>
    <col min="11780" max="11780" width="11.125" style="1518" customWidth="1"/>
    <col min="11781" max="11781" width="1.25" style="1518" customWidth="1"/>
    <col min="11782" max="11782" width="12.125" style="1518" customWidth="1"/>
    <col min="11783" max="11783" width="8.125" style="1518" customWidth="1"/>
    <col min="11784" max="11784" width="9.125" style="1518" customWidth="1"/>
    <col min="11785" max="11785" width="9.625" style="1518" customWidth="1"/>
    <col min="11786" max="11787" width="10.75" style="1518" customWidth="1"/>
    <col min="11788" max="11788" width="1.25" style="1518" customWidth="1"/>
    <col min="11789" max="11789" width="11.75" style="1518" customWidth="1"/>
    <col min="11790" max="11790" width="1" style="1518" customWidth="1"/>
    <col min="11791" max="11791" width="9.375" style="1518" customWidth="1"/>
    <col min="11792" max="12032" width="7.75" style="1518"/>
    <col min="12033" max="12033" width="7.875" style="1518" customWidth="1"/>
    <col min="12034" max="12034" width="9" style="1518" customWidth="1"/>
    <col min="12035" max="12035" width="0.875" style="1518" customWidth="1"/>
    <col min="12036" max="12036" width="11.125" style="1518" customWidth="1"/>
    <col min="12037" max="12037" width="1.25" style="1518" customWidth="1"/>
    <col min="12038" max="12038" width="12.125" style="1518" customWidth="1"/>
    <col min="12039" max="12039" width="8.125" style="1518" customWidth="1"/>
    <col min="12040" max="12040" width="9.125" style="1518" customWidth="1"/>
    <col min="12041" max="12041" width="9.625" style="1518" customWidth="1"/>
    <col min="12042" max="12043" width="10.75" style="1518" customWidth="1"/>
    <col min="12044" max="12044" width="1.25" style="1518" customWidth="1"/>
    <col min="12045" max="12045" width="11.75" style="1518" customWidth="1"/>
    <col min="12046" max="12046" width="1" style="1518" customWidth="1"/>
    <col min="12047" max="12047" width="9.375" style="1518" customWidth="1"/>
    <col min="12048" max="12288" width="7.75" style="1518"/>
    <col min="12289" max="12289" width="7.875" style="1518" customWidth="1"/>
    <col min="12290" max="12290" width="9" style="1518" customWidth="1"/>
    <col min="12291" max="12291" width="0.875" style="1518" customWidth="1"/>
    <col min="12292" max="12292" width="11.125" style="1518" customWidth="1"/>
    <col min="12293" max="12293" width="1.25" style="1518" customWidth="1"/>
    <col min="12294" max="12294" width="12.125" style="1518" customWidth="1"/>
    <col min="12295" max="12295" width="8.125" style="1518" customWidth="1"/>
    <col min="12296" max="12296" width="9.125" style="1518" customWidth="1"/>
    <col min="12297" max="12297" width="9.625" style="1518" customWidth="1"/>
    <col min="12298" max="12299" width="10.75" style="1518" customWidth="1"/>
    <col min="12300" max="12300" width="1.25" style="1518" customWidth="1"/>
    <col min="12301" max="12301" width="11.75" style="1518" customWidth="1"/>
    <col min="12302" max="12302" width="1" style="1518" customWidth="1"/>
    <col min="12303" max="12303" width="9.375" style="1518" customWidth="1"/>
    <col min="12304" max="12544" width="7.75" style="1518"/>
    <col min="12545" max="12545" width="7.875" style="1518" customWidth="1"/>
    <col min="12546" max="12546" width="9" style="1518" customWidth="1"/>
    <col min="12547" max="12547" width="0.875" style="1518" customWidth="1"/>
    <col min="12548" max="12548" width="11.125" style="1518" customWidth="1"/>
    <col min="12549" max="12549" width="1.25" style="1518" customWidth="1"/>
    <col min="12550" max="12550" width="12.125" style="1518" customWidth="1"/>
    <col min="12551" max="12551" width="8.125" style="1518" customWidth="1"/>
    <col min="12552" max="12552" width="9.125" style="1518" customWidth="1"/>
    <col min="12553" max="12553" width="9.625" style="1518" customWidth="1"/>
    <col min="12554" max="12555" width="10.75" style="1518" customWidth="1"/>
    <col min="12556" max="12556" width="1.25" style="1518" customWidth="1"/>
    <col min="12557" max="12557" width="11.75" style="1518" customWidth="1"/>
    <col min="12558" max="12558" width="1" style="1518" customWidth="1"/>
    <col min="12559" max="12559" width="9.375" style="1518" customWidth="1"/>
    <col min="12560" max="12800" width="7.75" style="1518"/>
    <col min="12801" max="12801" width="7.875" style="1518" customWidth="1"/>
    <col min="12802" max="12802" width="9" style="1518" customWidth="1"/>
    <col min="12803" max="12803" width="0.875" style="1518" customWidth="1"/>
    <col min="12804" max="12804" width="11.125" style="1518" customWidth="1"/>
    <col min="12805" max="12805" width="1.25" style="1518" customWidth="1"/>
    <col min="12806" max="12806" width="12.125" style="1518" customWidth="1"/>
    <col min="12807" max="12807" width="8.125" style="1518" customWidth="1"/>
    <col min="12808" max="12808" width="9.125" style="1518" customWidth="1"/>
    <col min="12809" max="12809" width="9.625" style="1518" customWidth="1"/>
    <col min="12810" max="12811" width="10.75" style="1518" customWidth="1"/>
    <col min="12812" max="12812" width="1.25" style="1518" customWidth="1"/>
    <col min="12813" max="12813" width="11.75" style="1518" customWidth="1"/>
    <col min="12814" max="12814" width="1" style="1518" customWidth="1"/>
    <col min="12815" max="12815" width="9.375" style="1518" customWidth="1"/>
    <col min="12816" max="13056" width="7.75" style="1518"/>
    <col min="13057" max="13057" width="7.875" style="1518" customWidth="1"/>
    <col min="13058" max="13058" width="9" style="1518" customWidth="1"/>
    <col min="13059" max="13059" width="0.875" style="1518" customWidth="1"/>
    <col min="13060" max="13060" width="11.125" style="1518" customWidth="1"/>
    <col min="13061" max="13061" width="1.25" style="1518" customWidth="1"/>
    <col min="13062" max="13062" width="12.125" style="1518" customWidth="1"/>
    <col min="13063" max="13063" width="8.125" style="1518" customWidth="1"/>
    <col min="13064" max="13064" width="9.125" style="1518" customWidth="1"/>
    <col min="13065" max="13065" width="9.625" style="1518" customWidth="1"/>
    <col min="13066" max="13067" width="10.75" style="1518" customWidth="1"/>
    <col min="13068" max="13068" width="1.25" style="1518" customWidth="1"/>
    <col min="13069" max="13069" width="11.75" style="1518" customWidth="1"/>
    <col min="13070" max="13070" width="1" style="1518" customWidth="1"/>
    <col min="13071" max="13071" width="9.375" style="1518" customWidth="1"/>
    <col min="13072" max="13312" width="7.75" style="1518"/>
    <col min="13313" max="13313" width="7.875" style="1518" customWidth="1"/>
    <col min="13314" max="13314" width="9" style="1518" customWidth="1"/>
    <col min="13315" max="13315" width="0.875" style="1518" customWidth="1"/>
    <col min="13316" max="13316" width="11.125" style="1518" customWidth="1"/>
    <col min="13317" max="13317" width="1.25" style="1518" customWidth="1"/>
    <col min="13318" max="13318" width="12.125" style="1518" customWidth="1"/>
    <col min="13319" max="13319" width="8.125" style="1518" customWidth="1"/>
    <col min="13320" max="13320" width="9.125" style="1518" customWidth="1"/>
    <col min="13321" max="13321" width="9.625" style="1518" customWidth="1"/>
    <col min="13322" max="13323" width="10.75" style="1518" customWidth="1"/>
    <col min="13324" max="13324" width="1.25" style="1518" customWidth="1"/>
    <col min="13325" max="13325" width="11.75" style="1518" customWidth="1"/>
    <col min="13326" max="13326" width="1" style="1518" customWidth="1"/>
    <col min="13327" max="13327" width="9.375" style="1518" customWidth="1"/>
    <col min="13328" max="13568" width="7.75" style="1518"/>
    <col min="13569" max="13569" width="7.875" style="1518" customWidth="1"/>
    <col min="13570" max="13570" width="9" style="1518" customWidth="1"/>
    <col min="13571" max="13571" width="0.875" style="1518" customWidth="1"/>
    <col min="13572" max="13572" width="11.125" style="1518" customWidth="1"/>
    <col min="13573" max="13573" width="1.25" style="1518" customWidth="1"/>
    <col min="13574" max="13574" width="12.125" style="1518" customWidth="1"/>
    <col min="13575" max="13575" width="8.125" style="1518" customWidth="1"/>
    <col min="13576" max="13576" width="9.125" style="1518" customWidth="1"/>
    <col min="13577" max="13577" width="9.625" style="1518" customWidth="1"/>
    <col min="13578" max="13579" width="10.75" style="1518" customWidth="1"/>
    <col min="13580" max="13580" width="1.25" style="1518" customWidth="1"/>
    <col min="13581" max="13581" width="11.75" style="1518" customWidth="1"/>
    <col min="13582" max="13582" width="1" style="1518" customWidth="1"/>
    <col min="13583" max="13583" width="9.375" style="1518" customWidth="1"/>
    <col min="13584" max="13824" width="7.75" style="1518"/>
    <col min="13825" max="13825" width="7.875" style="1518" customWidth="1"/>
    <col min="13826" max="13826" width="9" style="1518" customWidth="1"/>
    <col min="13827" max="13827" width="0.875" style="1518" customWidth="1"/>
    <col min="13828" max="13828" width="11.125" style="1518" customWidth="1"/>
    <col min="13829" max="13829" width="1.25" style="1518" customWidth="1"/>
    <col min="13830" max="13830" width="12.125" style="1518" customWidth="1"/>
    <col min="13831" max="13831" width="8.125" style="1518" customWidth="1"/>
    <col min="13832" max="13832" width="9.125" style="1518" customWidth="1"/>
    <col min="13833" max="13833" width="9.625" style="1518" customWidth="1"/>
    <col min="13834" max="13835" width="10.75" style="1518" customWidth="1"/>
    <col min="13836" max="13836" width="1.25" style="1518" customWidth="1"/>
    <col min="13837" max="13837" width="11.75" style="1518" customWidth="1"/>
    <col min="13838" max="13838" width="1" style="1518" customWidth="1"/>
    <col min="13839" max="13839" width="9.375" style="1518" customWidth="1"/>
    <col min="13840" max="14080" width="7.75" style="1518"/>
    <col min="14081" max="14081" width="7.875" style="1518" customWidth="1"/>
    <col min="14082" max="14082" width="9" style="1518" customWidth="1"/>
    <col min="14083" max="14083" width="0.875" style="1518" customWidth="1"/>
    <col min="14084" max="14084" width="11.125" style="1518" customWidth="1"/>
    <col min="14085" max="14085" width="1.25" style="1518" customWidth="1"/>
    <col min="14086" max="14086" width="12.125" style="1518" customWidth="1"/>
    <col min="14087" max="14087" width="8.125" style="1518" customWidth="1"/>
    <col min="14088" max="14088" width="9.125" style="1518" customWidth="1"/>
    <col min="14089" max="14089" width="9.625" style="1518" customWidth="1"/>
    <col min="14090" max="14091" width="10.75" style="1518" customWidth="1"/>
    <col min="14092" max="14092" width="1.25" style="1518" customWidth="1"/>
    <col min="14093" max="14093" width="11.75" style="1518" customWidth="1"/>
    <col min="14094" max="14094" width="1" style="1518" customWidth="1"/>
    <col min="14095" max="14095" width="9.375" style="1518" customWidth="1"/>
    <col min="14096" max="14336" width="7.75" style="1518"/>
    <col min="14337" max="14337" width="7.875" style="1518" customWidth="1"/>
    <col min="14338" max="14338" width="9" style="1518" customWidth="1"/>
    <col min="14339" max="14339" width="0.875" style="1518" customWidth="1"/>
    <col min="14340" max="14340" width="11.125" style="1518" customWidth="1"/>
    <col min="14341" max="14341" width="1.25" style="1518" customWidth="1"/>
    <col min="14342" max="14342" width="12.125" style="1518" customWidth="1"/>
    <col min="14343" max="14343" width="8.125" style="1518" customWidth="1"/>
    <col min="14344" max="14344" width="9.125" style="1518" customWidth="1"/>
    <col min="14345" max="14345" width="9.625" style="1518" customWidth="1"/>
    <col min="14346" max="14347" width="10.75" style="1518" customWidth="1"/>
    <col min="14348" max="14348" width="1.25" style="1518" customWidth="1"/>
    <col min="14349" max="14349" width="11.75" style="1518" customWidth="1"/>
    <col min="14350" max="14350" width="1" style="1518" customWidth="1"/>
    <col min="14351" max="14351" width="9.375" style="1518" customWidth="1"/>
    <col min="14352" max="14592" width="7.75" style="1518"/>
    <col min="14593" max="14593" width="7.875" style="1518" customWidth="1"/>
    <col min="14594" max="14594" width="9" style="1518" customWidth="1"/>
    <col min="14595" max="14595" width="0.875" style="1518" customWidth="1"/>
    <col min="14596" max="14596" width="11.125" style="1518" customWidth="1"/>
    <col min="14597" max="14597" width="1.25" style="1518" customWidth="1"/>
    <col min="14598" max="14598" width="12.125" style="1518" customWidth="1"/>
    <col min="14599" max="14599" width="8.125" style="1518" customWidth="1"/>
    <col min="14600" max="14600" width="9.125" style="1518" customWidth="1"/>
    <col min="14601" max="14601" width="9.625" style="1518" customWidth="1"/>
    <col min="14602" max="14603" width="10.75" style="1518" customWidth="1"/>
    <col min="14604" max="14604" width="1.25" style="1518" customWidth="1"/>
    <col min="14605" max="14605" width="11.75" style="1518" customWidth="1"/>
    <col min="14606" max="14606" width="1" style="1518" customWidth="1"/>
    <col min="14607" max="14607" width="9.375" style="1518" customWidth="1"/>
    <col min="14608" max="14848" width="7.75" style="1518"/>
    <col min="14849" max="14849" width="7.875" style="1518" customWidth="1"/>
    <col min="14850" max="14850" width="9" style="1518" customWidth="1"/>
    <col min="14851" max="14851" width="0.875" style="1518" customWidth="1"/>
    <col min="14852" max="14852" width="11.125" style="1518" customWidth="1"/>
    <col min="14853" max="14853" width="1.25" style="1518" customWidth="1"/>
    <col min="14854" max="14854" width="12.125" style="1518" customWidth="1"/>
    <col min="14855" max="14855" width="8.125" style="1518" customWidth="1"/>
    <col min="14856" max="14856" width="9.125" style="1518" customWidth="1"/>
    <col min="14857" max="14857" width="9.625" style="1518" customWidth="1"/>
    <col min="14858" max="14859" width="10.75" style="1518" customWidth="1"/>
    <col min="14860" max="14860" width="1.25" style="1518" customWidth="1"/>
    <col min="14861" max="14861" width="11.75" style="1518" customWidth="1"/>
    <col min="14862" max="14862" width="1" style="1518" customWidth="1"/>
    <col min="14863" max="14863" width="9.375" style="1518" customWidth="1"/>
    <col min="14864" max="15104" width="7.75" style="1518"/>
    <col min="15105" max="15105" width="7.875" style="1518" customWidth="1"/>
    <col min="15106" max="15106" width="9" style="1518" customWidth="1"/>
    <col min="15107" max="15107" width="0.875" style="1518" customWidth="1"/>
    <col min="15108" max="15108" width="11.125" style="1518" customWidth="1"/>
    <col min="15109" max="15109" width="1.25" style="1518" customWidth="1"/>
    <col min="15110" max="15110" width="12.125" style="1518" customWidth="1"/>
    <col min="15111" max="15111" width="8.125" style="1518" customWidth="1"/>
    <col min="15112" max="15112" width="9.125" style="1518" customWidth="1"/>
    <col min="15113" max="15113" width="9.625" style="1518" customWidth="1"/>
    <col min="15114" max="15115" width="10.75" style="1518" customWidth="1"/>
    <col min="15116" max="15116" width="1.25" style="1518" customWidth="1"/>
    <col min="15117" max="15117" width="11.75" style="1518" customWidth="1"/>
    <col min="15118" max="15118" width="1" style="1518" customWidth="1"/>
    <col min="15119" max="15119" width="9.375" style="1518" customWidth="1"/>
    <col min="15120" max="15360" width="7.75" style="1518"/>
    <col min="15361" max="15361" width="7.875" style="1518" customWidth="1"/>
    <col min="15362" max="15362" width="9" style="1518" customWidth="1"/>
    <col min="15363" max="15363" width="0.875" style="1518" customWidth="1"/>
    <col min="15364" max="15364" width="11.125" style="1518" customWidth="1"/>
    <col min="15365" max="15365" width="1.25" style="1518" customWidth="1"/>
    <col min="15366" max="15366" width="12.125" style="1518" customWidth="1"/>
    <col min="15367" max="15367" width="8.125" style="1518" customWidth="1"/>
    <col min="15368" max="15368" width="9.125" style="1518" customWidth="1"/>
    <col min="15369" max="15369" width="9.625" style="1518" customWidth="1"/>
    <col min="15370" max="15371" width="10.75" style="1518" customWidth="1"/>
    <col min="15372" max="15372" width="1.25" style="1518" customWidth="1"/>
    <col min="15373" max="15373" width="11.75" style="1518" customWidth="1"/>
    <col min="15374" max="15374" width="1" style="1518" customWidth="1"/>
    <col min="15375" max="15375" width="9.375" style="1518" customWidth="1"/>
    <col min="15376" max="15616" width="7.75" style="1518"/>
    <col min="15617" max="15617" width="7.875" style="1518" customWidth="1"/>
    <col min="15618" max="15618" width="9" style="1518" customWidth="1"/>
    <col min="15619" max="15619" width="0.875" style="1518" customWidth="1"/>
    <col min="15620" max="15620" width="11.125" style="1518" customWidth="1"/>
    <col min="15621" max="15621" width="1.25" style="1518" customWidth="1"/>
    <col min="15622" max="15622" width="12.125" style="1518" customWidth="1"/>
    <col min="15623" max="15623" width="8.125" style="1518" customWidth="1"/>
    <col min="15624" max="15624" width="9.125" style="1518" customWidth="1"/>
    <col min="15625" max="15625" width="9.625" style="1518" customWidth="1"/>
    <col min="15626" max="15627" width="10.75" style="1518" customWidth="1"/>
    <col min="15628" max="15628" width="1.25" style="1518" customWidth="1"/>
    <col min="15629" max="15629" width="11.75" style="1518" customWidth="1"/>
    <col min="15630" max="15630" width="1" style="1518" customWidth="1"/>
    <col min="15631" max="15631" width="9.375" style="1518" customWidth="1"/>
    <col min="15632" max="15872" width="7.75" style="1518"/>
    <col min="15873" max="15873" width="7.875" style="1518" customWidth="1"/>
    <col min="15874" max="15874" width="9" style="1518" customWidth="1"/>
    <col min="15875" max="15875" width="0.875" style="1518" customWidth="1"/>
    <col min="15876" max="15876" width="11.125" style="1518" customWidth="1"/>
    <col min="15877" max="15877" width="1.25" style="1518" customWidth="1"/>
    <col min="15878" max="15878" width="12.125" style="1518" customWidth="1"/>
    <col min="15879" max="15879" width="8.125" style="1518" customWidth="1"/>
    <col min="15880" max="15880" width="9.125" style="1518" customWidth="1"/>
    <col min="15881" max="15881" width="9.625" style="1518" customWidth="1"/>
    <col min="15882" max="15883" width="10.75" style="1518" customWidth="1"/>
    <col min="15884" max="15884" width="1.25" style="1518" customWidth="1"/>
    <col min="15885" max="15885" width="11.75" style="1518" customWidth="1"/>
    <col min="15886" max="15886" width="1" style="1518" customWidth="1"/>
    <col min="15887" max="15887" width="9.375" style="1518" customWidth="1"/>
    <col min="15888" max="16128" width="7.75" style="1518"/>
    <col min="16129" max="16129" width="7.875" style="1518" customWidth="1"/>
    <col min="16130" max="16130" width="9" style="1518" customWidth="1"/>
    <col min="16131" max="16131" width="0.875" style="1518" customWidth="1"/>
    <col min="16132" max="16132" width="11.125" style="1518" customWidth="1"/>
    <col min="16133" max="16133" width="1.25" style="1518" customWidth="1"/>
    <col min="16134" max="16134" width="12.125" style="1518" customWidth="1"/>
    <col min="16135" max="16135" width="8.125" style="1518" customWidth="1"/>
    <col min="16136" max="16136" width="9.125" style="1518" customWidth="1"/>
    <col min="16137" max="16137" width="9.625" style="1518" customWidth="1"/>
    <col min="16138" max="16139" width="10.75" style="1518" customWidth="1"/>
    <col min="16140" max="16140" width="1.25" style="1518" customWidth="1"/>
    <col min="16141" max="16141" width="11.75" style="1518" customWidth="1"/>
    <col min="16142" max="16142" width="1" style="1518" customWidth="1"/>
    <col min="16143" max="16143" width="9.375" style="1518" customWidth="1"/>
    <col min="16144" max="16384" width="7.75" style="1518"/>
  </cols>
  <sheetData>
    <row r="2" spans="1:41" ht="16.5" customHeight="1">
      <c r="A2" s="1558"/>
      <c r="B2" s="1557"/>
      <c r="C2" s="1557"/>
      <c r="D2" s="1557"/>
      <c r="E2" s="1557"/>
      <c r="F2" s="1557"/>
      <c r="G2" s="1557"/>
      <c r="H2" s="2841" t="s">
        <v>206</v>
      </c>
      <c r="I2" s="4564" t="str">
        <f>Details!B4</f>
        <v xml:space="preserve">PT Itamatra Nusantara </v>
      </c>
      <c r="J2" s="4564"/>
      <c r="K2" s="4564"/>
      <c r="L2" s="4564"/>
      <c r="M2" s="4564"/>
      <c r="N2" s="4564"/>
      <c r="O2" s="4564"/>
      <c r="S2" s="1567"/>
      <c r="AI2" s="1567"/>
    </row>
    <row r="3" spans="1:41" ht="16.5" customHeight="1">
      <c r="A3" s="1526"/>
      <c r="H3" s="2842" t="s">
        <v>82</v>
      </c>
      <c r="I3" s="4565" t="str">
        <f>Details!B8</f>
        <v>hidroplogi</v>
      </c>
      <c r="J3" s="4565"/>
      <c r="K3" s="4565"/>
      <c r="L3" s="4565"/>
      <c r="M3" s="4565"/>
      <c r="N3" s="4565"/>
      <c r="O3" s="4565"/>
      <c r="S3" s="1567"/>
      <c r="AI3" s="1567"/>
    </row>
    <row r="4" spans="1:41" ht="16.5" customHeight="1">
      <c r="A4" s="1526"/>
      <c r="H4" s="2842" t="s">
        <v>77</v>
      </c>
      <c r="I4" s="4566" t="str">
        <f>Details!B3</f>
        <v>PO-GQT-19</v>
      </c>
      <c r="J4" s="4566"/>
      <c r="K4" s="4569" t="s">
        <v>76</v>
      </c>
      <c r="L4" s="4569"/>
      <c r="M4" s="4568">
        <f>Details!B35</f>
        <v>46223</v>
      </c>
      <c r="N4" s="4568"/>
      <c r="O4" s="4568"/>
      <c r="S4" s="1552"/>
      <c r="Y4" s="1566"/>
      <c r="AI4" s="1552"/>
      <c r="AO4" s="1566"/>
    </row>
    <row r="5" spans="1:41" ht="16.5" customHeight="1">
      <c r="A5" s="1526"/>
      <c r="H5" s="1528" t="s">
        <v>75</v>
      </c>
      <c r="I5" s="4567" t="str">
        <f>Details!B22</f>
        <v>AS Sumartadji</v>
      </c>
      <c r="J5" s="4567"/>
      <c r="K5" s="4570" t="s">
        <v>74</v>
      </c>
      <c r="L5" s="4570"/>
      <c r="M5" s="4567" t="str">
        <f>Details!B22</f>
        <v>AS Sumartadji</v>
      </c>
      <c r="N5" s="4567"/>
      <c r="O5" s="4567"/>
      <c r="S5" s="1552"/>
      <c r="Y5" s="1552"/>
      <c r="AI5" s="1552"/>
      <c r="AO5" s="1552"/>
    </row>
    <row r="6" spans="1:41" ht="16.5" customHeight="1">
      <c r="A6" s="1564"/>
      <c r="B6" s="1563"/>
      <c r="C6" s="1563"/>
      <c r="D6" s="1563"/>
      <c r="E6" s="1563"/>
      <c r="F6" s="1563"/>
      <c r="G6" s="1563"/>
      <c r="H6" s="1563"/>
      <c r="I6" s="1563"/>
      <c r="J6" s="1563"/>
      <c r="K6" s="1563"/>
      <c r="L6" s="1563"/>
      <c r="M6" s="1563"/>
      <c r="N6" s="1563"/>
      <c r="O6" s="1612"/>
      <c r="S6" s="1519"/>
      <c r="U6" s="1519"/>
      <c r="W6" s="1519"/>
      <c r="X6" s="1519"/>
      <c r="Y6" s="1519"/>
      <c r="AA6" s="1519"/>
      <c r="AB6" s="1519"/>
      <c r="AC6" s="1519"/>
      <c r="AD6" s="1519"/>
      <c r="AE6" s="1519"/>
      <c r="AF6" s="1519"/>
      <c r="AG6" s="1519"/>
      <c r="AH6" s="1519"/>
      <c r="AI6" s="1519"/>
      <c r="AJ6" s="1519"/>
      <c r="AK6" s="1519"/>
      <c r="AL6" s="1519"/>
      <c r="AM6" s="1519"/>
      <c r="AN6" s="1519"/>
      <c r="AO6" s="1519"/>
    </row>
    <row r="7" spans="1:41" ht="16.5" customHeight="1">
      <c r="A7" s="1532" t="s">
        <v>945</v>
      </c>
      <c r="B7" s="1529"/>
      <c r="C7" s="1529"/>
      <c r="D7" s="1529"/>
      <c r="E7" s="1529"/>
      <c r="F7" s="1529"/>
      <c r="G7" s="1530"/>
      <c r="H7" s="1530"/>
      <c r="I7" s="1529"/>
      <c r="J7" s="1529"/>
      <c r="K7" s="1529"/>
      <c r="L7" s="1529"/>
      <c r="M7" s="1529"/>
      <c r="N7" s="1529"/>
      <c r="O7" s="1588"/>
      <c r="Q7" s="1555"/>
      <c r="S7" s="1529"/>
      <c r="U7" s="1529"/>
      <c r="W7" s="1529"/>
      <c r="X7" s="1529"/>
      <c r="Y7" s="1529"/>
      <c r="AA7" s="1530"/>
      <c r="AB7" s="1529"/>
      <c r="AC7" s="1529"/>
      <c r="AD7" s="1529"/>
      <c r="AE7" s="1529"/>
      <c r="AF7" s="1530"/>
      <c r="AG7" s="1530"/>
      <c r="AH7" s="1529"/>
      <c r="AI7" s="1529"/>
      <c r="AJ7" s="1529"/>
      <c r="AK7" s="1529"/>
      <c r="AL7" s="1529"/>
      <c r="AM7" s="1529"/>
      <c r="AN7" s="1529"/>
      <c r="AO7" s="1529"/>
    </row>
    <row r="8" spans="1:41" ht="16.5" customHeight="1">
      <c r="A8" s="1562"/>
      <c r="B8" s="1529"/>
      <c r="C8" s="1529"/>
      <c r="D8" s="1529"/>
      <c r="E8" s="1529"/>
      <c r="F8" s="1529"/>
      <c r="G8" s="1529"/>
      <c r="H8" s="1529"/>
      <c r="I8" s="1529"/>
      <c r="J8" s="1529"/>
      <c r="K8" s="1529"/>
      <c r="L8" s="1529"/>
      <c r="M8" s="1529"/>
      <c r="N8" s="1529"/>
      <c r="O8" s="1588"/>
      <c r="S8" s="1529"/>
      <c r="U8" s="1529"/>
      <c r="W8" s="1529"/>
      <c r="X8" s="1529"/>
      <c r="Y8" s="1529"/>
      <c r="AA8" s="1561"/>
      <c r="AB8" s="1529"/>
      <c r="AC8" s="1529"/>
      <c r="AD8" s="1529"/>
      <c r="AE8" s="1529"/>
      <c r="AF8" s="1529"/>
      <c r="AG8" s="1529"/>
      <c r="AH8" s="1529"/>
      <c r="AI8" s="1529"/>
      <c r="AJ8" s="1529"/>
      <c r="AK8" s="1529"/>
      <c r="AL8" s="1529"/>
      <c r="AM8" s="1529"/>
      <c r="AN8" s="1529"/>
      <c r="AO8" s="1529"/>
    </row>
    <row r="9" spans="1:41" ht="16.5" customHeight="1">
      <c r="A9" s="1526"/>
      <c r="B9" s="1518" t="s">
        <v>208</v>
      </c>
      <c r="C9" s="1518" t="s">
        <v>27</v>
      </c>
      <c r="D9" s="1560" t="str">
        <f>Details!B9</f>
        <v>Morowali Utara</v>
      </c>
      <c r="E9" s="1559"/>
      <c r="J9" s="1518" t="s">
        <v>944</v>
      </c>
      <c r="L9" s="1518" t="s">
        <v>27</v>
      </c>
      <c r="M9" s="1560" t="str">
        <f>Details!B16</f>
        <v>Undisturbed Sample / UDS</v>
      </c>
      <c r="N9" s="1552"/>
      <c r="O9" s="1525"/>
      <c r="X9" s="1552"/>
      <c r="AN9" s="1552"/>
    </row>
    <row r="10" spans="1:41" ht="16.5" customHeight="1">
      <c r="A10" s="1526"/>
      <c r="B10" s="1518" t="s">
        <v>943</v>
      </c>
      <c r="C10" s="1518" t="s">
        <v>27</v>
      </c>
      <c r="D10" s="1560" t="str">
        <f>Details!B1</f>
        <v>BH-05_UDS-01</v>
      </c>
      <c r="E10" s="1559"/>
      <c r="F10" s="1552"/>
      <c r="J10" s="1518" t="s">
        <v>942</v>
      </c>
      <c r="L10" s="1518" t="s">
        <v>27</v>
      </c>
      <c r="M10" s="1560" t="str">
        <f>Details!B14</f>
        <v>silty CLAY with sand</v>
      </c>
      <c r="O10" s="1525"/>
      <c r="AE10" s="1552"/>
    </row>
    <row r="11" spans="1:41" ht="16.5" customHeight="1">
      <c r="A11" s="1526"/>
      <c r="B11" s="1518" t="s">
        <v>210</v>
      </c>
      <c r="C11" s="1518" t="s">
        <v>27</v>
      </c>
      <c r="D11" s="1560" t="str">
        <f>Details!B13</f>
        <v>0,00-0,50</v>
      </c>
      <c r="E11" s="1559"/>
      <c r="F11" s="1552" t="s">
        <v>68</v>
      </c>
      <c r="J11" s="1519" t="s">
        <v>941</v>
      </c>
      <c r="K11" s="1519"/>
      <c r="L11" s="1519" t="s">
        <v>27</v>
      </c>
      <c r="M11" s="1611"/>
      <c r="O11" s="1525"/>
      <c r="U11" s="1519"/>
      <c r="AE11" s="1552"/>
      <c r="AJ11" s="1519"/>
      <c r="AK11" s="1519"/>
      <c r="AL11" s="1519"/>
    </row>
    <row r="12" spans="1:41" ht="16.5" customHeight="1">
      <c r="A12" s="1526"/>
      <c r="M12" s="1529"/>
      <c r="N12" s="1529"/>
      <c r="O12" s="1525"/>
      <c r="U12" s="1529"/>
      <c r="AK12" s="1529"/>
      <c r="AL12" s="1529"/>
    </row>
    <row r="13" spans="1:41" ht="16.5" customHeight="1">
      <c r="A13" s="1526"/>
      <c r="B13" s="1548" t="s">
        <v>966</v>
      </c>
      <c r="M13" s="1529"/>
      <c r="N13" s="1529"/>
      <c r="O13" s="1525"/>
      <c r="U13" s="1529"/>
      <c r="AK13" s="1529"/>
      <c r="AL13" s="1529"/>
    </row>
    <row r="14" spans="1:41" ht="16.5" customHeight="1">
      <c r="A14" s="1526"/>
      <c r="M14" s="1529"/>
      <c r="N14" s="1529"/>
      <c r="O14" s="1525"/>
      <c r="U14" s="1529"/>
      <c r="AK14" s="1529"/>
      <c r="AL14" s="1529"/>
    </row>
    <row r="15" spans="1:41" ht="16.5" customHeight="1">
      <c r="A15" s="1526"/>
      <c r="B15" s="1518" t="s">
        <v>965</v>
      </c>
      <c r="E15" s="1518" t="s">
        <v>27</v>
      </c>
      <c r="F15" s="2819">
        <v>50</v>
      </c>
      <c r="G15" s="1518" t="s">
        <v>908</v>
      </c>
      <c r="M15" s="1529"/>
      <c r="N15" s="1529"/>
      <c r="O15" s="1525"/>
      <c r="U15" s="1529"/>
      <c r="AK15" s="1529"/>
      <c r="AL15" s="1529"/>
    </row>
    <row r="16" spans="1:41" ht="16.5" customHeight="1">
      <c r="A16" s="1526"/>
      <c r="B16" s="1518" t="s">
        <v>915</v>
      </c>
      <c r="E16" s="1518" t="s">
        <v>27</v>
      </c>
      <c r="F16" s="2819">
        <v>240</v>
      </c>
      <c r="G16" s="1518" t="s">
        <v>908</v>
      </c>
      <c r="M16" s="1529"/>
      <c r="N16" s="1529"/>
      <c r="O16" s="1525"/>
      <c r="U16" s="1529"/>
      <c r="AK16" s="1529"/>
      <c r="AL16" s="1529"/>
    </row>
    <row r="17" spans="1:38" ht="16.5" customHeight="1">
      <c r="A17" s="1526"/>
      <c r="B17" s="1518" t="s">
        <v>914</v>
      </c>
      <c r="E17" s="1518" t="s">
        <v>27</v>
      </c>
      <c r="F17" s="2819">
        <v>190</v>
      </c>
      <c r="G17" s="1518" t="s">
        <v>908</v>
      </c>
      <c r="M17" s="1529"/>
      <c r="N17" s="1529"/>
      <c r="O17" s="1525"/>
      <c r="U17" s="1529"/>
      <c r="AK17" s="1529"/>
      <c r="AL17" s="1529"/>
    </row>
    <row r="18" spans="1:38" ht="16.5" customHeight="1">
      <c r="A18" s="1526"/>
      <c r="B18" s="1518" t="s">
        <v>973</v>
      </c>
      <c r="E18" s="1518" t="s">
        <v>27</v>
      </c>
      <c r="F18" s="2834">
        <f>'CU_Multi Saturasi'!E41</f>
        <v>228.6</v>
      </c>
      <c r="G18" s="1518" t="s">
        <v>908</v>
      </c>
      <c r="M18" s="1529"/>
      <c r="N18" s="1529"/>
      <c r="O18" s="1525"/>
      <c r="U18" s="1529"/>
      <c r="AK18" s="1529"/>
      <c r="AL18" s="1529"/>
    </row>
    <row r="19" spans="1:38" ht="16.5" customHeight="1">
      <c r="A19" s="1526"/>
      <c r="B19" s="1518" t="s">
        <v>963</v>
      </c>
      <c r="E19" s="1518" t="s">
        <v>27</v>
      </c>
      <c r="F19" s="2834">
        <f>F18-F17</f>
        <v>38.599999999999994</v>
      </c>
      <c r="G19" s="1518" t="s">
        <v>908</v>
      </c>
      <c r="M19" s="1529"/>
      <c r="N19" s="1529"/>
      <c r="O19" s="1525"/>
      <c r="U19" s="1529"/>
      <c r="AK19" s="1529"/>
      <c r="AL19" s="1529"/>
    </row>
    <row r="20" spans="1:38" ht="16.5" customHeight="1">
      <c r="A20" s="1526"/>
      <c r="B20" s="1554" t="s">
        <v>970</v>
      </c>
      <c r="D20" s="1518" t="s">
        <v>972</v>
      </c>
      <c r="M20" s="1529"/>
      <c r="N20" s="1529"/>
      <c r="O20" s="1525"/>
      <c r="U20" s="1529"/>
      <c r="AK20" s="1529"/>
      <c r="AL20" s="1529"/>
    </row>
    <row r="21" spans="1:38" ht="16.5" customHeight="1">
      <c r="A21" s="1526"/>
      <c r="M21" s="1529"/>
      <c r="N21" s="1519"/>
      <c r="O21" s="1589"/>
      <c r="U21" s="1529"/>
      <c r="AK21" s="1529"/>
      <c r="AL21" s="1529"/>
    </row>
    <row r="22" spans="1:38" ht="16.5" customHeight="1">
      <c r="A22" s="1526"/>
      <c r="B22" s="1606" t="s">
        <v>76</v>
      </c>
      <c r="C22" s="1556"/>
      <c r="D22" s="1609" t="s">
        <v>962</v>
      </c>
      <c r="E22" s="1556"/>
      <c r="F22" s="1605" t="s">
        <v>16</v>
      </c>
      <c r="G22" s="1605"/>
      <c r="H22" s="4552" t="s">
        <v>961</v>
      </c>
      <c r="I22" s="4553"/>
      <c r="J22" s="4554" t="s">
        <v>913</v>
      </c>
      <c r="K22" s="4554"/>
      <c r="L22" s="4554"/>
      <c r="M22" s="4555"/>
      <c r="N22" s="1519"/>
      <c r="O22" s="1589"/>
      <c r="U22" s="1529"/>
      <c r="AK22" s="1529"/>
      <c r="AL22" s="1529"/>
    </row>
    <row r="23" spans="1:38" ht="16.5" customHeight="1">
      <c r="A23" s="1526"/>
      <c r="B23" s="1608"/>
      <c r="C23" s="1525"/>
      <c r="D23" s="1547"/>
      <c r="E23" s="1525"/>
      <c r="F23" s="1607" t="s">
        <v>10</v>
      </c>
      <c r="G23" s="1607" t="s">
        <v>10</v>
      </c>
      <c r="H23" s="1605" t="s">
        <v>960</v>
      </c>
      <c r="I23" s="1605" t="s">
        <v>905</v>
      </c>
      <c r="J23" s="1605" t="s">
        <v>15</v>
      </c>
      <c r="K23" s="1606" t="s">
        <v>905</v>
      </c>
      <c r="L23" s="1556"/>
      <c r="M23" s="1605" t="s">
        <v>959</v>
      </c>
      <c r="N23" s="1519"/>
      <c r="O23" s="1589"/>
      <c r="U23" s="1529"/>
      <c r="AK23" s="1529"/>
      <c r="AL23" s="1529"/>
    </row>
    <row r="24" spans="1:38" ht="16.5" customHeight="1">
      <c r="A24" s="1526"/>
      <c r="B24" s="1603"/>
      <c r="C24" s="1523"/>
      <c r="D24" s="1604"/>
      <c r="E24" s="1523"/>
      <c r="F24" s="1602" t="s">
        <v>958</v>
      </c>
      <c r="G24" s="1602"/>
      <c r="H24" s="1602"/>
      <c r="I24" s="1602" t="s">
        <v>563</v>
      </c>
      <c r="J24" s="1602" t="s">
        <v>908</v>
      </c>
      <c r="K24" s="1603" t="s">
        <v>908</v>
      </c>
      <c r="L24" s="1523"/>
      <c r="M24" s="1602" t="s">
        <v>1</v>
      </c>
      <c r="N24" s="1519"/>
      <c r="O24" s="1589"/>
      <c r="U24" s="1529"/>
      <c r="AK24" s="1529"/>
      <c r="AL24" s="1529"/>
    </row>
    <row r="25" spans="1:38" ht="16.5" customHeight="1">
      <c r="A25" s="1526"/>
      <c r="B25" s="1601">
        <f>N4</f>
        <v>0</v>
      </c>
      <c r="C25" s="1539"/>
      <c r="D25" s="1620">
        <v>0.33680555555555558</v>
      </c>
      <c r="E25" s="1539"/>
      <c r="F25" s="1599">
        <v>0</v>
      </c>
      <c r="G25" s="1538">
        <f t="shared" ref="G25:G38" si="0">SQRT(F25)</f>
        <v>0</v>
      </c>
      <c r="H25" s="1598">
        <v>36.9</v>
      </c>
      <c r="I25" s="1617">
        <v>0</v>
      </c>
      <c r="J25" s="2832">
        <f>F18</f>
        <v>228.6</v>
      </c>
      <c r="K25" s="1616">
        <v>0</v>
      </c>
      <c r="L25" s="1615"/>
      <c r="M25" s="1537">
        <f t="shared" ref="M25:M38" si="1">(K25/$F$19)*100</f>
        <v>0</v>
      </c>
      <c r="N25" s="1519"/>
      <c r="O25" s="1589"/>
      <c r="U25" s="1529"/>
      <c r="AK25" s="1529"/>
      <c r="AL25" s="1529"/>
    </row>
    <row r="26" spans="1:38" ht="16.5" customHeight="1">
      <c r="A26" s="1526"/>
      <c r="B26" s="1551"/>
      <c r="C26" s="1533"/>
      <c r="D26" s="1596">
        <v>0.33697916666666666</v>
      </c>
      <c r="E26" s="1533"/>
      <c r="F26" s="1595">
        <v>0.25</v>
      </c>
      <c r="G26" s="1535">
        <f t="shared" si="0"/>
        <v>0.5</v>
      </c>
      <c r="H26" s="1594">
        <v>36.6</v>
      </c>
      <c r="I26" s="1534">
        <f t="shared" ref="I26:I38" si="2">$H$25-H26</f>
        <v>0.29999999999999716</v>
      </c>
      <c r="J26" s="1593">
        <v>226</v>
      </c>
      <c r="K26" s="1614">
        <f t="shared" ref="K26:K38" si="3">$J$25-J26</f>
        <v>2.5999999999999943</v>
      </c>
      <c r="L26" s="1553"/>
      <c r="M26" s="1531">
        <f t="shared" si="1"/>
        <v>6.7357512953367742</v>
      </c>
      <c r="N26" s="1519"/>
      <c r="O26" s="1589"/>
      <c r="U26" s="1529"/>
      <c r="AK26" s="1529"/>
      <c r="AL26" s="1529"/>
    </row>
    <row r="27" spans="1:38" ht="16.5" customHeight="1">
      <c r="A27" s="1526"/>
      <c r="B27" s="1551"/>
      <c r="C27" s="1533"/>
      <c r="D27" s="1596">
        <v>0.3371527777777778</v>
      </c>
      <c r="E27" s="1533"/>
      <c r="F27" s="1595">
        <v>0.5</v>
      </c>
      <c r="G27" s="1535">
        <f t="shared" si="0"/>
        <v>0.70710678118654757</v>
      </c>
      <c r="H27" s="1594">
        <v>36.4</v>
      </c>
      <c r="I27" s="1534">
        <f t="shared" si="2"/>
        <v>0.5</v>
      </c>
      <c r="J27" s="1593">
        <v>218</v>
      </c>
      <c r="K27" s="1614">
        <f t="shared" si="3"/>
        <v>10.599999999999994</v>
      </c>
      <c r="L27" s="1553"/>
      <c r="M27" s="1531">
        <f t="shared" si="1"/>
        <v>27.461139896373048</v>
      </c>
      <c r="N27" s="1519"/>
      <c r="O27" s="1589"/>
      <c r="U27" s="1529"/>
      <c r="AK27" s="1529"/>
      <c r="AL27" s="1529"/>
    </row>
    <row r="28" spans="1:38" ht="16.5" customHeight="1">
      <c r="A28" s="1526"/>
      <c r="B28" s="1551"/>
      <c r="C28" s="1533"/>
      <c r="D28" s="1596">
        <v>0.33749999999999997</v>
      </c>
      <c r="E28" s="1533"/>
      <c r="F28" s="1595">
        <v>1</v>
      </c>
      <c r="G28" s="1535">
        <f t="shared" si="0"/>
        <v>1</v>
      </c>
      <c r="H28" s="1594">
        <v>36.200000000000003</v>
      </c>
      <c r="I28" s="1534">
        <f t="shared" si="2"/>
        <v>0.69999999999999574</v>
      </c>
      <c r="J28" s="1593">
        <v>214</v>
      </c>
      <c r="K28" s="1614">
        <f t="shared" si="3"/>
        <v>14.599999999999994</v>
      </c>
      <c r="L28" s="1553"/>
      <c r="M28" s="1531">
        <f t="shared" si="1"/>
        <v>37.823834196891184</v>
      </c>
      <c r="N28" s="1519"/>
      <c r="O28" s="1589"/>
      <c r="R28" s="1581"/>
      <c r="U28" s="1529"/>
      <c r="AK28" s="1529"/>
      <c r="AL28" s="1529"/>
    </row>
    <row r="29" spans="1:38" ht="16.5" customHeight="1">
      <c r="A29" s="1526"/>
      <c r="B29" s="1551"/>
      <c r="C29" s="1533"/>
      <c r="D29" s="1596">
        <v>0.33836805555555555</v>
      </c>
      <c r="E29" s="1533"/>
      <c r="F29" s="1595">
        <v>2.25</v>
      </c>
      <c r="G29" s="1535">
        <f t="shared" si="0"/>
        <v>1.5</v>
      </c>
      <c r="H29" s="1594">
        <v>36</v>
      </c>
      <c r="I29" s="1534">
        <f t="shared" si="2"/>
        <v>0.89999999999999858</v>
      </c>
      <c r="J29" s="1593">
        <v>208</v>
      </c>
      <c r="K29" s="1614">
        <f t="shared" si="3"/>
        <v>20.599999999999994</v>
      </c>
      <c r="L29" s="1553"/>
      <c r="M29" s="1531">
        <f t="shared" si="1"/>
        <v>53.367875647668384</v>
      </c>
      <c r="N29" s="1519"/>
      <c r="O29" s="1589"/>
      <c r="U29" s="1529"/>
      <c r="AK29" s="1529"/>
      <c r="AL29" s="1529"/>
    </row>
    <row r="30" spans="1:38" ht="16.5" customHeight="1">
      <c r="A30" s="1526"/>
      <c r="B30" s="1551"/>
      <c r="C30" s="1533"/>
      <c r="D30" s="1596">
        <f t="shared" ref="D30:D38" si="4">$D$25+F30/1440</f>
        <v>0.33958333333333335</v>
      </c>
      <c r="E30" s="1533"/>
      <c r="F30" s="1595">
        <v>4</v>
      </c>
      <c r="G30" s="1535">
        <f t="shared" si="0"/>
        <v>2</v>
      </c>
      <c r="H30" s="1594">
        <v>35.9</v>
      </c>
      <c r="I30" s="1534">
        <f t="shared" si="2"/>
        <v>1</v>
      </c>
      <c r="J30" s="1593">
        <v>206</v>
      </c>
      <c r="K30" s="1614">
        <f t="shared" si="3"/>
        <v>22.599999999999994</v>
      </c>
      <c r="L30" s="1553"/>
      <c r="M30" s="1531">
        <f t="shared" si="1"/>
        <v>58.549222797927456</v>
      </c>
      <c r="N30" s="1519"/>
      <c r="O30" s="1589"/>
      <c r="U30" s="1529"/>
      <c r="AK30" s="1529"/>
      <c r="AL30" s="1529"/>
    </row>
    <row r="31" spans="1:38" ht="16.5" customHeight="1">
      <c r="A31" s="1526"/>
      <c r="B31" s="1551"/>
      <c r="C31" s="1533"/>
      <c r="D31" s="1596">
        <f t="shared" si="4"/>
        <v>0.34305555555555556</v>
      </c>
      <c r="E31" s="1533"/>
      <c r="F31" s="1595">
        <v>9</v>
      </c>
      <c r="G31" s="1535">
        <f t="shared" si="0"/>
        <v>3</v>
      </c>
      <c r="H31" s="1594">
        <v>35.799999999999997</v>
      </c>
      <c r="I31" s="1534">
        <f t="shared" si="2"/>
        <v>1.1000000000000014</v>
      </c>
      <c r="J31" s="1593">
        <v>203</v>
      </c>
      <c r="K31" s="1614">
        <f t="shared" si="3"/>
        <v>25.599999999999994</v>
      </c>
      <c r="L31" s="1553"/>
      <c r="M31" s="1531">
        <f t="shared" si="1"/>
        <v>66.321243523316056</v>
      </c>
      <c r="N31" s="1519"/>
      <c r="O31" s="1589"/>
      <c r="U31" s="1529"/>
      <c r="AK31" s="1529"/>
      <c r="AL31" s="1529"/>
    </row>
    <row r="32" spans="1:38" ht="16.5" customHeight="1">
      <c r="A32" s="1526"/>
      <c r="B32" s="1551"/>
      <c r="C32" s="1533"/>
      <c r="D32" s="1596">
        <f t="shared" si="4"/>
        <v>0.34791666666666671</v>
      </c>
      <c r="E32" s="1533"/>
      <c r="F32" s="1595">
        <v>16</v>
      </c>
      <c r="G32" s="1535">
        <f t="shared" si="0"/>
        <v>4</v>
      </c>
      <c r="H32" s="1594">
        <v>35.6</v>
      </c>
      <c r="I32" s="1534">
        <f t="shared" si="2"/>
        <v>1.2999999999999972</v>
      </c>
      <c r="J32" s="1593">
        <v>196</v>
      </c>
      <c r="K32" s="1614">
        <f t="shared" si="3"/>
        <v>32.599999999999994</v>
      </c>
      <c r="L32" s="1553"/>
      <c r="M32" s="1531">
        <f t="shared" si="1"/>
        <v>84.4559585492228</v>
      </c>
      <c r="N32" s="1519"/>
      <c r="O32" s="1589"/>
      <c r="U32" s="1529"/>
      <c r="AK32" s="1529"/>
      <c r="AL32" s="1529"/>
    </row>
    <row r="33" spans="1:41" ht="16.5" customHeight="1">
      <c r="A33" s="1526"/>
      <c r="B33" s="1551"/>
      <c r="C33" s="1533"/>
      <c r="D33" s="1596">
        <f t="shared" si="4"/>
        <v>0.35416666666666669</v>
      </c>
      <c r="E33" s="1533"/>
      <c r="F33" s="1595">
        <v>25</v>
      </c>
      <c r="G33" s="1535">
        <f t="shared" si="0"/>
        <v>5</v>
      </c>
      <c r="H33" s="1594">
        <v>35.5</v>
      </c>
      <c r="I33" s="1534">
        <f t="shared" si="2"/>
        <v>1.3999999999999986</v>
      </c>
      <c r="J33" s="1593">
        <v>195</v>
      </c>
      <c r="K33" s="1614">
        <f t="shared" si="3"/>
        <v>33.599999999999994</v>
      </c>
      <c r="L33" s="1553"/>
      <c r="M33" s="1531">
        <f t="shared" si="1"/>
        <v>87.046632124352328</v>
      </c>
      <c r="N33" s="1519"/>
      <c r="O33" s="1589"/>
      <c r="U33" s="1529"/>
      <c r="AK33" s="1529"/>
      <c r="AL33" s="1529"/>
    </row>
    <row r="34" spans="1:41" ht="16.5" customHeight="1">
      <c r="A34" s="1526"/>
      <c r="B34" s="1551"/>
      <c r="C34" s="1533"/>
      <c r="D34" s="1596">
        <f t="shared" si="4"/>
        <v>0.3618055555555556</v>
      </c>
      <c r="E34" s="1533"/>
      <c r="F34" s="1595">
        <v>36</v>
      </c>
      <c r="G34" s="1535">
        <f t="shared" si="0"/>
        <v>6</v>
      </c>
      <c r="H34" s="1594">
        <v>35.4</v>
      </c>
      <c r="I34" s="1534">
        <f t="shared" si="2"/>
        <v>1.5</v>
      </c>
      <c r="J34" s="1593">
        <v>193</v>
      </c>
      <c r="K34" s="1614">
        <f t="shared" si="3"/>
        <v>35.599999999999994</v>
      </c>
      <c r="L34" s="1553"/>
      <c r="M34" s="1531">
        <f t="shared" si="1"/>
        <v>92.2279792746114</v>
      </c>
      <c r="N34" s="1519"/>
      <c r="O34" s="1589"/>
      <c r="U34" s="1529"/>
      <c r="AK34" s="1529"/>
      <c r="AL34" s="1529"/>
    </row>
    <row r="35" spans="1:41" ht="16.5" customHeight="1">
      <c r="A35" s="1526"/>
      <c r="B35" s="1551"/>
      <c r="C35" s="1533"/>
      <c r="D35" s="1596">
        <f t="shared" si="4"/>
        <v>0.38125000000000003</v>
      </c>
      <c r="E35" s="1533"/>
      <c r="F35" s="1595">
        <v>64</v>
      </c>
      <c r="G35" s="1535">
        <f t="shared" si="0"/>
        <v>8</v>
      </c>
      <c r="H35" s="1594">
        <v>35.4</v>
      </c>
      <c r="I35" s="1534">
        <f t="shared" si="2"/>
        <v>1.5</v>
      </c>
      <c r="J35" s="1593">
        <v>191</v>
      </c>
      <c r="K35" s="1614">
        <f t="shared" si="3"/>
        <v>37.599999999999994</v>
      </c>
      <c r="L35" s="1553"/>
      <c r="M35" s="1531">
        <f t="shared" si="1"/>
        <v>97.409326424870471</v>
      </c>
      <c r="N35" s="1519"/>
      <c r="O35" s="1589"/>
      <c r="U35" s="1529"/>
      <c r="AK35" s="1529"/>
      <c r="AL35" s="1529"/>
    </row>
    <row r="36" spans="1:41" ht="16.5" customHeight="1">
      <c r="A36" s="1526"/>
      <c r="B36" s="1551"/>
      <c r="C36" s="1533"/>
      <c r="D36" s="1596">
        <f t="shared" si="4"/>
        <v>0.42083333333333339</v>
      </c>
      <c r="E36" s="1533"/>
      <c r="F36" s="1595">
        <v>121</v>
      </c>
      <c r="G36" s="1535">
        <f t="shared" si="0"/>
        <v>11</v>
      </c>
      <c r="H36" s="1594">
        <v>35.4</v>
      </c>
      <c r="I36" s="1534">
        <f t="shared" si="2"/>
        <v>1.5</v>
      </c>
      <c r="J36" s="1593">
        <v>190</v>
      </c>
      <c r="K36" s="1614">
        <f t="shared" si="3"/>
        <v>38.599999999999994</v>
      </c>
      <c r="L36" s="1553"/>
      <c r="M36" s="1531">
        <f t="shared" si="1"/>
        <v>100</v>
      </c>
      <c r="N36" s="1519"/>
      <c r="O36" s="1589"/>
      <c r="U36" s="1529"/>
      <c r="AK36" s="1529"/>
      <c r="AL36" s="1529"/>
    </row>
    <row r="37" spans="1:41" ht="16.5" customHeight="1">
      <c r="A37" s="1526"/>
      <c r="B37" s="1551"/>
      <c r="C37" s="1533"/>
      <c r="D37" s="1596">
        <f t="shared" si="4"/>
        <v>0.49305555555555558</v>
      </c>
      <c r="E37" s="1533"/>
      <c r="F37" s="1595">
        <v>225</v>
      </c>
      <c r="G37" s="1535">
        <f t="shared" si="0"/>
        <v>15</v>
      </c>
      <c r="H37" s="1594">
        <v>35.4</v>
      </c>
      <c r="I37" s="1534">
        <f t="shared" si="2"/>
        <v>1.5</v>
      </c>
      <c r="J37" s="1593">
        <v>190</v>
      </c>
      <c r="K37" s="1614">
        <f t="shared" si="3"/>
        <v>38.599999999999994</v>
      </c>
      <c r="L37" s="1553"/>
      <c r="M37" s="1531">
        <f t="shared" si="1"/>
        <v>100</v>
      </c>
      <c r="N37" s="1519"/>
      <c r="O37" s="1589"/>
      <c r="U37" s="1529"/>
      <c r="AK37" s="1529"/>
      <c r="AL37" s="1529"/>
    </row>
    <row r="38" spans="1:41" ht="16.5" customHeight="1">
      <c r="A38" s="1526"/>
      <c r="B38" s="1597"/>
      <c r="C38" s="1533"/>
      <c r="D38" s="1596">
        <f t="shared" si="4"/>
        <v>1.09375</v>
      </c>
      <c r="E38" s="1533"/>
      <c r="F38" s="1595">
        <v>1090</v>
      </c>
      <c r="G38" s="1535">
        <f t="shared" si="0"/>
        <v>33.015148038438355</v>
      </c>
      <c r="H38" s="1594">
        <v>35.4</v>
      </c>
      <c r="I38" s="1534">
        <f t="shared" si="2"/>
        <v>1.5</v>
      </c>
      <c r="J38" s="1593">
        <v>190</v>
      </c>
      <c r="K38" s="1614">
        <f t="shared" si="3"/>
        <v>38.599999999999994</v>
      </c>
      <c r="L38" s="1553"/>
      <c r="M38" s="1531">
        <f t="shared" si="1"/>
        <v>100</v>
      </c>
      <c r="N38" s="1519"/>
      <c r="O38" s="1589"/>
      <c r="U38" s="1529"/>
      <c r="AK38" s="1529"/>
      <c r="AL38" s="1529"/>
    </row>
    <row r="39" spans="1:41" ht="16.5" customHeight="1">
      <c r="A39" s="1526"/>
      <c r="B39" s="1550"/>
      <c r="C39" s="1565"/>
      <c r="D39" s="1549"/>
      <c r="E39" s="1565"/>
      <c r="F39" s="1619"/>
      <c r="G39" s="1528"/>
      <c r="H39" s="1528"/>
      <c r="I39" s="1528"/>
      <c r="J39" s="1618"/>
      <c r="K39" s="1550"/>
      <c r="L39" s="1565"/>
      <c r="M39" s="1590"/>
      <c r="N39" s="1519"/>
      <c r="O39" s="1589"/>
      <c r="U39" s="1529"/>
      <c r="AK39" s="1529"/>
      <c r="AL39" s="1529"/>
    </row>
    <row r="40" spans="1:41" ht="16.5" customHeight="1">
      <c r="A40" s="1526"/>
      <c r="F40" s="1547"/>
      <c r="M40" s="1529"/>
      <c r="N40" s="1519"/>
      <c r="O40" s="1589"/>
      <c r="U40" s="1529"/>
      <c r="AK40" s="1529"/>
      <c r="AL40" s="1529"/>
    </row>
    <row r="41" spans="1:41" ht="16.5" customHeight="1">
      <c r="A41" s="1526"/>
      <c r="F41" s="1547"/>
      <c r="M41" s="1529"/>
      <c r="N41" s="1529"/>
      <c r="O41" s="1525"/>
      <c r="P41" s="2813"/>
      <c r="Q41" s="1518"/>
      <c r="R41" s="1522" t="s">
        <v>1321</v>
      </c>
      <c r="S41" s="2818">
        <f>'CU_Multi Saturasi'!F19</f>
        <v>38</v>
      </c>
      <c r="T41" s="1519" t="s">
        <v>2</v>
      </c>
      <c r="W41" s="2812"/>
      <c r="AK41" s="1529"/>
      <c r="AL41" s="1529"/>
    </row>
    <row r="42" spans="1:41" ht="16.5" customHeight="1">
      <c r="A42" s="1526"/>
      <c r="F42" s="1547"/>
      <c r="M42" s="1529"/>
      <c r="N42" s="1529"/>
      <c r="O42" s="1525"/>
      <c r="P42" s="2813"/>
      <c r="Q42" s="1518"/>
      <c r="R42" s="1522"/>
      <c r="S42" s="2818">
        <f>S41/10</f>
        <v>3.8</v>
      </c>
      <c r="T42" s="1519" t="s">
        <v>104</v>
      </c>
      <c r="W42" s="2812"/>
      <c r="AK42" s="1529"/>
      <c r="AL42" s="1529"/>
    </row>
    <row r="43" spans="1:41" ht="16.5" customHeight="1">
      <c r="A43" s="1526"/>
      <c r="F43" s="1547"/>
      <c r="O43" s="1525"/>
      <c r="P43" s="2813"/>
      <c r="Q43" s="1518"/>
      <c r="R43" s="1522" t="s">
        <v>1322</v>
      </c>
      <c r="S43" s="2818">
        <f>'CU_Multi Saturasi'!F22</f>
        <v>86.192736043889553</v>
      </c>
      <c r="T43" s="1519" t="s">
        <v>615</v>
      </c>
      <c r="W43" s="2812"/>
    </row>
    <row r="44" spans="1:41" ht="16.5" customHeight="1">
      <c r="A44" s="1526"/>
      <c r="O44" s="1525"/>
      <c r="P44" s="2813"/>
      <c r="Q44" s="1518"/>
      <c r="R44" s="1522" t="s">
        <v>1323</v>
      </c>
      <c r="S44" s="2818">
        <f>F15</f>
        <v>50</v>
      </c>
      <c r="T44" s="1519" t="s">
        <v>908</v>
      </c>
      <c r="W44" s="2812"/>
    </row>
    <row r="45" spans="1:41" ht="16.5" customHeight="1">
      <c r="A45" s="1526"/>
      <c r="O45" s="1525"/>
      <c r="P45" s="2813"/>
      <c r="Q45" s="1518"/>
      <c r="R45" s="1522" t="s">
        <v>1324</v>
      </c>
      <c r="S45" s="2818">
        <f>MAX(I25:I38)</f>
        <v>1.5</v>
      </c>
      <c r="T45" s="1519" t="s">
        <v>563</v>
      </c>
      <c r="W45" s="2812"/>
    </row>
    <row r="46" spans="1:41" ht="16.5" customHeight="1">
      <c r="A46" s="1526"/>
      <c r="O46" s="1525"/>
      <c r="P46" s="2819"/>
      <c r="Q46" s="2814"/>
      <c r="R46" s="2814"/>
      <c r="T46" s="1522" t="s">
        <v>1315</v>
      </c>
      <c r="U46" s="1536">
        <f>Q62</f>
        <v>6.2</v>
      </c>
      <c r="V46" s="1519" t="s">
        <v>1197</v>
      </c>
    </row>
    <row r="47" spans="1:41" ht="16.5" customHeight="1">
      <c r="A47" s="1526"/>
      <c r="O47" s="1525"/>
      <c r="P47" s="2819"/>
      <c r="Q47" s="2814"/>
      <c r="S47" s="2820" t="s">
        <v>1314</v>
      </c>
      <c r="T47" s="1522" t="s">
        <v>1316</v>
      </c>
      <c r="U47" s="1536"/>
    </row>
    <row r="48" spans="1:41" ht="16.5" customHeight="1">
      <c r="A48" s="1532"/>
      <c r="B48" s="1529"/>
      <c r="C48" s="1529"/>
      <c r="D48" s="1529"/>
      <c r="E48" s="1529"/>
      <c r="F48" s="1529"/>
      <c r="G48" s="1529"/>
      <c r="H48" s="1529"/>
      <c r="I48" s="1529"/>
      <c r="J48" s="1529"/>
      <c r="K48" s="1529"/>
      <c r="L48" s="1529"/>
      <c r="M48" s="1529"/>
      <c r="N48" s="1529"/>
      <c r="O48" s="1588"/>
      <c r="P48" s="2819"/>
      <c r="Q48" s="2821"/>
      <c r="R48" s="2822"/>
      <c r="T48" s="2823">
        <f>INDEX(G25:G38,MATCH(MAX(I25:I38), I25:I38,0))</f>
        <v>6</v>
      </c>
      <c r="U48" s="1536">
        <f>U46^2</f>
        <v>38.440000000000005</v>
      </c>
      <c r="V48" s="1519" t="s">
        <v>1197</v>
      </c>
      <c r="W48" s="1529"/>
      <c r="X48" s="1529"/>
      <c r="Y48" s="1529"/>
      <c r="AA48" s="1530"/>
      <c r="AB48" s="1529"/>
      <c r="AC48" s="1529"/>
      <c r="AD48" s="1529"/>
      <c r="AE48" s="1529"/>
      <c r="AF48" s="1529"/>
      <c r="AG48" s="1529"/>
      <c r="AH48" s="1529"/>
      <c r="AI48" s="1529"/>
      <c r="AJ48" s="1529"/>
      <c r="AK48" s="1529"/>
      <c r="AL48" s="1529"/>
      <c r="AM48" s="1529"/>
      <c r="AN48" s="1529"/>
      <c r="AO48" s="1529"/>
    </row>
    <row r="49" spans="1:41" ht="16.5" customHeight="1">
      <c r="A49" s="1526"/>
      <c r="D49" s="1519"/>
      <c r="E49" s="1519"/>
      <c r="F49" s="1519"/>
      <c r="I49" s="1522"/>
      <c r="J49" s="1527"/>
      <c r="K49" s="1527"/>
      <c r="L49" s="1520"/>
      <c r="M49" s="1520"/>
      <c r="N49" s="1520"/>
      <c r="O49" s="1580"/>
      <c r="P49" s="2819"/>
      <c r="Q49" s="4550" t="s">
        <v>431</v>
      </c>
      <c r="R49" s="4551"/>
      <c r="T49" s="1519" t="s">
        <v>1318</v>
      </c>
      <c r="U49" s="1520"/>
      <c r="V49" s="1581"/>
      <c r="W49" s="1520"/>
      <c r="X49" s="1520"/>
      <c r="AD49" s="1519"/>
      <c r="AE49" s="1519"/>
      <c r="AH49" s="1522"/>
      <c r="AI49" s="1527"/>
      <c r="AJ49" s="1520"/>
      <c r="AK49" s="1520"/>
      <c r="AL49" s="1520"/>
      <c r="AM49" s="1520"/>
      <c r="AN49" s="1520"/>
    </row>
    <row r="50" spans="1:41" ht="16.5" customHeight="1">
      <c r="A50" s="1526"/>
      <c r="D50" s="1519"/>
      <c r="E50" s="1519"/>
      <c r="F50" s="1519"/>
      <c r="I50" s="1522"/>
      <c r="J50" s="1521"/>
      <c r="K50" s="1521"/>
      <c r="L50" s="1587"/>
      <c r="M50" s="1587"/>
      <c r="N50" s="1587"/>
      <c r="O50" s="1580"/>
      <c r="P50" s="2819"/>
      <c r="Q50" s="2824" t="s">
        <v>743</v>
      </c>
      <c r="R50" s="2824" t="s">
        <v>744</v>
      </c>
      <c r="T50" s="1522" t="s">
        <v>1319</v>
      </c>
      <c r="U50" s="2817">
        <f>S41/2</f>
        <v>19</v>
      </c>
      <c r="V50" s="1581" t="s">
        <v>2</v>
      </c>
      <c r="W50" s="1520"/>
      <c r="X50" s="1520"/>
      <c r="AD50" s="1519"/>
      <c r="AE50" s="1519"/>
      <c r="AH50" s="1522"/>
      <c r="AI50" s="1521"/>
      <c r="AJ50" s="1587"/>
      <c r="AK50" s="1587"/>
      <c r="AL50" s="1587"/>
      <c r="AM50" s="1520"/>
      <c r="AN50" s="1520"/>
    </row>
    <row r="51" spans="1:41" ht="16.5" customHeight="1">
      <c r="A51" s="1526"/>
      <c r="D51" s="1519"/>
      <c r="E51" s="1519"/>
      <c r="F51" s="1519"/>
      <c r="I51" s="1522"/>
      <c r="J51" s="1521"/>
      <c r="K51" s="1521"/>
      <c r="L51" s="1520"/>
      <c r="M51" s="1520"/>
      <c r="N51" s="1520"/>
      <c r="O51" s="1580"/>
      <c r="P51" s="2819"/>
      <c r="Q51" s="2824">
        <v>0</v>
      </c>
      <c r="R51" s="2829">
        <v>0.7</v>
      </c>
      <c r="U51" s="2817">
        <f>S42/2</f>
        <v>1.9</v>
      </c>
      <c r="V51" s="1581" t="s">
        <v>104</v>
      </c>
      <c r="W51" s="1520"/>
      <c r="X51" s="1520"/>
      <c r="AD51" s="1519"/>
      <c r="AE51" s="1519"/>
      <c r="AH51" s="1522"/>
      <c r="AI51" s="1521"/>
      <c r="AJ51" s="1520"/>
      <c r="AK51" s="1520"/>
      <c r="AL51" s="1520"/>
      <c r="AM51" s="1520"/>
      <c r="AN51" s="1520"/>
    </row>
    <row r="52" spans="1:41" ht="16.5" customHeight="1">
      <c r="A52" s="1526"/>
      <c r="D52" s="1519"/>
      <c r="E52" s="1519"/>
      <c r="F52" s="1519"/>
      <c r="I52" s="1522"/>
      <c r="J52" s="1521"/>
      <c r="K52" s="1521"/>
      <c r="L52" s="1520"/>
      <c r="M52" s="1520"/>
      <c r="N52" s="1520"/>
      <c r="O52" s="1580"/>
      <c r="Q52" s="2830">
        <v>8.6999999999999993</v>
      </c>
      <c r="R52" s="2835" cm="1">
        <f t="array" ref="R52">MAX(I25:I38+0.5)</f>
        <v>2</v>
      </c>
      <c r="U52" s="2817"/>
      <c r="V52" s="1581"/>
      <c r="W52" s="1520"/>
      <c r="X52" s="1520"/>
      <c r="AD52" s="1519"/>
      <c r="AE52" s="1519"/>
      <c r="AH52" s="1522"/>
      <c r="AI52" s="1521"/>
      <c r="AJ52" s="1520"/>
      <c r="AK52" s="1520"/>
      <c r="AL52" s="1520"/>
      <c r="AM52" s="1520"/>
      <c r="AN52" s="1520"/>
    </row>
    <row r="53" spans="1:41" ht="16.5" customHeight="1">
      <c r="A53" s="1526"/>
      <c r="D53" s="1519"/>
      <c r="E53" s="1519"/>
      <c r="F53" s="1519"/>
      <c r="I53" s="1522"/>
      <c r="J53" s="1521"/>
      <c r="K53" s="1521"/>
      <c r="L53" s="1520"/>
      <c r="M53" s="1520"/>
      <c r="N53" s="1520"/>
      <c r="O53" s="1580"/>
      <c r="T53" s="1522" t="s">
        <v>494</v>
      </c>
      <c r="U53" s="2816">
        <f>(0.848*(U51^2)/U48)</f>
        <v>7.9637877211238287E-2</v>
      </c>
      <c r="V53" s="1581" t="s">
        <v>1325</v>
      </c>
      <c r="W53" s="1520"/>
      <c r="X53" s="1520"/>
      <c r="AD53" s="1519"/>
      <c r="AE53" s="1519"/>
      <c r="AH53" s="1522"/>
      <c r="AI53" s="1521"/>
      <c r="AJ53" s="1520"/>
      <c r="AK53" s="1520"/>
      <c r="AL53" s="1520"/>
      <c r="AM53" s="1520"/>
      <c r="AN53" s="1520"/>
    </row>
    <row r="54" spans="1:41" ht="16.5" customHeight="1">
      <c r="A54" s="1526"/>
      <c r="D54" s="1519"/>
      <c r="E54" s="1519"/>
      <c r="F54" s="1519"/>
      <c r="I54" s="1522"/>
      <c r="J54" s="1521"/>
      <c r="K54" s="1521"/>
      <c r="L54" s="1520"/>
      <c r="M54" s="1520"/>
      <c r="N54" s="1520"/>
      <c r="O54" s="1580"/>
      <c r="Q54" s="4550" t="s">
        <v>1328</v>
      </c>
      <c r="R54" s="4551"/>
      <c r="U54" s="2816">
        <f>U53/60</f>
        <v>1.3272979535206382E-3</v>
      </c>
      <c r="V54" s="1581" t="s">
        <v>1326</v>
      </c>
      <c r="W54" s="1520"/>
      <c r="X54" s="1520"/>
      <c r="AD54" s="1519"/>
      <c r="AE54" s="1519"/>
      <c r="AH54" s="1522"/>
      <c r="AI54" s="1521"/>
      <c r="AJ54" s="1520"/>
      <c r="AK54" s="1520"/>
      <c r="AL54" s="1520"/>
      <c r="AM54" s="1520"/>
      <c r="AN54" s="1520"/>
    </row>
    <row r="55" spans="1:41" ht="16.5" customHeight="1">
      <c r="A55" s="1526"/>
      <c r="D55" s="1519"/>
      <c r="E55" s="1519"/>
      <c r="F55" s="1519"/>
      <c r="I55" s="1522"/>
      <c r="J55" s="1521"/>
      <c r="K55" s="1521"/>
      <c r="L55" s="1520"/>
      <c r="M55" s="1520"/>
      <c r="N55" s="1520"/>
      <c r="O55" s="1580"/>
      <c r="Q55" s="2824" t="s">
        <v>743</v>
      </c>
      <c r="R55" s="2824" t="s">
        <v>744</v>
      </c>
      <c r="U55" s="2817">
        <f>U54*3153.6</f>
        <v>4.1857668262226841</v>
      </c>
      <c r="V55" s="1581" t="s">
        <v>948</v>
      </c>
      <c r="W55" s="1520"/>
      <c r="X55" s="1520"/>
      <c r="AD55" s="1519"/>
      <c r="AE55" s="1519"/>
      <c r="AH55" s="1522"/>
      <c r="AI55" s="1521"/>
      <c r="AJ55" s="1520"/>
      <c r="AK55" s="1520"/>
      <c r="AL55" s="1520"/>
      <c r="AM55" s="1520"/>
      <c r="AN55" s="1520"/>
    </row>
    <row r="56" spans="1:41" ht="16.5" customHeight="1">
      <c r="A56" s="1526"/>
      <c r="D56" s="1519"/>
      <c r="E56" s="1519"/>
      <c r="F56" s="1519"/>
      <c r="I56" s="1522"/>
      <c r="J56" s="1521"/>
      <c r="K56" s="1521"/>
      <c r="L56" s="1520"/>
      <c r="M56" s="1520"/>
      <c r="N56" s="1520"/>
      <c r="O56" s="1580"/>
      <c r="Q56" s="2824">
        <v>0</v>
      </c>
      <c r="R56" s="2824">
        <f>R51</f>
        <v>0.7</v>
      </c>
      <c r="U56" s="2817"/>
      <c r="V56" s="1581"/>
      <c r="W56" s="1520"/>
      <c r="X56" s="1520"/>
      <c r="AD56" s="1519"/>
      <c r="AE56" s="1519"/>
      <c r="AH56" s="1522"/>
      <c r="AI56" s="1521"/>
      <c r="AJ56" s="1520"/>
      <c r="AK56" s="1520"/>
      <c r="AL56" s="1520"/>
      <c r="AM56" s="1520"/>
      <c r="AN56" s="1520"/>
    </row>
    <row r="57" spans="1:41" ht="16.5" customHeight="1">
      <c r="A57" s="1526"/>
      <c r="D57" s="1519"/>
      <c r="E57" s="1519"/>
      <c r="F57" s="1519"/>
      <c r="I57" s="1522"/>
      <c r="J57" s="1521"/>
      <c r="K57" s="1521"/>
      <c r="L57" s="1520"/>
      <c r="M57" s="1520"/>
      <c r="N57" s="1520"/>
      <c r="O57" s="1580"/>
      <c r="Q57" s="1541">
        <f>Q52*1.15</f>
        <v>10.004999999999999</v>
      </c>
      <c r="R57" s="1541">
        <f>R52</f>
        <v>2</v>
      </c>
      <c r="T57" s="1522" t="s">
        <v>493</v>
      </c>
      <c r="U57" s="2815">
        <f>S45/(S43*S44)</f>
        <v>3.4805717252929443E-4</v>
      </c>
      <c r="V57" s="1581"/>
      <c r="W57" s="1520"/>
      <c r="X57" s="1520"/>
      <c r="AD57" s="1519"/>
      <c r="AE57" s="1519"/>
      <c r="AH57" s="1522"/>
      <c r="AI57" s="1521"/>
      <c r="AJ57" s="1520"/>
      <c r="AK57" s="1520"/>
      <c r="AL57" s="1520"/>
      <c r="AM57" s="1520"/>
      <c r="AN57" s="1520"/>
    </row>
    <row r="58" spans="1:41" ht="16.5" customHeight="1">
      <c r="A58" s="1526"/>
      <c r="D58" s="1518" t="s">
        <v>957</v>
      </c>
      <c r="E58" s="1519" t="s">
        <v>27</v>
      </c>
      <c r="F58" s="1584">
        <f>U46</f>
        <v>6.2</v>
      </c>
      <c r="I58" s="1518" t="s">
        <v>956</v>
      </c>
      <c r="J58" s="1522"/>
      <c r="K58" s="2749">
        <v>5</v>
      </c>
      <c r="L58" s="1585">
        <v>5</v>
      </c>
      <c r="M58" s="1581" t="s">
        <v>1</v>
      </c>
      <c r="N58" s="1520"/>
      <c r="O58" s="1580"/>
      <c r="R58" s="1579"/>
      <c r="U58" s="2825">
        <f>U57</f>
        <v>3.4805717252929443E-4</v>
      </c>
      <c r="V58" s="1581" t="s">
        <v>1327</v>
      </c>
      <c r="W58" s="1520"/>
      <c r="X58" s="1520"/>
      <c r="AD58" s="1519"/>
      <c r="AE58" s="1519"/>
      <c r="AH58" s="1522"/>
      <c r="AI58" s="1521"/>
      <c r="AJ58" s="1520"/>
      <c r="AK58" s="1520"/>
      <c r="AL58" s="1520"/>
      <c r="AM58" s="1520"/>
      <c r="AN58" s="1520"/>
    </row>
    <row r="59" spans="1:41" ht="16.5" customHeight="1">
      <c r="A59" s="1526"/>
      <c r="D59" s="1518" t="s">
        <v>955</v>
      </c>
      <c r="E59" s="1519" t="s">
        <v>27</v>
      </c>
      <c r="F59" s="1584">
        <f>U48</f>
        <v>38.440000000000005</v>
      </c>
      <c r="G59" s="1518" t="s">
        <v>3</v>
      </c>
      <c r="I59" s="1518" t="s">
        <v>954</v>
      </c>
      <c r="J59" s="1522"/>
      <c r="K59" s="1584">
        <v>2</v>
      </c>
      <c r="L59" s="1585">
        <v>2</v>
      </c>
      <c r="M59" s="1581" t="s">
        <v>953</v>
      </c>
      <c r="N59" s="1520"/>
      <c r="O59" s="1580"/>
      <c r="Q59" s="4550" t="s">
        <v>1317</v>
      </c>
      <c r="R59" s="4551"/>
      <c r="U59" s="2817"/>
      <c r="V59" s="1581"/>
      <c r="W59" s="1520"/>
      <c r="X59" s="1520"/>
      <c r="AD59" s="1519"/>
      <c r="AE59" s="1519"/>
      <c r="AH59" s="1522"/>
      <c r="AI59" s="1521"/>
      <c r="AJ59" s="1520"/>
      <c r="AK59" s="1520"/>
      <c r="AL59" s="1520"/>
      <c r="AM59" s="1520"/>
      <c r="AN59" s="1520"/>
    </row>
    <row r="60" spans="1:41" ht="16.5" customHeight="1">
      <c r="A60" s="1526"/>
      <c r="D60" s="1519"/>
      <c r="E60" s="1519"/>
      <c r="F60" s="1584"/>
      <c r="I60" s="1518" t="s">
        <v>971</v>
      </c>
      <c r="J60" s="1522"/>
      <c r="K60" s="1584">
        <f>(K58/100)*('CU_Multi Saturasi'!D19/('Cu_Multi Consol'!K59*60))</f>
        <v>3.1666666666666669E-2</v>
      </c>
      <c r="L60" s="1583">
        <f>(L58/100)*('CU_Multi Saturasi'!D19/(L59*60))</f>
        <v>3.1666666666666669E-2</v>
      </c>
      <c r="M60" s="1581" t="s">
        <v>556</v>
      </c>
      <c r="N60" s="1520"/>
      <c r="O60" s="1580"/>
      <c r="Q60" s="2824" t="s">
        <v>743</v>
      </c>
      <c r="R60" s="2824" t="s">
        <v>744</v>
      </c>
      <c r="T60" s="1522" t="s">
        <v>4</v>
      </c>
      <c r="U60" s="2825">
        <f>U55*U58*9.81</f>
        <v>1.4292053292403484E-2</v>
      </c>
      <c r="V60" s="1581" t="s">
        <v>1320</v>
      </c>
      <c r="W60" s="1520"/>
      <c r="X60" s="1520"/>
      <c r="AD60" s="1519"/>
      <c r="AE60" s="1519"/>
      <c r="AH60" s="1522"/>
      <c r="AI60" s="1521"/>
      <c r="AJ60" s="1520"/>
      <c r="AK60" s="1520"/>
      <c r="AL60" s="1520"/>
      <c r="AM60" s="1520"/>
      <c r="AN60" s="1520"/>
    </row>
    <row r="61" spans="1:41" ht="16.5" customHeight="1">
      <c r="A61" s="1526"/>
      <c r="J61" s="1519" t="s">
        <v>969</v>
      </c>
      <c r="K61" s="1584">
        <f>U58</f>
        <v>3.4805717252929443E-4</v>
      </c>
      <c r="L61" s="1536">
        <f>(I38/'CU_Multi Saturasi'!F22)*(1000/('Cu_Multi Consol'!J25-'Cu_Multi Consol'!J38))</f>
        <v>0.45085125975297208</v>
      </c>
      <c r="M61" s="1518" t="s">
        <v>950</v>
      </c>
      <c r="N61" s="1520"/>
      <c r="O61" s="1580"/>
      <c r="Q61" s="2824">
        <v>0</v>
      </c>
      <c r="R61" s="2826">
        <f>S45</f>
        <v>1.5</v>
      </c>
      <c r="U61" s="1520"/>
      <c r="V61" s="1581"/>
      <c r="W61" s="1520"/>
      <c r="X61" s="1520"/>
      <c r="AD61" s="1519"/>
      <c r="AE61" s="1519"/>
      <c r="AH61" s="1522"/>
      <c r="AI61" s="1521"/>
      <c r="AJ61" s="1520"/>
      <c r="AK61" s="1520"/>
      <c r="AL61" s="1520"/>
      <c r="AM61" s="1520"/>
      <c r="AN61" s="1520"/>
    </row>
    <row r="62" spans="1:41" ht="16.5" customHeight="1">
      <c r="A62" s="1526"/>
      <c r="D62" s="1519"/>
      <c r="E62" s="1519"/>
      <c r="F62" s="1519"/>
      <c r="I62" s="1522"/>
      <c r="J62" s="1519" t="s">
        <v>967</v>
      </c>
      <c r="K62" s="1584">
        <f>U55</f>
        <v>4.1857668262226841</v>
      </c>
      <c r="L62" s="1582">
        <f>2400/'Cu_Multi Consol'!F59</f>
        <v>62.43496357960457</v>
      </c>
      <c r="M62" s="1581" t="s">
        <v>948</v>
      </c>
      <c r="N62" s="1520"/>
      <c r="O62" s="1580"/>
      <c r="Q62" s="2831">
        <v>6.2</v>
      </c>
      <c r="R62" s="2826">
        <f>R61</f>
        <v>1.5</v>
      </c>
      <c r="U62" s="1520"/>
      <c r="V62" s="1581"/>
      <c r="W62" s="1520"/>
      <c r="X62" s="1520"/>
      <c r="AD62" s="1519"/>
      <c r="AE62" s="1519"/>
      <c r="AH62" s="1522"/>
      <c r="AI62" s="1521"/>
      <c r="AJ62" s="1520"/>
      <c r="AK62" s="1520"/>
      <c r="AL62" s="1520"/>
      <c r="AM62" s="1520"/>
      <c r="AN62" s="1520"/>
    </row>
    <row r="63" spans="1:41" ht="16.5" customHeight="1">
      <c r="A63" s="1526"/>
      <c r="D63" s="1519"/>
      <c r="E63" s="1519"/>
      <c r="F63" s="1519"/>
      <c r="I63" s="1522"/>
      <c r="J63" s="1547"/>
      <c r="K63" s="1582"/>
      <c r="L63" s="1582"/>
      <c r="M63" s="1581"/>
      <c r="N63" s="1520"/>
      <c r="O63" s="1580"/>
      <c r="Q63" s="2827">
        <f>Q62</f>
        <v>6.2</v>
      </c>
      <c r="R63" s="2828">
        <f>R57</f>
        <v>2</v>
      </c>
      <c r="U63" s="1520"/>
      <c r="V63" s="1581"/>
      <c r="W63" s="1520"/>
      <c r="X63" s="1520"/>
      <c r="AD63" s="1519"/>
      <c r="AE63" s="1519"/>
      <c r="AH63" s="1522"/>
      <c r="AI63" s="1521"/>
      <c r="AJ63" s="1520"/>
      <c r="AK63" s="1520"/>
      <c r="AL63" s="1520"/>
      <c r="AM63" s="1520"/>
      <c r="AN63" s="1520"/>
    </row>
    <row r="64" spans="1:41" ht="16.5" customHeight="1">
      <c r="A64" s="1578"/>
      <c r="B64" s="1524"/>
      <c r="C64" s="1524"/>
      <c r="D64" s="1524"/>
      <c r="E64" s="1524"/>
      <c r="F64" s="1524"/>
      <c r="G64" s="1524"/>
      <c r="H64" s="1524"/>
      <c r="I64" s="1524"/>
      <c r="J64" s="1524"/>
      <c r="K64" s="1524"/>
      <c r="L64" s="1524"/>
      <c r="M64" s="1577"/>
      <c r="N64" s="1577"/>
      <c r="O64" s="1523"/>
      <c r="U64" s="1547"/>
      <c r="Y64" s="1529"/>
      <c r="AA64" s="1548"/>
      <c r="AK64" s="1576"/>
      <c r="AL64" s="1576"/>
      <c r="AO64" s="1575"/>
    </row>
    <row r="66" spans="1:41" ht="16.5" customHeight="1">
      <c r="A66" s="1558"/>
      <c r="B66" s="1557"/>
      <c r="C66" s="1557"/>
      <c r="D66" s="1557"/>
      <c r="E66" s="1557"/>
      <c r="F66" s="1557"/>
      <c r="G66" s="1557"/>
      <c r="H66" s="2843" t="s">
        <v>206</v>
      </c>
      <c r="I66" s="4556" t="str">
        <f>I2</f>
        <v xml:space="preserve">PT Itamatra Nusantara </v>
      </c>
      <c r="J66" s="4556"/>
      <c r="K66" s="4556"/>
      <c r="L66" s="4556"/>
      <c r="M66" s="4556"/>
      <c r="N66" s="4556"/>
      <c r="O66" s="4556"/>
      <c r="S66" s="1567"/>
      <c r="AI66" s="1567"/>
    </row>
    <row r="67" spans="1:41" ht="16.5" customHeight="1">
      <c r="A67" s="1526"/>
      <c r="H67" s="2844" t="s">
        <v>82</v>
      </c>
      <c r="I67" s="4557" t="str">
        <f>I3</f>
        <v>hidroplogi</v>
      </c>
      <c r="J67" s="4557"/>
      <c r="K67" s="4557"/>
      <c r="L67" s="4557"/>
      <c r="M67" s="4557"/>
      <c r="N67" s="4557"/>
      <c r="O67" s="4557"/>
      <c r="S67" s="1567"/>
      <c r="AI67" s="1567"/>
    </row>
    <row r="68" spans="1:41" ht="16.5" customHeight="1">
      <c r="A68" s="1526"/>
      <c r="H68" s="2844" t="s">
        <v>77</v>
      </c>
      <c r="I68" s="4558" t="str">
        <f>I4</f>
        <v>PO-GQT-19</v>
      </c>
      <c r="J68" s="4558"/>
      <c r="K68" s="4559" t="s">
        <v>76</v>
      </c>
      <c r="L68" s="4559"/>
      <c r="M68" s="4560">
        <f>M4</f>
        <v>46223</v>
      </c>
      <c r="N68" s="4560"/>
      <c r="O68" s="4560"/>
      <c r="S68" s="1552"/>
      <c r="Y68" s="1566"/>
      <c r="AI68" s="1552"/>
      <c r="AO68" s="1566"/>
    </row>
    <row r="69" spans="1:41" ht="16.5" customHeight="1">
      <c r="A69" s="1526"/>
      <c r="H69" s="2845" t="s">
        <v>75</v>
      </c>
      <c r="I69" s="4561" t="str">
        <f>I5</f>
        <v>AS Sumartadji</v>
      </c>
      <c r="J69" s="4561"/>
      <c r="K69" s="4562" t="s">
        <v>74</v>
      </c>
      <c r="L69" s="4562"/>
      <c r="M69" s="4563" t="str">
        <f>M5</f>
        <v>AS Sumartadji</v>
      </c>
      <c r="N69" s="4563"/>
      <c r="O69" s="4563"/>
      <c r="S69" s="1552"/>
      <c r="Y69" s="1552"/>
      <c r="AI69" s="1552"/>
      <c r="AO69" s="1552"/>
    </row>
    <row r="70" spans="1:41" ht="16.5" customHeight="1">
      <c r="A70" s="1564"/>
      <c r="B70" s="1563"/>
      <c r="C70" s="1563"/>
      <c r="D70" s="1563"/>
      <c r="E70" s="1563"/>
      <c r="F70" s="1563"/>
      <c r="G70" s="1563"/>
      <c r="H70" s="1563"/>
      <c r="I70" s="1563"/>
      <c r="J70" s="1563"/>
      <c r="K70" s="1563"/>
      <c r="L70" s="1563"/>
      <c r="M70" s="1563"/>
      <c r="N70" s="1563"/>
      <c r="O70" s="1612"/>
      <c r="S70" s="1519"/>
      <c r="U70" s="1519"/>
      <c r="W70" s="1519"/>
      <c r="X70" s="1519"/>
      <c r="Y70" s="1519"/>
      <c r="AA70" s="1519"/>
      <c r="AB70" s="1519"/>
      <c r="AC70" s="1519"/>
      <c r="AD70" s="1519"/>
      <c r="AE70" s="1519"/>
      <c r="AF70" s="1519"/>
      <c r="AG70" s="1519"/>
      <c r="AH70" s="1519"/>
      <c r="AI70" s="1519"/>
      <c r="AJ70" s="1519"/>
      <c r="AK70" s="1519"/>
      <c r="AL70" s="1519"/>
      <c r="AM70" s="1519"/>
      <c r="AN70" s="1519"/>
      <c r="AO70" s="1519"/>
    </row>
    <row r="71" spans="1:41" ht="16.5" customHeight="1">
      <c r="A71" s="1532" t="s">
        <v>945</v>
      </c>
      <c r="B71" s="1529"/>
      <c r="C71" s="1529"/>
      <c r="D71" s="1529"/>
      <c r="E71" s="1529"/>
      <c r="F71" s="1529"/>
      <c r="G71" s="1530"/>
      <c r="H71" s="1530"/>
      <c r="I71" s="1529"/>
      <c r="J71" s="1529"/>
      <c r="K71" s="1529"/>
      <c r="L71" s="1529"/>
      <c r="M71" s="1529"/>
      <c r="N71" s="1529"/>
      <c r="O71" s="1588"/>
      <c r="Q71" s="1555"/>
      <c r="S71" s="1529"/>
      <c r="U71" s="1529"/>
      <c r="W71" s="1529"/>
      <c r="X71" s="1529"/>
      <c r="Y71" s="1529"/>
      <c r="AA71" s="1530"/>
      <c r="AB71" s="1529"/>
      <c r="AC71" s="1529"/>
      <c r="AD71" s="1529"/>
      <c r="AE71" s="1529"/>
      <c r="AF71" s="1530"/>
      <c r="AG71" s="1530"/>
      <c r="AH71" s="1529"/>
      <c r="AI71" s="1529"/>
      <c r="AJ71" s="1529"/>
      <c r="AK71" s="1529"/>
      <c r="AL71" s="1529"/>
      <c r="AM71" s="1529"/>
      <c r="AN71" s="1529"/>
      <c r="AO71" s="1529"/>
    </row>
    <row r="72" spans="1:41" ht="16.5" customHeight="1">
      <c r="A72" s="1562"/>
      <c r="B72" s="1529"/>
      <c r="C72" s="1529"/>
      <c r="D72" s="1529"/>
      <c r="E72" s="1529"/>
      <c r="F72" s="1529"/>
      <c r="G72" s="1529"/>
      <c r="H72" s="1529"/>
      <c r="I72" s="1529"/>
      <c r="J72" s="1529"/>
      <c r="K72" s="1529"/>
      <c r="L72" s="1529"/>
      <c r="M72" s="1529"/>
      <c r="N72" s="1529"/>
      <c r="O72" s="1588"/>
      <c r="S72" s="1529"/>
      <c r="U72" s="1529"/>
      <c r="W72" s="1529"/>
      <c r="X72" s="1529"/>
      <c r="Y72" s="1529"/>
      <c r="AA72" s="1561"/>
      <c r="AB72" s="1529"/>
      <c r="AC72" s="1529"/>
      <c r="AD72" s="1529"/>
      <c r="AE72" s="1529"/>
      <c r="AF72" s="1529"/>
      <c r="AG72" s="1529"/>
      <c r="AH72" s="1529"/>
      <c r="AI72" s="1529"/>
      <c r="AJ72" s="1529"/>
      <c r="AK72" s="1529"/>
      <c r="AL72" s="1529"/>
      <c r="AM72" s="1529"/>
      <c r="AN72" s="1529"/>
      <c r="AO72" s="1529"/>
    </row>
    <row r="73" spans="1:41" ht="16.5" customHeight="1">
      <c r="A73" s="1526"/>
      <c r="B73" s="1518" t="s">
        <v>208</v>
      </c>
      <c r="C73" s="1518" t="s">
        <v>27</v>
      </c>
      <c r="D73" s="1560" t="str">
        <f>D9</f>
        <v>Morowali Utara</v>
      </c>
      <c r="E73" s="1559"/>
      <c r="J73" s="1518" t="s">
        <v>944</v>
      </c>
      <c r="L73" s="1518" t="s">
        <v>27</v>
      </c>
      <c r="M73" s="1560" t="str">
        <f>M9</f>
        <v>Undisturbed Sample / UDS</v>
      </c>
      <c r="N73" s="1552"/>
      <c r="O73" s="1525"/>
      <c r="X73" s="1552"/>
      <c r="AN73" s="1552"/>
    </row>
    <row r="74" spans="1:41" ht="16.5" customHeight="1">
      <c r="A74" s="1526"/>
      <c r="B74" s="1518" t="s">
        <v>943</v>
      </c>
      <c r="C74" s="1518" t="s">
        <v>27</v>
      </c>
      <c r="D74" s="1560" t="str">
        <f>D10</f>
        <v>BH-05_UDS-01</v>
      </c>
      <c r="E74" s="1559"/>
      <c r="F74" s="1552"/>
      <c r="J74" s="1518" t="s">
        <v>942</v>
      </c>
      <c r="L74" s="1518" t="s">
        <v>27</v>
      </c>
      <c r="M74" s="1560" t="str">
        <f>M10</f>
        <v>silty CLAY with sand</v>
      </c>
      <c r="O74" s="1525"/>
      <c r="AE74" s="1552"/>
    </row>
    <row r="75" spans="1:41" ht="16.5" customHeight="1">
      <c r="A75" s="1526"/>
      <c r="B75" s="1518" t="s">
        <v>210</v>
      </c>
      <c r="C75" s="1518" t="s">
        <v>27</v>
      </c>
      <c r="D75" s="1560" t="str">
        <f>D11</f>
        <v>0,00-0,50</v>
      </c>
      <c r="E75" s="1559"/>
      <c r="F75" s="1552" t="s">
        <v>68</v>
      </c>
      <c r="J75" s="1519" t="s">
        <v>941</v>
      </c>
      <c r="K75" s="1519"/>
      <c r="L75" s="1519" t="s">
        <v>27</v>
      </c>
      <c r="M75" s="1611"/>
      <c r="O75" s="1525"/>
      <c r="U75" s="1519"/>
      <c r="AE75" s="1552"/>
      <c r="AJ75" s="1519"/>
      <c r="AK75" s="1519"/>
      <c r="AL75" s="1519"/>
    </row>
    <row r="76" spans="1:41" ht="16.5" customHeight="1">
      <c r="A76" s="1526"/>
      <c r="M76" s="1529"/>
      <c r="N76" s="1529"/>
      <c r="O76" s="1525"/>
      <c r="U76" s="1529"/>
      <c r="AK76" s="1529"/>
      <c r="AL76" s="1529"/>
    </row>
    <row r="77" spans="1:41" ht="16.5" customHeight="1">
      <c r="A77" s="1526"/>
      <c r="B77" s="1548" t="s">
        <v>966</v>
      </c>
      <c r="M77" s="1529"/>
      <c r="N77" s="1529"/>
      <c r="O77" s="1525"/>
      <c r="U77" s="1529"/>
      <c r="AK77" s="1529"/>
      <c r="AL77" s="1529"/>
    </row>
    <row r="78" spans="1:41" ht="16.5" customHeight="1">
      <c r="A78" s="1526"/>
      <c r="M78" s="1529"/>
      <c r="N78" s="1529"/>
      <c r="O78" s="1525"/>
      <c r="U78" s="1529"/>
      <c r="AK78" s="1529"/>
      <c r="AL78" s="1529"/>
    </row>
    <row r="79" spans="1:41" ht="16.5" customHeight="1">
      <c r="A79" s="1526"/>
      <c r="B79" s="1518" t="s">
        <v>965</v>
      </c>
      <c r="E79" s="1518" t="s">
        <v>27</v>
      </c>
      <c r="F79" s="1518">
        <f>F80-F81</f>
        <v>100</v>
      </c>
      <c r="G79" s="1518" t="s">
        <v>908</v>
      </c>
      <c r="M79" s="1529"/>
      <c r="N79" s="1529"/>
      <c r="O79" s="1525"/>
      <c r="U79" s="1529"/>
      <c r="AK79" s="1529"/>
      <c r="AL79" s="1529"/>
    </row>
    <row r="80" spans="1:41" ht="16.5" customHeight="1">
      <c r="A80" s="1526"/>
      <c r="B80" s="1518" t="s">
        <v>915</v>
      </c>
      <c r="E80" s="1518" t="s">
        <v>27</v>
      </c>
      <c r="F80" s="1518">
        <f>MAX('CU_Multi Saturasi'!B32:B42)</f>
        <v>290</v>
      </c>
      <c r="G80" s="1518" t="s">
        <v>908</v>
      </c>
      <c r="M80" s="1529"/>
      <c r="N80" s="1529"/>
      <c r="O80" s="1525"/>
      <c r="U80" s="1529"/>
      <c r="AK80" s="1529"/>
      <c r="AL80" s="1529"/>
    </row>
    <row r="81" spans="1:38" ht="16.5" customHeight="1">
      <c r="A81" s="1526"/>
      <c r="B81" s="1518" t="s">
        <v>914</v>
      </c>
      <c r="E81" s="1518" t="s">
        <v>27</v>
      </c>
      <c r="F81" s="1518">
        <f>MAX('CU_Multi Saturasi'!D32:D42)</f>
        <v>190</v>
      </c>
      <c r="G81" s="1518" t="s">
        <v>908</v>
      </c>
      <c r="M81" s="1529"/>
      <c r="N81" s="1529"/>
      <c r="O81" s="1525"/>
      <c r="U81" s="1529"/>
      <c r="AK81" s="1529"/>
      <c r="AL81" s="1529"/>
    </row>
    <row r="82" spans="1:38" ht="16.5" customHeight="1">
      <c r="A82" s="1526"/>
      <c r="B82" s="1518" t="s">
        <v>964</v>
      </c>
      <c r="E82" s="1518" t="s">
        <v>27</v>
      </c>
      <c r="F82" s="2819">
        <f>'CU_Multi Saturasi'!E42</f>
        <v>276</v>
      </c>
      <c r="G82" s="1518" t="s">
        <v>908</v>
      </c>
      <c r="M82" s="1529"/>
      <c r="N82" s="1529"/>
      <c r="O82" s="1525"/>
      <c r="U82" s="1529"/>
      <c r="AK82" s="1529"/>
      <c r="AL82" s="1529"/>
    </row>
    <row r="83" spans="1:38" ht="16.5" customHeight="1">
      <c r="A83" s="1526"/>
      <c r="B83" s="1518" t="s">
        <v>963</v>
      </c>
      <c r="E83" s="1518" t="s">
        <v>27</v>
      </c>
      <c r="F83" s="2819">
        <f>F82-F81</f>
        <v>86</v>
      </c>
      <c r="G83" s="1518" t="s">
        <v>908</v>
      </c>
      <c r="M83" s="1529"/>
      <c r="N83" s="1529"/>
      <c r="O83" s="1525"/>
      <c r="U83" s="1529"/>
      <c r="AK83" s="1529"/>
      <c r="AL83" s="1529"/>
    </row>
    <row r="84" spans="1:38" ht="16.5" customHeight="1">
      <c r="A84" s="1526"/>
      <c r="B84" s="1518" t="str">
        <f>B20</f>
        <v>With</v>
      </c>
      <c r="D84" s="1518" t="str">
        <f>D20</f>
        <v>Side drains</v>
      </c>
      <c r="M84" s="1529"/>
      <c r="N84" s="1529"/>
      <c r="O84" s="1525"/>
      <c r="U84" s="1529"/>
      <c r="AK84" s="1529"/>
      <c r="AL84" s="1529"/>
    </row>
    <row r="85" spans="1:38" ht="16.5" customHeight="1">
      <c r="A85" s="1526"/>
      <c r="M85" s="1529"/>
      <c r="N85" s="1519"/>
      <c r="O85" s="1589"/>
      <c r="U85" s="1529"/>
      <c r="AK85" s="1529"/>
      <c r="AL85" s="1529"/>
    </row>
    <row r="86" spans="1:38" ht="16.5" customHeight="1">
      <c r="A86" s="1526"/>
      <c r="B86" s="1606" t="s">
        <v>76</v>
      </c>
      <c r="C86" s="1556"/>
      <c r="D86" s="1609" t="s">
        <v>962</v>
      </c>
      <c r="E86" s="1556"/>
      <c r="F86" s="1605" t="s">
        <v>16</v>
      </c>
      <c r="G86" s="1605"/>
      <c r="H86" s="4552" t="s">
        <v>961</v>
      </c>
      <c r="I86" s="4553"/>
      <c r="J86" s="4554" t="s">
        <v>913</v>
      </c>
      <c r="K86" s="4554"/>
      <c r="L86" s="4554"/>
      <c r="M86" s="4555"/>
      <c r="N86" s="1519"/>
      <c r="O86" s="1589"/>
      <c r="U86" s="1529"/>
      <c r="AK86" s="1529"/>
      <c r="AL86" s="1529"/>
    </row>
    <row r="87" spans="1:38" ht="16.5" customHeight="1">
      <c r="A87" s="1526"/>
      <c r="B87" s="1608"/>
      <c r="C87" s="1525"/>
      <c r="D87" s="1547"/>
      <c r="E87" s="1525"/>
      <c r="F87" s="1607" t="s">
        <v>10</v>
      </c>
      <c r="G87" s="1607" t="s">
        <v>10</v>
      </c>
      <c r="H87" s="1605" t="s">
        <v>960</v>
      </c>
      <c r="I87" s="1605" t="s">
        <v>905</v>
      </c>
      <c r="J87" s="1605" t="s">
        <v>15</v>
      </c>
      <c r="K87" s="1606" t="s">
        <v>905</v>
      </c>
      <c r="L87" s="1556"/>
      <c r="M87" s="1605" t="s">
        <v>959</v>
      </c>
      <c r="N87" s="1519"/>
      <c r="O87" s="1589"/>
      <c r="U87" s="1529"/>
      <c r="AK87" s="1529"/>
      <c r="AL87" s="1529"/>
    </row>
    <row r="88" spans="1:38" ht="16.5" customHeight="1">
      <c r="A88" s="1526"/>
      <c r="B88" s="1603"/>
      <c r="C88" s="1523"/>
      <c r="D88" s="1604"/>
      <c r="E88" s="1523"/>
      <c r="F88" s="1602" t="s">
        <v>958</v>
      </c>
      <c r="G88" s="1602"/>
      <c r="H88" s="1602"/>
      <c r="I88" s="1602" t="s">
        <v>563</v>
      </c>
      <c r="J88" s="1602" t="s">
        <v>908</v>
      </c>
      <c r="K88" s="1603" t="s">
        <v>908</v>
      </c>
      <c r="L88" s="1523"/>
      <c r="M88" s="1602" t="s">
        <v>1</v>
      </c>
      <c r="N88" s="1519"/>
      <c r="O88" s="1589"/>
      <c r="U88" s="1529"/>
      <c r="AK88" s="1529"/>
      <c r="AL88" s="1529"/>
    </row>
    <row r="89" spans="1:38" ht="16.5" customHeight="1">
      <c r="A89" s="1526"/>
      <c r="B89" s="1601">
        <f>N68</f>
        <v>0</v>
      </c>
      <c r="C89" s="1539"/>
      <c r="D89" s="1600">
        <v>0.34027777777777773</v>
      </c>
      <c r="E89" s="1539"/>
      <c r="F89" s="1599">
        <v>0</v>
      </c>
      <c r="G89" s="1538">
        <f t="shared" ref="G89:G102" si="5">SQRT(F89)</f>
        <v>0</v>
      </c>
      <c r="H89" s="1598">
        <v>32.799999999999997</v>
      </c>
      <c r="I89" s="1617">
        <v>0</v>
      </c>
      <c r="J89" s="2833">
        <f>F82</f>
        <v>276</v>
      </c>
      <c r="K89" s="1616">
        <v>0</v>
      </c>
      <c r="L89" s="1615"/>
      <c r="M89" s="1537">
        <f>(K89/$F$19)*100</f>
        <v>0</v>
      </c>
      <c r="N89" s="1519"/>
      <c r="O89" s="1589"/>
      <c r="U89" s="1529"/>
      <c r="AK89" s="1529"/>
      <c r="AL89" s="1529"/>
    </row>
    <row r="90" spans="1:38" ht="16.5" customHeight="1">
      <c r="A90" s="1526"/>
      <c r="B90" s="1551"/>
      <c r="C90" s="1533"/>
      <c r="D90" s="1596">
        <v>0.34045138888888887</v>
      </c>
      <c r="E90" s="1533"/>
      <c r="F90" s="1595">
        <v>0.25</v>
      </c>
      <c r="G90" s="1535">
        <f t="shared" si="5"/>
        <v>0.5</v>
      </c>
      <c r="H90" s="1594">
        <v>32.4</v>
      </c>
      <c r="I90" s="1534">
        <f t="shared" ref="I90:I102" si="6">$H$89-H90</f>
        <v>0.39999999999999858</v>
      </c>
      <c r="J90" s="1594">
        <v>265</v>
      </c>
      <c r="K90" s="1614">
        <f t="shared" ref="K90:K102" si="7">$J$89-J90</f>
        <v>11</v>
      </c>
      <c r="L90" s="1553"/>
      <c r="M90" s="1531">
        <f t="shared" ref="M90:M102" si="8">(K90/$F$83)*100</f>
        <v>12.790697674418606</v>
      </c>
      <c r="N90" s="1519"/>
      <c r="O90" s="1589"/>
      <c r="U90" s="1529"/>
      <c r="AK90" s="1529"/>
      <c r="AL90" s="1529"/>
    </row>
    <row r="91" spans="1:38" ht="16.5" customHeight="1">
      <c r="A91" s="1526"/>
      <c r="B91" s="1551"/>
      <c r="C91" s="1533"/>
      <c r="D91" s="1596">
        <v>0.34062500000000001</v>
      </c>
      <c r="E91" s="1533"/>
      <c r="F91" s="1595">
        <v>0.5</v>
      </c>
      <c r="G91" s="1535">
        <f t="shared" si="5"/>
        <v>0.70710678118654757</v>
      </c>
      <c r="H91" s="1594">
        <v>32.200000000000003</v>
      </c>
      <c r="I91" s="1534">
        <f t="shared" si="6"/>
        <v>0.59999999999999432</v>
      </c>
      <c r="J91" s="1594">
        <v>247</v>
      </c>
      <c r="K91" s="1614">
        <f t="shared" si="7"/>
        <v>29</v>
      </c>
      <c r="L91" s="1553"/>
      <c r="M91" s="1531">
        <f t="shared" si="8"/>
        <v>33.720930232558139</v>
      </c>
      <c r="N91" s="1519"/>
      <c r="O91" s="1589"/>
      <c r="U91" s="1529"/>
      <c r="AK91" s="1529"/>
      <c r="AL91" s="1529"/>
    </row>
    <row r="92" spans="1:38" ht="16.5" customHeight="1">
      <c r="A92" s="1526"/>
      <c r="B92" s="1551"/>
      <c r="C92" s="1533"/>
      <c r="D92" s="1596">
        <v>0.34097222222222223</v>
      </c>
      <c r="E92" s="1533"/>
      <c r="F92" s="1595">
        <v>1</v>
      </c>
      <c r="G92" s="1535">
        <f t="shared" si="5"/>
        <v>1</v>
      </c>
      <c r="H92" s="1594">
        <v>32</v>
      </c>
      <c r="I92" s="1534">
        <f t="shared" si="6"/>
        <v>0.79999999999999716</v>
      </c>
      <c r="J92" s="1594">
        <v>242</v>
      </c>
      <c r="K92" s="1614">
        <f t="shared" si="7"/>
        <v>34</v>
      </c>
      <c r="L92" s="1553"/>
      <c r="M92" s="1531">
        <f t="shared" si="8"/>
        <v>39.534883720930232</v>
      </c>
      <c r="N92" s="1519"/>
      <c r="O92" s="1589"/>
      <c r="R92" s="1581"/>
      <c r="U92" s="1529"/>
      <c r="AK92" s="1529"/>
      <c r="AL92" s="1529"/>
    </row>
    <row r="93" spans="1:38" ht="16.5" customHeight="1">
      <c r="A93" s="1526"/>
      <c r="B93" s="1551"/>
      <c r="C93" s="1533"/>
      <c r="D93" s="1596">
        <f t="shared" ref="D93:D102" si="9">$D$89+F93/1440</f>
        <v>0.34184027777777776</v>
      </c>
      <c r="E93" s="1533"/>
      <c r="F93" s="1595">
        <v>2.25</v>
      </c>
      <c r="G93" s="1535">
        <f t="shared" si="5"/>
        <v>1.5</v>
      </c>
      <c r="H93" s="1594">
        <v>31.8</v>
      </c>
      <c r="I93" s="1534">
        <f t="shared" si="6"/>
        <v>0.99999999999999645</v>
      </c>
      <c r="J93" s="1594">
        <v>235</v>
      </c>
      <c r="K93" s="1614">
        <f t="shared" si="7"/>
        <v>41</v>
      </c>
      <c r="L93" s="1553"/>
      <c r="M93" s="1531">
        <f t="shared" si="8"/>
        <v>47.674418604651166</v>
      </c>
      <c r="N93" s="1519"/>
      <c r="O93" s="1589"/>
      <c r="U93" s="1529"/>
      <c r="AK93" s="1529"/>
      <c r="AL93" s="1529"/>
    </row>
    <row r="94" spans="1:38" ht="16.5" customHeight="1">
      <c r="A94" s="1526"/>
      <c r="B94" s="1551"/>
      <c r="C94" s="1533"/>
      <c r="D94" s="1596">
        <f t="shared" si="9"/>
        <v>0.3430555555555555</v>
      </c>
      <c r="E94" s="1533"/>
      <c r="F94" s="1595">
        <v>4</v>
      </c>
      <c r="G94" s="1535">
        <f t="shared" si="5"/>
        <v>2</v>
      </c>
      <c r="H94" s="1594">
        <v>31.6</v>
      </c>
      <c r="I94" s="1534">
        <f t="shared" si="6"/>
        <v>1.1999999999999957</v>
      </c>
      <c r="J94" s="1594">
        <v>227</v>
      </c>
      <c r="K94" s="1614">
        <f t="shared" si="7"/>
        <v>49</v>
      </c>
      <c r="L94" s="1553"/>
      <c r="M94" s="1531">
        <f t="shared" si="8"/>
        <v>56.97674418604651</v>
      </c>
      <c r="N94" s="1519"/>
      <c r="O94" s="1589"/>
      <c r="U94" s="1529"/>
      <c r="AK94" s="1529"/>
      <c r="AL94" s="1529"/>
    </row>
    <row r="95" spans="1:38" ht="16.5" customHeight="1">
      <c r="A95" s="1526"/>
      <c r="B95" s="1551"/>
      <c r="C95" s="1533"/>
      <c r="D95" s="1596">
        <f t="shared" si="9"/>
        <v>0.34652777777777771</v>
      </c>
      <c r="E95" s="1533"/>
      <c r="F95" s="1595">
        <v>9</v>
      </c>
      <c r="G95" s="1535">
        <f t="shared" si="5"/>
        <v>3</v>
      </c>
      <c r="H95" s="1594">
        <v>31.3</v>
      </c>
      <c r="I95" s="1534">
        <f t="shared" si="6"/>
        <v>1.4999999999999964</v>
      </c>
      <c r="J95" s="1594">
        <v>215</v>
      </c>
      <c r="K95" s="1614">
        <f t="shared" si="7"/>
        <v>61</v>
      </c>
      <c r="L95" s="1553"/>
      <c r="M95" s="1531">
        <f t="shared" si="8"/>
        <v>70.930232558139537</v>
      </c>
      <c r="N95" s="1519"/>
      <c r="O95" s="1589"/>
      <c r="U95" s="1529"/>
      <c r="AK95" s="1529"/>
      <c r="AL95" s="1529"/>
    </row>
    <row r="96" spans="1:38" ht="16.5" customHeight="1">
      <c r="A96" s="1526"/>
      <c r="B96" s="1551"/>
      <c r="C96" s="1533"/>
      <c r="D96" s="1596">
        <f t="shared" si="9"/>
        <v>0.35138888888888886</v>
      </c>
      <c r="E96" s="1533"/>
      <c r="F96" s="1595">
        <v>16</v>
      </c>
      <c r="G96" s="1535">
        <f t="shared" si="5"/>
        <v>4</v>
      </c>
      <c r="H96" s="1594">
        <v>31.2</v>
      </c>
      <c r="I96" s="1534">
        <f t="shared" si="6"/>
        <v>1.5999999999999979</v>
      </c>
      <c r="J96" s="1594">
        <v>205</v>
      </c>
      <c r="K96" s="1614">
        <f t="shared" si="7"/>
        <v>71</v>
      </c>
      <c r="L96" s="1553"/>
      <c r="M96" s="1531">
        <f t="shared" si="8"/>
        <v>82.558139534883722</v>
      </c>
      <c r="N96" s="1519"/>
      <c r="O96" s="1589"/>
      <c r="U96" s="1529"/>
      <c r="AK96" s="1529"/>
      <c r="AL96" s="1529"/>
    </row>
    <row r="97" spans="1:41" ht="16.5" customHeight="1">
      <c r="A97" s="1526"/>
      <c r="B97" s="1551"/>
      <c r="C97" s="1533"/>
      <c r="D97" s="1596">
        <f t="shared" si="9"/>
        <v>0.35763888888888884</v>
      </c>
      <c r="E97" s="1533"/>
      <c r="F97" s="1595">
        <v>25</v>
      </c>
      <c r="G97" s="1535">
        <f t="shared" si="5"/>
        <v>5</v>
      </c>
      <c r="H97" s="1594">
        <v>31.1</v>
      </c>
      <c r="I97" s="1534">
        <f t="shared" si="6"/>
        <v>1.6999999999999957</v>
      </c>
      <c r="J97" s="1594">
        <v>200</v>
      </c>
      <c r="K97" s="1614">
        <f t="shared" si="7"/>
        <v>76</v>
      </c>
      <c r="L97" s="1553"/>
      <c r="M97" s="1531">
        <f t="shared" si="8"/>
        <v>88.372093023255815</v>
      </c>
      <c r="N97" s="1519"/>
      <c r="O97" s="1589"/>
      <c r="U97" s="1529"/>
      <c r="AK97" s="1529"/>
      <c r="AL97" s="1529"/>
    </row>
    <row r="98" spans="1:41" ht="16.5" customHeight="1">
      <c r="A98" s="1526"/>
      <c r="B98" s="1551"/>
      <c r="C98" s="1533"/>
      <c r="D98" s="1596">
        <f t="shared" si="9"/>
        <v>0.36527777777777776</v>
      </c>
      <c r="E98" s="1533"/>
      <c r="F98" s="1595">
        <v>36</v>
      </c>
      <c r="G98" s="1535">
        <f t="shared" si="5"/>
        <v>6</v>
      </c>
      <c r="H98" s="1594">
        <v>31.1</v>
      </c>
      <c r="I98" s="1534">
        <f t="shared" si="6"/>
        <v>1.6999999999999957</v>
      </c>
      <c r="J98" s="1594">
        <v>197</v>
      </c>
      <c r="K98" s="1614">
        <f t="shared" si="7"/>
        <v>79</v>
      </c>
      <c r="L98" s="1553"/>
      <c r="M98" s="1531">
        <f t="shared" si="8"/>
        <v>91.860465116279073</v>
      </c>
      <c r="N98" s="1519"/>
      <c r="O98" s="1589"/>
      <c r="U98" s="1529"/>
      <c r="AK98" s="1529"/>
      <c r="AL98" s="1529"/>
    </row>
    <row r="99" spans="1:41" ht="16.5" customHeight="1">
      <c r="A99" s="1526"/>
      <c r="B99" s="1551"/>
      <c r="C99" s="1533"/>
      <c r="D99" s="1596">
        <f t="shared" si="9"/>
        <v>0.38472222222222219</v>
      </c>
      <c r="E99" s="1533"/>
      <c r="F99" s="1595">
        <v>64</v>
      </c>
      <c r="G99" s="1535">
        <f t="shared" si="5"/>
        <v>8</v>
      </c>
      <c r="H99" s="1594">
        <v>31.1</v>
      </c>
      <c r="I99" s="1534">
        <f t="shared" si="6"/>
        <v>1.6999999999999957</v>
      </c>
      <c r="J99" s="1594">
        <v>192</v>
      </c>
      <c r="K99" s="1614">
        <f t="shared" si="7"/>
        <v>84</v>
      </c>
      <c r="L99" s="1553"/>
      <c r="M99" s="1531">
        <f t="shared" si="8"/>
        <v>97.674418604651152</v>
      </c>
      <c r="N99" s="1519"/>
      <c r="O99" s="1589"/>
      <c r="U99" s="1529"/>
      <c r="AK99" s="1529"/>
      <c r="AL99" s="1529"/>
    </row>
    <row r="100" spans="1:41" ht="16.5" customHeight="1">
      <c r="A100" s="1526"/>
      <c r="B100" s="1551"/>
      <c r="C100" s="1533"/>
      <c r="D100" s="1596">
        <f t="shared" si="9"/>
        <v>0.42430555555555549</v>
      </c>
      <c r="E100" s="1533"/>
      <c r="F100" s="1595">
        <v>121</v>
      </c>
      <c r="G100" s="1535">
        <f t="shared" si="5"/>
        <v>11</v>
      </c>
      <c r="H100" s="1594">
        <v>31.1</v>
      </c>
      <c r="I100" s="1534">
        <f t="shared" si="6"/>
        <v>1.6999999999999957</v>
      </c>
      <c r="J100" s="1594">
        <v>190</v>
      </c>
      <c r="K100" s="1614">
        <f t="shared" si="7"/>
        <v>86</v>
      </c>
      <c r="L100" s="1553"/>
      <c r="M100" s="1531">
        <f t="shared" si="8"/>
        <v>100</v>
      </c>
      <c r="N100" s="1519"/>
      <c r="O100" s="1589"/>
      <c r="U100" s="1529"/>
      <c r="AK100" s="1529"/>
      <c r="AL100" s="1529"/>
    </row>
    <row r="101" spans="1:41" ht="16.5" customHeight="1">
      <c r="A101" s="1526"/>
      <c r="B101" s="1551"/>
      <c r="C101" s="1533"/>
      <c r="D101" s="1596">
        <f t="shared" si="9"/>
        <v>0.49652777777777773</v>
      </c>
      <c r="E101" s="1533"/>
      <c r="F101" s="1595">
        <v>225</v>
      </c>
      <c r="G101" s="1535">
        <f t="shared" si="5"/>
        <v>15</v>
      </c>
      <c r="H101" s="1594">
        <v>31.1</v>
      </c>
      <c r="I101" s="1534">
        <f t="shared" si="6"/>
        <v>1.6999999999999957</v>
      </c>
      <c r="J101" s="1594">
        <v>190</v>
      </c>
      <c r="K101" s="1614">
        <f t="shared" si="7"/>
        <v>86</v>
      </c>
      <c r="L101" s="1553"/>
      <c r="M101" s="1531">
        <f t="shared" si="8"/>
        <v>100</v>
      </c>
      <c r="N101" s="1519"/>
      <c r="O101" s="1589"/>
      <c r="U101" s="1529"/>
      <c r="AK101" s="1529"/>
      <c r="AL101" s="1529"/>
    </row>
    <row r="102" spans="1:41" ht="16.5" customHeight="1">
      <c r="A102" s="1526"/>
      <c r="B102" s="1597"/>
      <c r="C102" s="1533"/>
      <c r="D102" s="1596">
        <f t="shared" si="9"/>
        <v>1.0972222222222221</v>
      </c>
      <c r="E102" s="1533"/>
      <c r="F102" s="1595">
        <v>1090</v>
      </c>
      <c r="G102" s="1535">
        <f t="shared" si="5"/>
        <v>33.015148038438355</v>
      </c>
      <c r="H102" s="1594">
        <v>31.1</v>
      </c>
      <c r="I102" s="1534">
        <f t="shared" si="6"/>
        <v>1.6999999999999957</v>
      </c>
      <c r="J102" s="1594">
        <v>190</v>
      </c>
      <c r="K102" s="1614">
        <f t="shared" si="7"/>
        <v>86</v>
      </c>
      <c r="L102" s="1553"/>
      <c r="M102" s="1531">
        <f t="shared" si="8"/>
        <v>100</v>
      </c>
      <c r="N102" s="1519"/>
      <c r="O102" s="1589"/>
      <c r="U102" s="1529"/>
      <c r="AK102" s="1529"/>
      <c r="AL102" s="1529"/>
    </row>
    <row r="103" spans="1:41" ht="16.5" customHeight="1">
      <c r="A103" s="1526"/>
      <c r="B103" s="1550"/>
      <c r="C103" s="1565"/>
      <c r="D103" s="1549"/>
      <c r="E103" s="1565"/>
      <c r="F103" s="1592"/>
      <c r="G103" s="1528"/>
      <c r="H103" s="1528"/>
      <c r="I103" s="1592"/>
      <c r="J103" s="1528"/>
      <c r="K103" s="1550"/>
      <c r="L103" s="1565"/>
      <c r="M103" s="1590"/>
      <c r="N103" s="1519"/>
      <c r="O103" s="1589"/>
      <c r="U103" s="1529"/>
      <c r="AK103" s="1529"/>
      <c r="AL103" s="1529"/>
    </row>
    <row r="104" spans="1:41" ht="16.5" customHeight="1">
      <c r="A104" s="1526"/>
      <c r="F104" s="1547"/>
      <c r="M104" s="1529"/>
      <c r="N104" s="1519"/>
      <c r="O104" s="1589"/>
      <c r="U104" s="1529"/>
      <c r="AK104" s="1529"/>
      <c r="AL104" s="1529"/>
    </row>
    <row r="105" spans="1:41" ht="16.5" customHeight="1">
      <c r="A105" s="1526"/>
      <c r="F105" s="1547"/>
      <c r="M105" s="1529"/>
      <c r="N105" s="1529"/>
      <c r="O105" s="1525"/>
      <c r="P105" s="2813"/>
      <c r="Q105" s="1518"/>
      <c r="R105" s="1522" t="s">
        <v>1321</v>
      </c>
      <c r="S105" s="2818">
        <f>S41</f>
        <v>38</v>
      </c>
      <c r="T105" s="1519" t="s">
        <v>2</v>
      </c>
      <c r="W105" s="2812"/>
      <c r="AK105" s="1529"/>
      <c r="AL105" s="1529"/>
    </row>
    <row r="106" spans="1:41" ht="16.5" customHeight="1">
      <c r="A106" s="1526"/>
      <c r="F106" s="1547"/>
      <c r="M106" s="1529"/>
      <c r="N106" s="1529"/>
      <c r="O106" s="1525"/>
      <c r="P106" s="2813"/>
      <c r="Q106" s="1518"/>
      <c r="R106" s="1522"/>
      <c r="S106" s="2818">
        <f>S42</f>
        <v>3.8</v>
      </c>
      <c r="T106" s="1519" t="s">
        <v>104</v>
      </c>
      <c r="W106" s="2812"/>
      <c r="AK106" s="1529"/>
      <c r="AL106" s="1529"/>
    </row>
    <row r="107" spans="1:41" ht="16.5" customHeight="1">
      <c r="A107" s="1526"/>
      <c r="F107" s="1547"/>
      <c r="O107" s="1525"/>
      <c r="P107" s="2813"/>
      <c r="Q107" s="1518"/>
      <c r="R107" s="1522" t="s">
        <v>1322</v>
      </c>
      <c r="S107" s="2818">
        <f>S43</f>
        <v>86.192736043889553</v>
      </c>
      <c r="T107" s="1519" t="s">
        <v>615</v>
      </c>
      <c r="W107" s="2812"/>
    </row>
    <row r="108" spans="1:41" ht="16.5" customHeight="1">
      <c r="A108" s="1526"/>
      <c r="O108" s="1525"/>
      <c r="P108" s="2813"/>
      <c r="Q108" s="1518"/>
      <c r="R108" s="1522" t="s">
        <v>1323</v>
      </c>
      <c r="S108" s="2818">
        <f>F79</f>
        <v>100</v>
      </c>
      <c r="T108" s="1519" t="s">
        <v>908</v>
      </c>
      <c r="W108" s="2812"/>
    </row>
    <row r="109" spans="1:41" ht="16.5" customHeight="1">
      <c r="A109" s="1526"/>
      <c r="O109" s="1525"/>
      <c r="P109" s="2813"/>
      <c r="Q109" s="1518"/>
      <c r="R109" s="1522" t="s">
        <v>1324</v>
      </c>
      <c r="S109" s="2818">
        <f>MAX(I89:I102)</f>
        <v>1.6999999999999957</v>
      </c>
      <c r="T109" s="1519" t="s">
        <v>563</v>
      </c>
      <c r="W109" s="2812"/>
    </row>
    <row r="110" spans="1:41" ht="16.5" customHeight="1">
      <c r="A110" s="1526"/>
      <c r="O110" s="1525"/>
      <c r="P110" s="2819"/>
      <c r="Q110" s="2814"/>
      <c r="R110" s="2814"/>
      <c r="T110" s="1522" t="s">
        <v>1315</v>
      </c>
      <c r="U110" s="1536">
        <f>Q126</f>
        <v>5</v>
      </c>
      <c r="V110" s="1519" t="s">
        <v>1197</v>
      </c>
    </row>
    <row r="111" spans="1:41" ht="16.5" customHeight="1">
      <c r="A111" s="1526"/>
      <c r="O111" s="1525"/>
      <c r="P111" s="2819"/>
      <c r="Q111" s="2814"/>
      <c r="S111" s="2820" t="s">
        <v>1314</v>
      </c>
      <c r="T111" s="1522" t="s">
        <v>1316</v>
      </c>
      <c r="U111" s="1536"/>
    </row>
    <row r="112" spans="1:41" ht="16.5" customHeight="1">
      <c r="A112" s="1532"/>
      <c r="B112" s="1529"/>
      <c r="C112" s="1529"/>
      <c r="D112" s="1529"/>
      <c r="E112" s="1529"/>
      <c r="F112" s="1529"/>
      <c r="G112" s="1529"/>
      <c r="H112" s="1529"/>
      <c r="I112" s="1529"/>
      <c r="J112" s="1529"/>
      <c r="K112" s="1529"/>
      <c r="L112" s="1529"/>
      <c r="M112" s="1529"/>
      <c r="N112" s="1529"/>
      <c r="O112" s="1588"/>
      <c r="P112" s="2819"/>
      <c r="Q112" s="2821"/>
      <c r="R112" s="2822"/>
      <c r="T112" s="2823">
        <f>INDEX(G89:G102,MATCH(MAX(I89:I102), I89:I102,0))</f>
        <v>5</v>
      </c>
      <c r="U112" s="1536">
        <f>U110^2</f>
        <v>25</v>
      </c>
      <c r="V112" s="1519" t="s">
        <v>1197</v>
      </c>
      <c r="W112" s="1529"/>
      <c r="X112" s="1529"/>
      <c r="Y112" s="1529"/>
      <c r="AA112" s="1530"/>
      <c r="AB112" s="1529"/>
      <c r="AC112" s="1529"/>
      <c r="AD112" s="1529"/>
      <c r="AE112" s="1529"/>
      <c r="AF112" s="1529"/>
      <c r="AG112" s="1529"/>
      <c r="AH112" s="1529"/>
      <c r="AI112" s="1529"/>
      <c r="AJ112" s="1529"/>
      <c r="AK112" s="1529"/>
      <c r="AL112" s="1529"/>
      <c r="AM112" s="1529"/>
      <c r="AN112" s="1529"/>
      <c r="AO112" s="1529"/>
    </row>
    <row r="113" spans="1:41" ht="16.5" customHeight="1">
      <c r="A113" s="1526"/>
      <c r="D113" s="1519"/>
      <c r="E113" s="1519"/>
      <c r="F113" s="1519"/>
      <c r="I113" s="1522"/>
      <c r="J113" s="1527"/>
      <c r="K113" s="1527"/>
      <c r="L113" s="1520"/>
      <c r="M113" s="1520"/>
      <c r="N113" s="1520"/>
      <c r="O113" s="1580"/>
      <c r="P113" s="2819"/>
      <c r="Q113" s="4550" t="s">
        <v>431</v>
      </c>
      <c r="R113" s="4551"/>
      <c r="T113" s="1519" t="s">
        <v>1318</v>
      </c>
      <c r="U113" s="1520"/>
      <c r="V113" s="1581"/>
      <c r="W113" s="1520"/>
      <c r="X113" s="1520"/>
      <c r="AD113" s="1519"/>
      <c r="AE113" s="1519"/>
      <c r="AH113" s="1522"/>
      <c r="AI113" s="1527"/>
      <c r="AJ113" s="1520"/>
      <c r="AK113" s="1520"/>
      <c r="AL113" s="1520"/>
      <c r="AM113" s="1520"/>
      <c r="AN113" s="1520"/>
    </row>
    <row r="114" spans="1:41" ht="16.5" customHeight="1">
      <c r="A114" s="1526"/>
      <c r="D114" s="1519"/>
      <c r="E114" s="1519"/>
      <c r="F114" s="1519"/>
      <c r="I114" s="1522"/>
      <c r="J114" s="1521"/>
      <c r="K114" s="1521"/>
      <c r="L114" s="1587"/>
      <c r="M114" s="1587"/>
      <c r="N114" s="1587"/>
      <c r="O114" s="1580"/>
      <c r="P114" s="2819"/>
      <c r="Q114" s="2824" t="s">
        <v>743</v>
      </c>
      <c r="R114" s="2824" t="s">
        <v>744</v>
      </c>
      <c r="T114" s="1522" t="s">
        <v>1319</v>
      </c>
      <c r="U114" s="2817">
        <f>S105/2</f>
        <v>19</v>
      </c>
      <c r="V114" s="1581" t="s">
        <v>2</v>
      </c>
      <c r="W114" s="1520"/>
      <c r="X114" s="1520"/>
      <c r="AD114" s="1519"/>
      <c r="AE114" s="1519"/>
      <c r="AH114" s="1522"/>
      <c r="AI114" s="1521"/>
      <c r="AJ114" s="1587"/>
      <c r="AK114" s="1587"/>
      <c r="AL114" s="1587"/>
      <c r="AM114" s="1520"/>
      <c r="AN114" s="1520"/>
    </row>
    <row r="115" spans="1:41" ht="16.5" customHeight="1">
      <c r="A115" s="1526"/>
      <c r="D115" s="1519"/>
      <c r="E115" s="1519"/>
      <c r="F115" s="1519"/>
      <c r="I115" s="1522"/>
      <c r="J115" s="1521"/>
      <c r="K115" s="1521"/>
      <c r="L115" s="1520"/>
      <c r="M115" s="1520"/>
      <c r="N115" s="1520"/>
      <c r="O115" s="1580"/>
      <c r="P115" s="2819"/>
      <c r="Q115" s="2824">
        <v>0</v>
      </c>
      <c r="R115" s="2829">
        <v>0.8</v>
      </c>
      <c r="U115" s="2817">
        <f>S106/2</f>
        <v>1.9</v>
      </c>
      <c r="V115" s="1581" t="s">
        <v>104</v>
      </c>
      <c r="W115" s="1520"/>
      <c r="X115" s="1520"/>
      <c r="AD115" s="1519"/>
      <c r="AE115" s="1519"/>
      <c r="AH115" s="1522"/>
      <c r="AI115" s="1521"/>
      <c r="AJ115" s="1520"/>
      <c r="AK115" s="1520"/>
      <c r="AL115" s="1520"/>
      <c r="AM115" s="1520"/>
      <c r="AN115" s="1520"/>
    </row>
    <row r="116" spans="1:41" ht="16.5" customHeight="1">
      <c r="A116" s="1526"/>
      <c r="D116" s="1519"/>
      <c r="E116" s="1519"/>
      <c r="F116" s="1519"/>
      <c r="I116" s="1522"/>
      <c r="J116" s="1521"/>
      <c r="K116" s="1521"/>
      <c r="L116" s="1520"/>
      <c r="M116" s="1520"/>
      <c r="N116" s="1520"/>
      <c r="O116" s="1580"/>
      <c r="Q116" s="2830">
        <v>6.7</v>
      </c>
      <c r="R116" s="2835" cm="1">
        <f t="array" ref="R116">MAX(I89:I102+0.5)</f>
        <v>2.1999999999999957</v>
      </c>
      <c r="U116" s="2817"/>
      <c r="V116" s="1581"/>
      <c r="W116" s="1520"/>
      <c r="X116" s="1520"/>
      <c r="AD116" s="1519"/>
      <c r="AE116" s="1519"/>
      <c r="AH116" s="1522"/>
      <c r="AI116" s="1521"/>
      <c r="AJ116" s="1520"/>
      <c r="AK116" s="1520"/>
      <c r="AL116" s="1520"/>
      <c r="AM116" s="1520"/>
      <c r="AN116" s="1520"/>
    </row>
    <row r="117" spans="1:41" ht="16.5" customHeight="1">
      <c r="A117" s="1526"/>
      <c r="D117" s="1519"/>
      <c r="E117" s="1519"/>
      <c r="F117" s="1519"/>
      <c r="I117" s="1522"/>
      <c r="J117" s="1521"/>
      <c r="K117" s="1521"/>
      <c r="L117" s="1520"/>
      <c r="M117" s="1520"/>
      <c r="N117" s="1520"/>
      <c r="O117" s="1580"/>
      <c r="T117" s="1522" t="s">
        <v>494</v>
      </c>
      <c r="U117" s="2816">
        <f>(0.848*(U115^2)/U112)</f>
        <v>0.1224512</v>
      </c>
      <c r="V117" s="1581" t="s">
        <v>1325</v>
      </c>
      <c r="W117" s="1520"/>
      <c r="X117" s="1520"/>
      <c r="AD117" s="1519"/>
      <c r="AE117" s="1519"/>
      <c r="AH117" s="1522"/>
      <c r="AI117" s="1521"/>
      <c r="AJ117" s="1520"/>
      <c r="AK117" s="1520"/>
      <c r="AL117" s="1520"/>
      <c r="AM117" s="1520"/>
      <c r="AN117" s="1520"/>
    </row>
    <row r="118" spans="1:41" ht="16.5" customHeight="1">
      <c r="A118" s="1526"/>
      <c r="D118" s="1519"/>
      <c r="E118" s="1519"/>
      <c r="F118" s="1519"/>
      <c r="I118" s="1522"/>
      <c r="J118" s="1521"/>
      <c r="K118" s="1521"/>
      <c r="L118" s="1520"/>
      <c r="M118" s="1520"/>
      <c r="N118" s="1520"/>
      <c r="O118" s="1580"/>
      <c r="Q118" s="4550" t="s">
        <v>1328</v>
      </c>
      <c r="R118" s="4551"/>
      <c r="U118" s="2816">
        <f>U117/60</f>
        <v>2.0408533333333332E-3</v>
      </c>
      <c r="V118" s="1581" t="s">
        <v>1326</v>
      </c>
      <c r="W118" s="1520"/>
      <c r="X118" s="1520"/>
      <c r="AD118" s="1519"/>
      <c r="AE118" s="1519"/>
      <c r="AH118" s="1522"/>
      <c r="AI118" s="1521"/>
      <c r="AJ118" s="1520"/>
      <c r="AK118" s="1520"/>
      <c r="AL118" s="1520"/>
      <c r="AM118" s="1520"/>
      <c r="AN118" s="1520"/>
    </row>
    <row r="119" spans="1:41" ht="16.5" customHeight="1">
      <c r="A119" s="1526"/>
      <c r="D119" s="1519"/>
      <c r="E119" s="1519"/>
      <c r="F119" s="1519"/>
      <c r="I119" s="1522"/>
      <c r="J119" s="1521"/>
      <c r="K119" s="1521"/>
      <c r="L119" s="1520"/>
      <c r="M119" s="1520"/>
      <c r="N119" s="1520"/>
      <c r="O119" s="1580"/>
      <c r="Q119" s="2824" t="s">
        <v>743</v>
      </c>
      <c r="R119" s="2824" t="s">
        <v>744</v>
      </c>
      <c r="U119" s="2817">
        <f>U118*3153.6</f>
        <v>6.4360350719999992</v>
      </c>
      <c r="V119" s="1581" t="s">
        <v>948</v>
      </c>
      <c r="W119" s="1520"/>
      <c r="X119" s="1520"/>
      <c r="AD119" s="1519"/>
      <c r="AE119" s="1519"/>
      <c r="AH119" s="1522"/>
      <c r="AI119" s="1521"/>
      <c r="AJ119" s="1520"/>
      <c r="AK119" s="1520"/>
      <c r="AL119" s="1520"/>
      <c r="AM119" s="1520"/>
      <c r="AN119" s="1520"/>
    </row>
    <row r="120" spans="1:41" ht="16.5" customHeight="1">
      <c r="A120" s="1526"/>
      <c r="D120" s="1519"/>
      <c r="E120" s="1519"/>
      <c r="F120" s="1519"/>
      <c r="I120" s="1522"/>
      <c r="J120" s="1521"/>
      <c r="K120" s="1521"/>
      <c r="L120" s="1520"/>
      <c r="M120" s="1520"/>
      <c r="N120" s="1520"/>
      <c r="O120" s="1580"/>
      <c r="Q120" s="2824">
        <v>0</v>
      </c>
      <c r="R120" s="2824">
        <f>R115</f>
        <v>0.8</v>
      </c>
      <c r="U120" s="2817"/>
      <c r="V120" s="1581"/>
      <c r="W120" s="1520"/>
      <c r="X120" s="1520"/>
      <c r="AD120" s="1519"/>
      <c r="AE120" s="1519"/>
      <c r="AH120" s="1522"/>
      <c r="AI120" s="1521"/>
      <c r="AJ120" s="1520"/>
      <c r="AK120" s="1520"/>
      <c r="AL120" s="1520"/>
      <c r="AM120" s="1520"/>
      <c r="AN120" s="1520"/>
    </row>
    <row r="121" spans="1:41" ht="16.5" customHeight="1">
      <c r="A121" s="1526"/>
      <c r="D121" s="1519"/>
      <c r="E121" s="1519"/>
      <c r="F121" s="1519"/>
      <c r="I121" s="1522"/>
      <c r="J121" s="1521"/>
      <c r="K121" s="1521"/>
      <c r="L121" s="1520"/>
      <c r="M121" s="1520"/>
      <c r="N121" s="1520"/>
      <c r="O121" s="1580"/>
      <c r="Q121" s="1541">
        <f>Q116*1.15</f>
        <v>7.7049999999999992</v>
      </c>
      <c r="R121" s="1541">
        <f>R116</f>
        <v>2.1999999999999957</v>
      </c>
      <c r="T121" s="1522" t="s">
        <v>493</v>
      </c>
      <c r="U121" s="2815">
        <f>S109/(S107*S108)</f>
        <v>1.972323977665997E-4</v>
      </c>
      <c r="V121" s="1581"/>
      <c r="W121" s="1520"/>
      <c r="X121" s="1520"/>
      <c r="AD121" s="1519"/>
      <c r="AE121" s="1519"/>
      <c r="AH121" s="1522"/>
      <c r="AI121" s="1521"/>
      <c r="AJ121" s="1520"/>
      <c r="AK121" s="1520"/>
      <c r="AL121" s="1520"/>
      <c r="AM121" s="1520"/>
      <c r="AN121" s="1520"/>
    </row>
    <row r="122" spans="1:41" ht="16.5" customHeight="1">
      <c r="A122" s="1526"/>
      <c r="D122" s="1518" t="s">
        <v>968</v>
      </c>
      <c r="E122" s="1519" t="s">
        <v>27</v>
      </c>
      <c r="F122" s="1584">
        <f>U110</f>
        <v>5</v>
      </c>
      <c r="I122" s="1518" t="s">
        <v>956</v>
      </c>
      <c r="J122" s="1522"/>
      <c r="K122" s="1613">
        <v>5</v>
      </c>
      <c r="L122" s="1585">
        <v>5</v>
      </c>
      <c r="M122" s="1581" t="s">
        <v>1</v>
      </c>
      <c r="N122" s="1520"/>
      <c r="O122" s="1580"/>
      <c r="R122" s="1579"/>
      <c r="U122" s="2825">
        <f>U121</f>
        <v>1.972323977665997E-4</v>
      </c>
      <c r="V122" s="1581" t="s">
        <v>1327</v>
      </c>
      <c r="W122" s="1520"/>
      <c r="X122" s="1520"/>
      <c r="AD122" s="1519"/>
      <c r="AE122" s="1519"/>
      <c r="AH122" s="1522"/>
      <c r="AI122" s="1521"/>
      <c r="AJ122" s="1520"/>
      <c r="AK122" s="1520"/>
      <c r="AL122" s="1520"/>
      <c r="AM122" s="1520"/>
      <c r="AN122" s="1520"/>
    </row>
    <row r="123" spans="1:41" ht="16.5" customHeight="1">
      <c r="A123" s="1526"/>
      <c r="D123" s="1518" t="s">
        <v>955</v>
      </c>
      <c r="E123" s="1519" t="s">
        <v>27</v>
      </c>
      <c r="F123" s="1584">
        <f>U112</f>
        <v>25</v>
      </c>
      <c r="G123" s="1518" t="s">
        <v>3</v>
      </c>
      <c r="I123" s="1518" t="s">
        <v>954</v>
      </c>
      <c r="J123" s="1522"/>
      <c r="K123" s="1584">
        <v>2</v>
      </c>
      <c r="L123" s="1585">
        <v>2</v>
      </c>
      <c r="M123" s="1581" t="s">
        <v>953</v>
      </c>
      <c r="N123" s="1520"/>
      <c r="O123" s="1580"/>
      <c r="Q123" s="4550" t="s">
        <v>1317</v>
      </c>
      <c r="R123" s="4551"/>
      <c r="U123" s="2817"/>
      <c r="V123" s="1581"/>
      <c r="W123" s="1520"/>
      <c r="X123" s="1520"/>
      <c r="AD123" s="1519"/>
      <c r="AE123" s="1519"/>
      <c r="AH123" s="1522"/>
      <c r="AI123" s="1521"/>
      <c r="AJ123" s="1520"/>
      <c r="AK123" s="1520"/>
      <c r="AL123" s="1520"/>
      <c r="AM123" s="1520"/>
      <c r="AN123" s="1520"/>
    </row>
    <row r="124" spans="1:41" ht="16.5" customHeight="1">
      <c r="A124" s="1526"/>
      <c r="D124" s="1519"/>
      <c r="E124" s="1519"/>
      <c r="F124" s="1584"/>
      <c r="I124" s="1518" t="s">
        <v>952</v>
      </c>
      <c r="J124" s="1522"/>
      <c r="K124" s="1584">
        <f>(K122/100)*('CU_Multi Saturasi'!D96/('Cu_Multi Consol'!K123*60))</f>
        <v>2.9399636492276213E-2</v>
      </c>
      <c r="L124" s="1583">
        <f>(L122/100)*('CU_Multi Saturasi'!D84/(L123*60))</f>
        <v>0</v>
      </c>
      <c r="M124" s="1581" t="s">
        <v>556</v>
      </c>
      <c r="N124" s="1520"/>
      <c r="O124" s="1580"/>
      <c r="Q124" s="2824" t="s">
        <v>743</v>
      </c>
      <c r="R124" s="2824" t="s">
        <v>744</v>
      </c>
      <c r="T124" s="1522" t="s">
        <v>4</v>
      </c>
      <c r="U124" s="2825">
        <f>U119*U122*9.81</f>
        <v>1.2452761314026407E-2</v>
      </c>
      <c r="V124" s="1581" t="s">
        <v>1320</v>
      </c>
      <c r="W124" s="1520"/>
      <c r="X124" s="1520"/>
      <c r="AD124" s="1519"/>
      <c r="AE124" s="1519"/>
      <c r="AH124" s="1522"/>
      <c r="AI124" s="1521"/>
      <c r="AJ124" s="1520"/>
      <c r="AK124" s="1520"/>
      <c r="AL124" s="1520"/>
      <c r="AM124" s="1520"/>
      <c r="AN124" s="1520"/>
    </row>
    <row r="125" spans="1:41" ht="16.5" customHeight="1">
      <c r="A125" s="1526"/>
      <c r="J125" s="1519" t="s">
        <v>951</v>
      </c>
      <c r="K125" s="1584">
        <f>U122</f>
        <v>1.972323977665997E-4</v>
      </c>
      <c r="L125" s="1536" t="e">
        <f>(I102/'CU_Multi Saturasi'!F87)*(1000/('Cu_Multi Consol'!J89-'Cu_Multi Consol'!J102))</f>
        <v>#DIV/0!</v>
      </c>
      <c r="M125" s="1581" t="s">
        <v>1327</v>
      </c>
      <c r="N125" s="1520"/>
      <c r="O125" s="1580"/>
      <c r="Q125" s="2824">
        <v>0</v>
      </c>
      <c r="R125" s="2826">
        <f>S109</f>
        <v>1.6999999999999957</v>
      </c>
      <c r="U125" s="1520"/>
      <c r="V125" s="1581"/>
      <c r="W125" s="1520"/>
      <c r="X125" s="1520"/>
      <c r="AD125" s="1519"/>
      <c r="AE125" s="1519"/>
      <c r="AH125" s="1522"/>
      <c r="AI125" s="1521"/>
      <c r="AJ125" s="1520"/>
      <c r="AK125" s="1520"/>
      <c r="AL125" s="1520"/>
      <c r="AM125" s="1520"/>
      <c r="AN125" s="1520"/>
    </row>
    <row r="126" spans="1:41" ht="16.5" customHeight="1">
      <c r="A126" s="1526"/>
      <c r="D126" s="1519"/>
      <c r="E126" s="1519"/>
      <c r="F126" s="1519"/>
      <c r="I126" s="1522"/>
      <c r="J126" s="1519" t="s">
        <v>967</v>
      </c>
      <c r="K126" s="1584">
        <f>U119</f>
        <v>6.4360350719999992</v>
      </c>
      <c r="L126" s="1582">
        <f>2400/'Cu_Multi Consol'!F123</f>
        <v>96</v>
      </c>
      <c r="M126" s="1581" t="s">
        <v>948</v>
      </c>
      <c r="N126" s="1520"/>
      <c r="O126" s="1580"/>
      <c r="Q126" s="2831">
        <v>5</v>
      </c>
      <c r="R126" s="2826">
        <f>R125</f>
        <v>1.6999999999999957</v>
      </c>
      <c r="U126" s="1520"/>
      <c r="V126" s="1581"/>
      <c r="W126" s="1520"/>
      <c r="X126" s="1520"/>
      <c r="AD126" s="1519"/>
      <c r="AE126" s="1519"/>
      <c r="AH126" s="1522"/>
      <c r="AI126" s="1521"/>
      <c r="AJ126" s="1520"/>
      <c r="AK126" s="1520"/>
      <c r="AL126" s="1520"/>
      <c r="AM126" s="1520"/>
      <c r="AN126" s="1520"/>
    </row>
    <row r="127" spans="1:41" ht="16.5" customHeight="1">
      <c r="A127" s="1526"/>
      <c r="D127" s="1519"/>
      <c r="E127" s="1519"/>
      <c r="F127" s="1519"/>
      <c r="I127" s="1522"/>
      <c r="J127" s="1547"/>
      <c r="K127" s="1582"/>
      <c r="L127" s="1582"/>
      <c r="M127" s="1581"/>
      <c r="N127" s="1520"/>
      <c r="O127" s="1580"/>
      <c r="Q127" s="2827">
        <f>Q126</f>
        <v>5</v>
      </c>
      <c r="R127" s="2828">
        <f>R121</f>
        <v>2.1999999999999957</v>
      </c>
      <c r="U127" s="1520"/>
      <c r="V127" s="1581"/>
      <c r="W127" s="1520"/>
      <c r="X127" s="1520"/>
      <c r="AD127" s="1519"/>
      <c r="AE127" s="1519"/>
      <c r="AH127" s="1522"/>
      <c r="AI127" s="1521"/>
      <c r="AJ127" s="1520"/>
      <c r="AK127" s="1520"/>
      <c r="AL127" s="1520"/>
      <c r="AM127" s="1520"/>
      <c r="AN127" s="1520"/>
    </row>
    <row r="128" spans="1:41" ht="16.5" customHeight="1">
      <c r="A128" s="1578"/>
      <c r="B128" s="1524"/>
      <c r="C128" s="1524"/>
      <c r="D128" s="1524"/>
      <c r="E128" s="1524"/>
      <c r="F128" s="1524"/>
      <c r="G128" s="1524"/>
      <c r="H128" s="1524"/>
      <c r="I128" s="1524"/>
      <c r="J128" s="1524"/>
      <c r="K128" s="1524"/>
      <c r="L128" s="1524"/>
      <c r="M128" s="1577"/>
      <c r="N128" s="1577"/>
      <c r="O128" s="1523"/>
      <c r="U128" s="1576"/>
      <c r="V128" s="2811"/>
      <c r="Y128" s="1575"/>
      <c r="AA128" s="1548"/>
      <c r="AK128" s="1576"/>
      <c r="AL128" s="1576"/>
      <c r="AO128" s="1575"/>
    </row>
    <row r="130" spans="1:41" ht="16.5" customHeight="1">
      <c r="A130" s="1558"/>
      <c r="B130" s="1557"/>
      <c r="C130" s="1557"/>
      <c r="D130" s="1557"/>
      <c r="E130" s="1557"/>
      <c r="F130" s="1557"/>
      <c r="G130" s="1557"/>
      <c r="H130" s="2843" t="s">
        <v>206</v>
      </c>
      <c r="I130" s="4556" t="str">
        <f>I66</f>
        <v xml:space="preserve">PT Itamatra Nusantara </v>
      </c>
      <c r="J130" s="4556"/>
      <c r="K130" s="4556"/>
      <c r="L130" s="4556"/>
      <c r="M130" s="4556"/>
      <c r="N130" s="4556"/>
      <c r="O130" s="4556"/>
      <c r="S130" s="1567"/>
      <c r="AI130" s="1567"/>
    </row>
    <row r="131" spans="1:41" ht="16.5" customHeight="1">
      <c r="A131" s="1526"/>
      <c r="H131" s="2844" t="s">
        <v>82</v>
      </c>
      <c r="I131" s="4557" t="str">
        <f>I67</f>
        <v>hidroplogi</v>
      </c>
      <c r="J131" s="4557"/>
      <c r="K131" s="4557"/>
      <c r="L131" s="4557"/>
      <c r="M131" s="4557"/>
      <c r="N131" s="4557"/>
      <c r="O131" s="4557"/>
      <c r="S131" s="1567"/>
      <c r="AI131" s="1567"/>
    </row>
    <row r="132" spans="1:41" ht="16.5" customHeight="1">
      <c r="A132" s="1526"/>
      <c r="H132" s="2844" t="s">
        <v>77</v>
      </c>
      <c r="I132" s="4558" t="str">
        <f>I68</f>
        <v>PO-GQT-19</v>
      </c>
      <c r="J132" s="4558"/>
      <c r="K132" s="4559" t="s">
        <v>76</v>
      </c>
      <c r="L132" s="4559"/>
      <c r="M132" s="4560">
        <f>M68</f>
        <v>46223</v>
      </c>
      <c r="N132" s="4560"/>
      <c r="O132" s="4560"/>
      <c r="S132" s="1552"/>
      <c r="Y132" s="1566"/>
      <c r="AI132" s="1552"/>
      <c r="AO132" s="1566"/>
    </row>
    <row r="133" spans="1:41" ht="16.5" customHeight="1">
      <c r="A133" s="1526"/>
      <c r="H133" s="2845" t="s">
        <v>75</v>
      </c>
      <c r="I133" s="4561" t="str">
        <f>I69</f>
        <v>AS Sumartadji</v>
      </c>
      <c r="J133" s="4561"/>
      <c r="K133" s="4562" t="s">
        <v>74</v>
      </c>
      <c r="L133" s="4562"/>
      <c r="M133" s="4563" t="str">
        <f>M69</f>
        <v>AS Sumartadji</v>
      </c>
      <c r="N133" s="4561"/>
      <c r="O133" s="4561"/>
      <c r="S133" s="1552"/>
      <c r="Y133" s="1552"/>
      <c r="AI133" s="1552"/>
      <c r="AO133" s="1552"/>
    </row>
    <row r="134" spans="1:41" ht="16.5" customHeight="1">
      <c r="A134" s="1564"/>
      <c r="B134" s="1563"/>
      <c r="C134" s="1563"/>
      <c r="D134" s="1563"/>
      <c r="E134" s="1563"/>
      <c r="F134" s="1563"/>
      <c r="G134" s="1563"/>
      <c r="H134" s="1563"/>
      <c r="I134" s="1563"/>
      <c r="J134" s="1563"/>
      <c r="K134" s="1563"/>
      <c r="L134" s="1563"/>
      <c r="M134" s="1563"/>
      <c r="N134" s="1563"/>
      <c r="O134" s="1612"/>
      <c r="S134" s="1519"/>
      <c r="U134" s="1519"/>
      <c r="W134" s="1519"/>
      <c r="X134" s="1519"/>
      <c r="Y134" s="1519"/>
      <c r="AA134" s="1519"/>
      <c r="AB134" s="1519"/>
      <c r="AC134" s="1519"/>
      <c r="AD134" s="1519"/>
      <c r="AE134" s="1519"/>
      <c r="AF134" s="1519"/>
      <c r="AG134" s="1519"/>
      <c r="AH134" s="1519"/>
      <c r="AI134" s="1519"/>
      <c r="AJ134" s="1519"/>
      <c r="AK134" s="1519"/>
      <c r="AL134" s="1519"/>
      <c r="AM134" s="1519"/>
      <c r="AN134" s="1519"/>
      <c r="AO134" s="1519"/>
    </row>
    <row r="135" spans="1:41" ht="16.5" customHeight="1">
      <c r="A135" s="1532" t="s">
        <v>945</v>
      </c>
      <c r="B135" s="1529"/>
      <c r="C135" s="1529"/>
      <c r="D135" s="1529"/>
      <c r="E135" s="1529"/>
      <c r="F135" s="1529"/>
      <c r="G135" s="1530"/>
      <c r="H135" s="1530"/>
      <c r="I135" s="1529"/>
      <c r="J135" s="1529"/>
      <c r="K135" s="1529"/>
      <c r="L135" s="1529"/>
      <c r="M135" s="1529"/>
      <c r="N135" s="1529"/>
      <c r="O135" s="1588"/>
      <c r="Q135" s="1555"/>
      <c r="S135" s="1529"/>
      <c r="U135" s="1529"/>
      <c r="W135" s="1529"/>
      <c r="X135" s="1529"/>
      <c r="Y135" s="1529"/>
      <c r="AA135" s="1530"/>
      <c r="AB135" s="1529"/>
      <c r="AC135" s="1529"/>
      <c r="AD135" s="1529"/>
      <c r="AE135" s="1529"/>
      <c r="AF135" s="1530"/>
      <c r="AG135" s="1530"/>
      <c r="AH135" s="1529"/>
      <c r="AI135" s="1529"/>
      <c r="AJ135" s="1529"/>
      <c r="AK135" s="1529"/>
      <c r="AL135" s="1529"/>
      <c r="AM135" s="1529"/>
      <c r="AN135" s="1529"/>
      <c r="AO135" s="1529"/>
    </row>
    <row r="136" spans="1:41" ht="16.5" customHeight="1">
      <c r="A136" s="1562"/>
      <c r="B136" s="1529"/>
      <c r="C136" s="1529"/>
      <c r="D136" s="1529"/>
      <c r="E136" s="1529"/>
      <c r="F136" s="1529"/>
      <c r="G136" s="1529"/>
      <c r="H136" s="1529"/>
      <c r="I136" s="1529"/>
      <c r="J136" s="1529"/>
      <c r="K136" s="1529"/>
      <c r="L136" s="1529"/>
      <c r="M136" s="1529"/>
      <c r="N136" s="1529"/>
      <c r="O136" s="1588"/>
      <c r="S136" s="1529"/>
      <c r="U136" s="1529"/>
      <c r="W136" s="1529"/>
      <c r="X136" s="1529"/>
      <c r="Y136" s="1529"/>
      <c r="AA136" s="1561"/>
      <c r="AB136" s="1529"/>
      <c r="AC136" s="1529"/>
      <c r="AD136" s="1529"/>
      <c r="AE136" s="1529"/>
      <c r="AF136" s="1529"/>
      <c r="AG136" s="1529"/>
      <c r="AH136" s="1529"/>
      <c r="AI136" s="1529"/>
      <c r="AJ136" s="1529"/>
      <c r="AK136" s="1529"/>
      <c r="AL136" s="1529"/>
      <c r="AM136" s="1529"/>
      <c r="AN136" s="1529"/>
      <c r="AO136" s="1529"/>
    </row>
    <row r="137" spans="1:41" ht="16.5" customHeight="1">
      <c r="A137" s="1526"/>
      <c r="B137" s="1518" t="s">
        <v>208</v>
      </c>
      <c r="C137" s="1518" t="s">
        <v>27</v>
      </c>
      <c r="D137" s="1560" t="str">
        <f>D9</f>
        <v>Morowali Utara</v>
      </c>
      <c r="E137" s="1559"/>
      <c r="J137" s="1518" t="s">
        <v>944</v>
      </c>
      <c r="L137" s="1518" t="s">
        <v>27</v>
      </c>
      <c r="M137" s="1560" t="str">
        <f>M9</f>
        <v>Undisturbed Sample / UDS</v>
      </c>
      <c r="N137" s="1552"/>
      <c r="O137" s="1525"/>
      <c r="X137" s="1552"/>
      <c r="AN137" s="1552"/>
    </row>
    <row r="138" spans="1:41" ht="16.5" customHeight="1">
      <c r="A138" s="1526"/>
      <c r="B138" s="1518" t="s">
        <v>943</v>
      </c>
      <c r="C138" s="1518" t="s">
        <v>27</v>
      </c>
      <c r="D138" s="1560" t="str">
        <f>D10</f>
        <v>BH-05_UDS-01</v>
      </c>
      <c r="E138" s="1559"/>
      <c r="F138" s="1552"/>
      <c r="J138" s="1518" t="s">
        <v>942</v>
      </c>
      <c r="L138" s="1518" t="s">
        <v>27</v>
      </c>
      <c r="M138" s="1560" t="str">
        <f>M10</f>
        <v>silty CLAY with sand</v>
      </c>
      <c r="O138" s="1525"/>
      <c r="AE138" s="1552"/>
    </row>
    <row r="139" spans="1:41" ht="16.5" customHeight="1">
      <c r="A139" s="1526"/>
      <c r="B139" s="1518" t="s">
        <v>210</v>
      </c>
      <c r="C139" s="1518" t="s">
        <v>27</v>
      </c>
      <c r="D139" s="1560" t="str">
        <f>D11</f>
        <v>0,00-0,50</v>
      </c>
      <c r="E139" s="1559"/>
      <c r="F139" s="1552" t="s">
        <v>68</v>
      </c>
      <c r="J139" s="1519" t="s">
        <v>941</v>
      </c>
      <c r="K139" s="1519"/>
      <c r="L139" s="1519" t="s">
        <v>27</v>
      </c>
      <c r="M139" s="1611"/>
      <c r="O139" s="1525"/>
      <c r="U139" s="1519"/>
      <c r="AE139" s="1552"/>
      <c r="AJ139" s="1519"/>
      <c r="AK139" s="1519"/>
      <c r="AL139" s="1519"/>
    </row>
    <row r="140" spans="1:41" ht="16.5" customHeight="1">
      <c r="A140" s="1526"/>
      <c r="M140" s="1529"/>
      <c r="N140" s="1529"/>
      <c r="O140" s="1525"/>
      <c r="U140" s="1529"/>
      <c r="AK140" s="1529"/>
      <c r="AL140" s="1529"/>
    </row>
    <row r="141" spans="1:41" ht="16.5" customHeight="1">
      <c r="A141" s="1526"/>
      <c r="B141" s="1548" t="s">
        <v>966</v>
      </c>
      <c r="M141" s="1529"/>
      <c r="N141" s="1529"/>
      <c r="O141" s="1525"/>
      <c r="U141" s="1529"/>
      <c r="AK141" s="1529"/>
      <c r="AL141" s="1529"/>
    </row>
    <row r="142" spans="1:41" ht="16.5" customHeight="1">
      <c r="A142" s="1526"/>
      <c r="M142" s="1529"/>
      <c r="N142" s="1529"/>
      <c r="O142" s="1525"/>
      <c r="U142" s="1529"/>
      <c r="AK142" s="1529"/>
      <c r="AL142" s="1529"/>
    </row>
    <row r="143" spans="1:41" ht="16.5" customHeight="1">
      <c r="A143" s="1526"/>
      <c r="B143" s="1518" t="s">
        <v>965</v>
      </c>
      <c r="E143" s="1518" t="s">
        <v>27</v>
      </c>
      <c r="F143" s="1518">
        <v>200</v>
      </c>
      <c r="G143" s="1518" t="s">
        <v>908</v>
      </c>
      <c r="M143" s="1529"/>
      <c r="N143" s="1529"/>
      <c r="O143" s="1525"/>
      <c r="U143" s="1529"/>
      <c r="AK143" s="1529"/>
      <c r="AL143" s="1529"/>
    </row>
    <row r="144" spans="1:41" ht="16.5" customHeight="1">
      <c r="A144" s="1526"/>
      <c r="B144" s="1518" t="s">
        <v>915</v>
      </c>
      <c r="E144" s="1518" t="s">
        <v>27</v>
      </c>
      <c r="F144" s="1518">
        <v>390</v>
      </c>
      <c r="G144" s="1518" t="s">
        <v>908</v>
      </c>
      <c r="M144" s="1529"/>
      <c r="N144" s="1529"/>
      <c r="O144" s="1525"/>
      <c r="U144" s="1529"/>
      <c r="AK144" s="1529"/>
      <c r="AL144" s="1529"/>
    </row>
    <row r="145" spans="1:38" ht="16.5" customHeight="1">
      <c r="A145" s="1526"/>
      <c r="B145" s="1518" t="s">
        <v>914</v>
      </c>
      <c r="E145" s="1518" t="s">
        <v>27</v>
      </c>
      <c r="F145" s="1518">
        <v>190</v>
      </c>
      <c r="G145" s="1518" t="s">
        <v>908</v>
      </c>
      <c r="M145" s="1529"/>
      <c r="N145" s="1529"/>
      <c r="O145" s="1525"/>
      <c r="U145" s="1529"/>
      <c r="AK145" s="1529"/>
      <c r="AL145" s="1529"/>
    </row>
    <row r="146" spans="1:38" ht="16.5" customHeight="1">
      <c r="A146" s="1526"/>
      <c r="B146" s="1518" t="s">
        <v>964</v>
      </c>
      <c r="E146" s="1518" t="s">
        <v>27</v>
      </c>
      <c r="F146" s="1610">
        <f>'CU_Multi Saturasi'!E43</f>
        <v>374</v>
      </c>
      <c r="G146" s="1518" t="s">
        <v>908</v>
      </c>
      <c r="M146" s="1529"/>
      <c r="N146" s="1529"/>
      <c r="O146" s="1525"/>
      <c r="U146" s="1529"/>
      <c r="AK146" s="1529"/>
      <c r="AL146" s="1529"/>
    </row>
    <row r="147" spans="1:38" ht="16.5" customHeight="1">
      <c r="A147" s="1526"/>
      <c r="B147" s="1518" t="s">
        <v>963</v>
      </c>
      <c r="E147" s="1518" t="s">
        <v>27</v>
      </c>
      <c r="F147" s="1610">
        <f>F146-F145</f>
        <v>184</v>
      </c>
      <c r="G147" s="1518" t="s">
        <v>908</v>
      </c>
      <c r="M147" s="1529"/>
      <c r="N147" s="1529"/>
      <c r="O147" s="1525"/>
      <c r="U147" s="1529"/>
      <c r="AK147" s="1529"/>
      <c r="AL147" s="1529"/>
    </row>
    <row r="148" spans="1:38" ht="16.5" customHeight="1">
      <c r="A148" s="1526"/>
      <c r="B148" s="1518" t="str">
        <f>B84</f>
        <v>With</v>
      </c>
      <c r="D148" s="1518" t="str">
        <f>D84</f>
        <v>Side drains</v>
      </c>
      <c r="M148" s="1529"/>
      <c r="N148" s="1529"/>
      <c r="O148" s="1525"/>
      <c r="U148" s="1529"/>
      <c r="AK148" s="1529"/>
      <c r="AL148" s="1529"/>
    </row>
    <row r="149" spans="1:38" ht="16.5" customHeight="1">
      <c r="A149" s="1526"/>
      <c r="M149" s="1529"/>
      <c r="N149" s="1519"/>
      <c r="O149" s="1589"/>
      <c r="U149" s="1529"/>
      <c r="AK149" s="1529"/>
      <c r="AL149" s="1529"/>
    </row>
    <row r="150" spans="1:38" ht="16.5" customHeight="1">
      <c r="A150" s="1526"/>
      <c r="B150" s="1606" t="s">
        <v>76</v>
      </c>
      <c r="C150" s="1556"/>
      <c r="D150" s="1609" t="s">
        <v>962</v>
      </c>
      <c r="E150" s="1556"/>
      <c r="F150" s="1605" t="s">
        <v>16</v>
      </c>
      <c r="G150" s="1605"/>
      <c r="H150" s="4552" t="s">
        <v>961</v>
      </c>
      <c r="I150" s="4553"/>
      <c r="J150" s="4554" t="s">
        <v>913</v>
      </c>
      <c r="K150" s="4554"/>
      <c r="L150" s="4554"/>
      <c r="M150" s="4555"/>
      <c r="N150" s="1519"/>
      <c r="O150" s="1589"/>
      <c r="U150" s="1529"/>
      <c r="AK150" s="1529"/>
      <c r="AL150" s="1529"/>
    </row>
    <row r="151" spans="1:38" ht="16.5" customHeight="1">
      <c r="A151" s="1526"/>
      <c r="B151" s="1608"/>
      <c r="C151" s="1525"/>
      <c r="D151" s="1547"/>
      <c r="E151" s="1525"/>
      <c r="F151" s="1607" t="s">
        <v>10</v>
      </c>
      <c r="G151" s="1607" t="s">
        <v>10</v>
      </c>
      <c r="H151" s="1605" t="s">
        <v>960</v>
      </c>
      <c r="I151" s="1605" t="s">
        <v>905</v>
      </c>
      <c r="J151" s="1605" t="s">
        <v>15</v>
      </c>
      <c r="K151" s="1606" t="s">
        <v>905</v>
      </c>
      <c r="L151" s="1556"/>
      <c r="M151" s="1605" t="s">
        <v>959</v>
      </c>
      <c r="N151" s="1519"/>
      <c r="O151" s="1589"/>
      <c r="U151" s="1529"/>
      <c r="AK151" s="1529"/>
      <c r="AL151" s="1529"/>
    </row>
    <row r="152" spans="1:38" ht="16.5" customHeight="1">
      <c r="A152" s="1526"/>
      <c r="B152" s="1603"/>
      <c r="C152" s="1523"/>
      <c r="D152" s="1604"/>
      <c r="E152" s="1523"/>
      <c r="F152" s="1602" t="s">
        <v>958</v>
      </c>
      <c r="G152" s="1602"/>
      <c r="H152" s="1602"/>
      <c r="I152" s="1602" t="s">
        <v>563</v>
      </c>
      <c r="J152" s="1602" t="s">
        <v>908</v>
      </c>
      <c r="K152" s="1603" t="s">
        <v>908</v>
      </c>
      <c r="L152" s="1523"/>
      <c r="M152" s="1602" t="s">
        <v>1</v>
      </c>
      <c r="N152" s="1519"/>
      <c r="O152" s="1589"/>
      <c r="U152" s="1529"/>
      <c r="AK152" s="1529"/>
      <c r="AL152" s="1529"/>
    </row>
    <row r="153" spans="1:38" ht="16.5" customHeight="1">
      <c r="A153" s="1526"/>
      <c r="B153" s="1601">
        <f>N132</f>
        <v>0</v>
      </c>
      <c r="C153" s="1539"/>
      <c r="D153" s="1600">
        <v>0.34375</v>
      </c>
      <c r="E153" s="1539"/>
      <c r="F153" s="1599">
        <v>0</v>
      </c>
      <c r="G153" s="1617">
        <f t="shared" ref="G153:G166" si="10">SQRT(F153)</f>
        <v>0</v>
      </c>
      <c r="H153" s="1598">
        <v>31.7</v>
      </c>
      <c r="I153" s="1538">
        <v>0</v>
      </c>
      <c r="J153" s="2832">
        <f>F146</f>
        <v>374</v>
      </c>
      <c r="K153" s="2750">
        <v>0</v>
      </c>
      <c r="L153" s="2751"/>
      <c r="M153" s="2752">
        <f t="shared" ref="M153:M166" si="11">(K153/$F$147)*100</f>
        <v>0</v>
      </c>
      <c r="N153" s="1519"/>
      <c r="O153" s="1589"/>
      <c r="U153" s="1529"/>
      <c r="AK153" s="1529"/>
      <c r="AL153" s="1529"/>
    </row>
    <row r="154" spans="1:38" ht="16.5" customHeight="1">
      <c r="A154" s="1526"/>
      <c r="B154" s="1551"/>
      <c r="C154" s="1533"/>
      <c r="D154" s="1596">
        <f t="shared" ref="D154:D166" si="12">$D$153+F154/1440</f>
        <v>0.34392361111111114</v>
      </c>
      <c r="E154" s="1533"/>
      <c r="F154" s="1595">
        <v>0.25</v>
      </c>
      <c r="G154" s="1534">
        <f t="shared" si="10"/>
        <v>0.5</v>
      </c>
      <c r="H154" s="1594">
        <v>31.3</v>
      </c>
      <c r="I154" s="1535">
        <f t="shared" ref="I154:I166" si="13">$H$153-H154</f>
        <v>0.39999999999999858</v>
      </c>
      <c r="J154" s="1593">
        <v>351</v>
      </c>
      <c r="K154" s="2753">
        <f t="shared" ref="K154:K166" si="14">$J$153-J154</f>
        <v>23</v>
      </c>
      <c r="L154" s="2754"/>
      <c r="M154" s="2755">
        <f t="shared" si="11"/>
        <v>12.5</v>
      </c>
      <c r="N154" s="1519"/>
      <c r="O154" s="1589"/>
      <c r="U154" s="1529"/>
      <c r="AK154" s="1529"/>
      <c r="AL154" s="1529"/>
    </row>
    <row r="155" spans="1:38" ht="16.5" customHeight="1">
      <c r="A155" s="1526"/>
      <c r="B155" s="1551"/>
      <c r="C155" s="1533"/>
      <c r="D155" s="1596">
        <f t="shared" si="12"/>
        <v>0.34409722222222222</v>
      </c>
      <c r="E155" s="1533"/>
      <c r="F155" s="1595">
        <v>0.5</v>
      </c>
      <c r="G155" s="1534">
        <f t="shared" si="10"/>
        <v>0.70710678118654757</v>
      </c>
      <c r="H155" s="1594">
        <v>31.1</v>
      </c>
      <c r="I155" s="1535">
        <f t="shared" si="13"/>
        <v>0.59999999999999787</v>
      </c>
      <c r="J155" s="1593">
        <v>334</v>
      </c>
      <c r="K155" s="2753">
        <f t="shared" si="14"/>
        <v>40</v>
      </c>
      <c r="L155" s="2754"/>
      <c r="M155" s="2755">
        <f t="shared" si="11"/>
        <v>21.739130434782609</v>
      </c>
      <c r="N155" s="1519"/>
      <c r="O155" s="1589"/>
      <c r="U155" s="1529"/>
      <c r="AK155" s="1529"/>
      <c r="AL155" s="1529"/>
    </row>
    <row r="156" spans="1:38" ht="16.5" customHeight="1">
      <c r="A156" s="1526"/>
      <c r="B156" s="1551"/>
      <c r="C156" s="1533"/>
      <c r="D156" s="1596">
        <f t="shared" si="12"/>
        <v>0.34444444444444444</v>
      </c>
      <c r="E156" s="1533"/>
      <c r="F156" s="1595">
        <v>1</v>
      </c>
      <c r="G156" s="1534">
        <f t="shared" si="10"/>
        <v>1</v>
      </c>
      <c r="H156" s="1594">
        <v>30.9</v>
      </c>
      <c r="I156" s="1535">
        <f t="shared" si="13"/>
        <v>0.80000000000000071</v>
      </c>
      <c r="J156" s="1593">
        <v>322</v>
      </c>
      <c r="K156" s="2753">
        <f t="shared" si="14"/>
        <v>52</v>
      </c>
      <c r="L156" s="2754"/>
      <c r="M156" s="2755">
        <f t="shared" si="11"/>
        <v>28.260869565217391</v>
      </c>
      <c r="N156" s="1519"/>
      <c r="O156" s="1589"/>
      <c r="R156" s="1581"/>
      <c r="U156" s="1529"/>
      <c r="AK156" s="1529"/>
      <c r="AL156" s="1529"/>
    </row>
    <row r="157" spans="1:38" ht="16.5" customHeight="1">
      <c r="A157" s="1526"/>
      <c r="B157" s="1551"/>
      <c r="C157" s="1533"/>
      <c r="D157" s="1596">
        <f t="shared" si="12"/>
        <v>0.34531250000000002</v>
      </c>
      <c r="E157" s="1533"/>
      <c r="F157" s="1595">
        <v>2.25</v>
      </c>
      <c r="G157" s="1534">
        <f t="shared" si="10"/>
        <v>1.5</v>
      </c>
      <c r="H157" s="1594">
        <v>30.6</v>
      </c>
      <c r="I157" s="1535">
        <f t="shared" si="13"/>
        <v>1.0999999999999979</v>
      </c>
      <c r="J157" s="1593">
        <v>297</v>
      </c>
      <c r="K157" s="2753">
        <f t="shared" si="14"/>
        <v>77</v>
      </c>
      <c r="L157" s="2754"/>
      <c r="M157" s="2755">
        <f t="shared" si="11"/>
        <v>41.847826086956523</v>
      </c>
      <c r="N157" s="1519"/>
      <c r="O157" s="1589"/>
      <c r="U157" s="1529"/>
      <c r="AK157" s="1529"/>
      <c r="AL157" s="1529"/>
    </row>
    <row r="158" spans="1:38" ht="16.5" customHeight="1">
      <c r="A158" s="1526"/>
      <c r="B158" s="1551"/>
      <c r="C158" s="1533"/>
      <c r="D158" s="1596">
        <f t="shared" si="12"/>
        <v>0.34652777777777777</v>
      </c>
      <c r="E158" s="1533"/>
      <c r="F158" s="1595">
        <v>4</v>
      </c>
      <c r="G158" s="1534">
        <f t="shared" si="10"/>
        <v>2</v>
      </c>
      <c r="H158" s="1594">
        <v>30.4</v>
      </c>
      <c r="I158" s="1535">
        <f t="shared" si="13"/>
        <v>1.3000000000000007</v>
      </c>
      <c r="J158" s="1593">
        <v>278</v>
      </c>
      <c r="K158" s="2753">
        <f t="shared" si="14"/>
        <v>96</v>
      </c>
      <c r="L158" s="2754"/>
      <c r="M158" s="2755">
        <f t="shared" si="11"/>
        <v>52.173913043478258</v>
      </c>
      <c r="N158" s="1519"/>
      <c r="O158" s="1589"/>
      <c r="U158" s="1529"/>
      <c r="AK158" s="1529"/>
      <c r="AL158" s="1529"/>
    </row>
    <row r="159" spans="1:38" ht="16.5" customHeight="1">
      <c r="A159" s="1526"/>
      <c r="B159" s="1551"/>
      <c r="C159" s="1533"/>
      <c r="D159" s="1596">
        <f t="shared" si="12"/>
        <v>0.35</v>
      </c>
      <c r="E159" s="1533"/>
      <c r="F159" s="1595">
        <v>9</v>
      </c>
      <c r="G159" s="1534">
        <f t="shared" si="10"/>
        <v>3</v>
      </c>
      <c r="H159" s="1594">
        <v>30.2</v>
      </c>
      <c r="I159" s="1535">
        <f t="shared" si="13"/>
        <v>1.5</v>
      </c>
      <c r="J159" s="1593">
        <v>257</v>
      </c>
      <c r="K159" s="2753">
        <f t="shared" si="14"/>
        <v>117</v>
      </c>
      <c r="L159" s="2754"/>
      <c r="M159" s="2755">
        <f t="shared" si="11"/>
        <v>63.586956521739133</v>
      </c>
      <c r="N159" s="1519"/>
      <c r="O159" s="1589"/>
      <c r="U159" s="1529"/>
      <c r="AK159" s="1529"/>
      <c r="AL159" s="1529"/>
    </row>
    <row r="160" spans="1:38" ht="16.5" customHeight="1">
      <c r="A160" s="1526"/>
      <c r="B160" s="1551"/>
      <c r="C160" s="1533"/>
      <c r="D160" s="1596">
        <f t="shared" si="12"/>
        <v>0.35486111111111113</v>
      </c>
      <c r="E160" s="1533"/>
      <c r="F160" s="1595">
        <v>16</v>
      </c>
      <c r="G160" s="1534">
        <f t="shared" si="10"/>
        <v>4</v>
      </c>
      <c r="H160" s="1594">
        <v>29.9</v>
      </c>
      <c r="I160" s="1535">
        <f t="shared" si="13"/>
        <v>1.8000000000000007</v>
      </c>
      <c r="J160" s="1593">
        <v>247</v>
      </c>
      <c r="K160" s="2753">
        <f t="shared" si="14"/>
        <v>127</v>
      </c>
      <c r="L160" s="2754"/>
      <c r="M160" s="2755">
        <f t="shared" si="11"/>
        <v>69.021739130434781</v>
      </c>
      <c r="N160" s="1519"/>
      <c r="O160" s="1589"/>
      <c r="U160" s="1529"/>
      <c r="AK160" s="1529"/>
      <c r="AL160" s="1529"/>
    </row>
    <row r="161" spans="1:41" ht="16.5" customHeight="1">
      <c r="A161" s="1526"/>
      <c r="B161" s="1551"/>
      <c r="C161" s="1533"/>
      <c r="D161" s="1596">
        <f t="shared" si="12"/>
        <v>0.3611111111111111</v>
      </c>
      <c r="E161" s="1533"/>
      <c r="F161" s="1595">
        <v>25</v>
      </c>
      <c r="G161" s="1534">
        <f t="shared" si="10"/>
        <v>5</v>
      </c>
      <c r="H161" s="1594">
        <v>29.7</v>
      </c>
      <c r="I161" s="1535">
        <f t="shared" si="13"/>
        <v>2</v>
      </c>
      <c r="J161" s="1593">
        <v>234</v>
      </c>
      <c r="K161" s="2753">
        <f t="shared" si="14"/>
        <v>140</v>
      </c>
      <c r="L161" s="2754"/>
      <c r="M161" s="2755">
        <f t="shared" si="11"/>
        <v>76.08695652173914</v>
      </c>
      <c r="N161" s="1519"/>
      <c r="O161" s="1589"/>
      <c r="U161" s="1529"/>
      <c r="AK161" s="1529"/>
      <c r="AL161" s="1529"/>
    </row>
    <row r="162" spans="1:41" ht="16.5" customHeight="1">
      <c r="A162" s="1526"/>
      <c r="B162" s="1551"/>
      <c r="C162" s="1533"/>
      <c r="D162" s="1596">
        <f t="shared" si="12"/>
        <v>0.36875000000000002</v>
      </c>
      <c r="E162" s="1533"/>
      <c r="F162" s="1595">
        <v>36</v>
      </c>
      <c r="G162" s="1534">
        <f t="shared" si="10"/>
        <v>6</v>
      </c>
      <c r="H162" s="1594">
        <v>29.6</v>
      </c>
      <c r="I162" s="1535">
        <f t="shared" si="13"/>
        <v>2.0999999999999979</v>
      </c>
      <c r="J162" s="1593">
        <v>216</v>
      </c>
      <c r="K162" s="2753">
        <f t="shared" si="14"/>
        <v>158</v>
      </c>
      <c r="L162" s="2754"/>
      <c r="M162" s="2755">
        <f t="shared" si="11"/>
        <v>85.869565217391312</v>
      </c>
      <c r="N162" s="1519"/>
      <c r="O162" s="1589"/>
      <c r="U162" s="1529"/>
      <c r="AK162" s="1529"/>
      <c r="AL162" s="1529"/>
    </row>
    <row r="163" spans="1:41" ht="16.5" customHeight="1">
      <c r="A163" s="1526"/>
      <c r="B163" s="1551"/>
      <c r="C163" s="1533"/>
      <c r="D163" s="1596">
        <f t="shared" si="12"/>
        <v>0.38819444444444445</v>
      </c>
      <c r="E163" s="1533"/>
      <c r="F163" s="1595">
        <v>64</v>
      </c>
      <c r="G163" s="1534">
        <f t="shared" si="10"/>
        <v>8</v>
      </c>
      <c r="H163" s="1594">
        <v>29.5</v>
      </c>
      <c r="I163" s="1535">
        <f t="shared" si="13"/>
        <v>2.1999999999999993</v>
      </c>
      <c r="J163" s="1593">
        <v>203</v>
      </c>
      <c r="K163" s="2753">
        <f t="shared" si="14"/>
        <v>171</v>
      </c>
      <c r="L163" s="2754"/>
      <c r="M163" s="2755">
        <f t="shared" si="11"/>
        <v>92.934782608695656</v>
      </c>
      <c r="N163" s="1519"/>
      <c r="O163" s="1589"/>
      <c r="U163" s="1529"/>
      <c r="AK163" s="1529"/>
      <c r="AL163" s="1529"/>
    </row>
    <row r="164" spans="1:41" ht="16.5" customHeight="1">
      <c r="A164" s="1526"/>
      <c r="B164" s="1551"/>
      <c r="C164" s="1533"/>
      <c r="D164" s="1596">
        <f t="shared" si="12"/>
        <v>0.42777777777777781</v>
      </c>
      <c r="E164" s="1533"/>
      <c r="F164" s="1595">
        <v>121</v>
      </c>
      <c r="G164" s="1534">
        <f t="shared" si="10"/>
        <v>11</v>
      </c>
      <c r="H164" s="1594">
        <v>29.5</v>
      </c>
      <c r="I164" s="1535">
        <f t="shared" si="13"/>
        <v>2.1999999999999993</v>
      </c>
      <c r="J164" s="1593">
        <v>194</v>
      </c>
      <c r="K164" s="2753">
        <f t="shared" si="14"/>
        <v>180</v>
      </c>
      <c r="L164" s="2754"/>
      <c r="M164" s="2755">
        <f t="shared" si="11"/>
        <v>97.826086956521735</v>
      </c>
      <c r="N164" s="1519"/>
      <c r="O164" s="1589"/>
      <c r="U164" s="1529"/>
      <c r="AK164" s="1529"/>
      <c r="AL164" s="1529"/>
    </row>
    <row r="165" spans="1:41" ht="16.5" customHeight="1">
      <c r="A165" s="1526"/>
      <c r="B165" s="1551"/>
      <c r="C165" s="1533"/>
      <c r="D165" s="1596">
        <f t="shared" si="12"/>
        <v>0.5</v>
      </c>
      <c r="E165" s="1533"/>
      <c r="F165" s="1595">
        <v>225</v>
      </c>
      <c r="G165" s="1534">
        <f t="shared" si="10"/>
        <v>15</v>
      </c>
      <c r="H165" s="1594">
        <v>29.5</v>
      </c>
      <c r="I165" s="1535">
        <f t="shared" si="13"/>
        <v>2.1999999999999993</v>
      </c>
      <c r="J165" s="1593">
        <v>190</v>
      </c>
      <c r="K165" s="2753">
        <f t="shared" si="14"/>
        <v>184</v>
      </c>
      <c r="L165" s="2754"/>
      <c r="M165" s="2755">
        <f t="shared" si="11"/>
        <v>100</v>
      </c>
      <c r="N165" s="1519"/>
      <c r="O165" s="1589"/>
      <c r="U165" s="1529"/>
      <c r="AK165" s="1529"/>
      <c r="AL165" s="1529"/>
    </row>
    <row r="166" spans="1:41" ht="16.5" customHeight="1">
      <c r="A166" s="1526"/>
      <c r="B166" s="1597"/>
      <c r="C166" s="1533"/>
      <c r="D166" s="1596">
        <f t="shared" si="12"/>
        <v>1.1006944444444444</v>
      </c>
      <c r="E166" s="1533"/>
      <c r="F166" s="1595">
        <v>1090</v>
      </c>
      <c r="G166" s="1534">
        <f t="shared" si="10"/>
        <v>33.015148038438355</v>
      </c>
      <c r="H166" s="1594">
        <v>29.5</v>
      </c>
      <c r="I166" s="1535">
        <f t="shared" si="13"/>
        <v>2.1999999999999993</v>
      </c>
      <c r="J166" s="1593">
        <v>190</v>
      </c>
      <c r="K166" s="2753">
        <f t="shared" si="14"/>
        <v>184</v>
      </c>
      <c r="L166" s="2754"/>
      <c r="M166" s="2755">
        <f t="shared" si="11"/>
        <v>100</v>
      </c>
      <c r="N166" s="1519"/>
      <c r="O166" s="1589"/>
      <c r="U166" s="1529"/>
      <c r="AK166" s="1529"/>
      <c r="AL166" s="1529"/>
    </row>
    <row r="167" spans="1:41" ht="16.5" customHeight="1">
      <c r="A167" s="1526"/>
      <c r="B167" s="1550"/>
      <c r="C167" s="1565"/>
      <c r="D167" s="1549"/>
      <c r="E167" s="1565"/>
      <c r="F167" s="1592"/>
      <c r="G167" s="1528"/>
      <c r="H167" s="1528"/>
      <c r="I167" s="1528"/>
      <c r="J167" s="1591"/>
      <c r="K167" s="1550"/>
      <c r="L167" s="1565"/>
      <c r="M167" s="1590"/>
      <c r="N167" s="1519"/>
      <c r="O167" s="1589"/>
      <c r="U167" s="1529"/>
      <c r="AK167" s="1529"/>
      <c r="AL167" s="1529"/>
    </row>
    <row r="168" spans="1:41" ht="16.5" customHeight="1">
      <c r="A168" s="1526"/>
      <c r="F168" s="1547"/>
      <c r="J168" s="1552"/>
      <c r="M168" s="1529"/>
      <c r="N168" s="1519"/>
      <c r="O168" s="1589"/>
      <c r="U168" s="1529"/>
      <c r="AK168" s="1529"/>
      <c r="AL168" s="1529"/>
    </row>
    <row r="169" spans="1:41" ht="16.5" customHeight="1">
      <c r="A169" s="1526"/>
      <c r="F169" s="1547"/>
      <c r="M169" s="1529"/>
      <c r="N169" s="1529"/>
      <c r="O169" s="1525"/>
      <c r="P169" s="2813"/>
      <c r="Q169" s="1518"/>
      <c r="R169" s="1522" t="s">
        <v>1321</v>
      </c>
      <c r="S169" s="2818">
        <f>S105</f>
        <v>38</v>
      </c>
      <c r="T169" s="1519" t="s">
        <v>2</v>
      </c>
      <c r="W169" s="2812"/>
      <c r="AK169" s="1529"/>
      <c r="AL169" s="1529"/>
    </row>
    <row r="170" spans="1:41" ht="16.5" customHeight="1">
      <c r="A170" s="1526"/>
      <c r="F170" s="1547"/>
      <c r="M170" s="1529"/>
      <c r="N170" s="1529"/>
      <c r="O170" s="1525"/>
      <c r="P170" s="2813"/>
      <c r="Q170" s="1518"/>
      <c r="R170" s="1522"/>
      <c r="S170" s="2818">
        <f>S106</f>
        <v>3.8</v>
      </c>
      <c r="T170" s="1519" t="s">
        <v>104</v>
      </c>
      <c r="W170" s="2812"/>
      <c r="AK170" s="1529"/>
      <c r="AL170" s="1529"/>
    </row>
    <row r="171" spans="1:41" ht="16.5" customHeight="1">
      <c r="A171" s="1526"/>
      <c r="F171" s="1547"/>
      <c r="O171" s="1525"/>
      <c r="P171" s="2813"/>
      <c r="Q171" s="1518"/>
      <c r="R171" s="1522" t="s">
        <v>1322</v>
      </c>
      <c r="S171" s="2818">
        <f>S107</f>
        <v>86.192736043889553</v>
      </c>
      <c r="T171" s="1519" t="s">
        <v>615</v>
      </c>
      <c r="W171" s="2812"/>
    </row>
    <row r="172" spans="1:41" ht="16.5" customHeight="1">
      <c r="A172" s="1526"/>
      <c r="O172" s="1525"/>
      <c r="P172" s="2813"/>
      <c r="Q172" s="1518"/>
      <c r="R172" s="1522" t="s">
        <v>1323</v>
      </c>
      <c r="S172" s="2818">
        <f>F143</f>
        <v>200</v>
      </c>
      <c r="T172" s="1519" t="s">
        <v>908</v>
      </c>
      <c r="W172" s="2812"/>
    </row>
    <row r="173" spans="1:41" ht="16.5" customHeight="1">
      <c r="A173" s="1526"/>
      <c r="O173" s="1525"/>
      <c r="P173" s="2813"/>
      <c r="Q173" s="1518"/>
      <c r="R173" s="1522" t="s">
        <v>1324</v>
      </c>
      <c r="S173" s="2818">
        <f>MAX(I153:I166)</f>
        <v>2.1999999999999993</v>
      </c>
      <c r="T173" s="1519" t="s">
        <v>563</v>
      </c>
      <c r="W173" s="2812"/>
    </row>
    <row r="174" spans="1:41" ht="16.5" customHeight="1">
      <c r="A174" s="1526"/>
      <c r="O174" s="1525"/>
      <c r="P174" s="2819"/>
      <c r="Q174" s="2814"/>
      <c r="R174" s="2814"/>
      <c r="T174" s="1522" t="s">
        <v>1315</v>
      </c>
      <c r="U174" s="1536">
        <f>Q190</f>
        <v>7.5</v>
      </c>
      <c r="V174" s="1519" t="s">
        <v>1197</v>
      </c>
    </row>
    <row r="175" spans="1:41" ht="16.5" customHeight="1">
      <c r="A175" s="1526"/>
      <c r="O175" s="1525"/>
      <c r="P175" s="2819"/>
      <c r="Q175" s="2814"/>
      <c r="S175" s="2820" t="s">
        <v>1314</v>
      </c>
      <c r="T175" s="1522" t="s">
        <v>1316</v>
      </c>
      <c r="U175" s="1536"/>
    </row>
    <row r="176" spans="1:41" ht="16.5" customHeight="1">
      <c r="A176" s="1532"/>
      <c r="B176" s="1529"/>
      <c r="C176" s="1529"/>
      <c r="D176" s="1529"/>
      <c r="E176" s="1529"/>
      <c r="F176" s="1529"/>
      <c r="G176" s="1529"/>
      <c r="H176" s="1529"/>
      <c r="I176" s="1529"/>
      <c r="J176" s="1529"/>
      <c r="K176" s="1529"/>
      <c r="L176" s="1529"/>
      <c r="M176" s="1529"/>
      <c r="N176" s="1529"/>
      <c r="O176" s="1588"/>
      <c r="P176" s="2819"/>
      <c r="Q176" s="2821"/>
      <c r="R176" s="2822"/>
      <c r="T176" s="2823">
        <f>INDEX(G153:G166,MATCH(MAX(I153:I166), I153:I166,0))</f>
        <v>8</v>
      </c>
      <c r="U176" s="1536">
        <f>U174^2</f>
        <v>56.25</v>
      </c>
      <c r="V176" s="1519" t="s">
        <v>1197</v>
      </c>
      <c r="W176" s="1529"/>
      <c r="X176" s="1529"/>
      <c r="Y176" s="1529"/>
      <c r="AA176" s="1530"/>
      <c r="AB176" s="1529"/>
      <c r="AC176" s="1529"/>
      <c r="AD176" s="1529"/>
      <c r="AE176" s="1529"/>
      <c r="AF176" s="1529"/>
      <c r="AG176" s="1529"/>
      <c r="AH176" s="1529"/>
      <c r="AI176" s="1529"/>
      <c r="AJ176" s="1529"/>
      <c r="AK176" s="1529"/>
      <c r="AL176" s="1529"/>
      <c r="AM176" s="1529"/>
      <c r="AN176" s="1529"/>
      <c r="AO176" s="1529"/>
    </row>
    <row r="177" spans="1:41" ht="16.5" customHeight="1">
      <c r="A177" s="1526"/>
      <c r="D177" s="1519"/>
      <c r="E177" s="1519"/>
      <c r="F177" s="1519"/>
      <c r="I177" s="1522"/>
      <c r="J177" s="1527"/>
      <c r="K177" s="1527"/>
      <c r="L177" s="1520"/>
      <c r="M177" s="1520"/>
      <c r="N177" s="1520"/>
      <c r="O177" s="1580"/>
      <c r="P177" s="2819"/>
      <c r="Q177" s="4550" t="s">
        <v>431</v>
      </c>
      <c r="R177" s="4551"/>
      <c r="T177" s="1519" t="s">
        <v>1318</v>
      </c>
      <c r="U177" s="1520"/>
      <c r="V177" s="1581"/>
      <c r="W177" s="1520"/>
      <c r="X177" s="1520"/>
      <c r="AD177" s="1519"/>
      <c r="AE177" s="1519"/>
      <c r="AH177" s="1522"/>
      <c r="AI177" s="1527"/>
      <c r="AJ177" s="1520"/>
      <c r="AK177" s="1520"/>
      <c r="AL177" s="1520"/>
      <c r="AM177" s="1520"/>
      <c r="AN177" s="1520"/>
    </row>
    <row r="178" spans="1:41" ht="16.5" customHeight="1">
      <c r="A178" s="1526"/>
      <c r="D178" s="1519"/>
      <c r="E178" s="1519"/>
      <c r="F178" s="1519"/>
      <c r="I178" s="1522"/>
      <c r="J178" s="1521"/>
      <c r="K178" s="1521"/>
      <c r="L178" s="1587"/>
      <c r="M178" s="1587"/>
      <c r="N178" s="1587"/>
      <c r="O178" s="1580"/>
      <c r="P178" s="2819"/>
      <c r="Q178" s="2824" t="s">
        <v>743</v>
      </c>
      <c r="R178" s="2824" t="s">
        <v>744</v>
      </c>
      <c r="T178" s="1522" t="s">
        <v>1319</v>
      </c>
      <c r="U178" s="2817">
        <f>S169/2</f>
        <v>19</v>
      </c>
      <c r="V178" s="1581" t="s">
        <v>2</v>
      </c>
      <c r="W178" s="1520"/>
      <c r="X178" s="1520"/>
      <c r="AD178" s="1519"/>
      <c r="AE178" s="1519"/>
      <c r="AH178" s="1522"/>
      <c r="AI178" s="1521"/>
      <c r="AJ178" s="1587"/>
      <c r="AK178" s="1587"/>
      <c r="AL178" s="1587"/>
      <c r="AM178" s="1520"/>
      <c r="AN178" s="1520"/>
    </row>
    <row r="179" spans="1:41" ht="16.5" customHeight="1">
      <c r="A179" s="1526"/>
      <c r="D179" s="1519"/>
      <c r="E179" s="1519"/>
      <c r="F179" s="1519"/>
      <c r="I179" s="1522"/>
      <c r="J179" s="1521"/>
      <c r="K179" s="1521"/>
      <c r="L179" s="1520"/>
      <c r="M179" s="1520"/>
      <c r="N179" s="1520"/>
      <c r="O179" s="1580"/>
      <c r="P179" s="2819"/>
      <c r="Q179" s="2824">
        <v>0</v>
      </c>
      <c r="R179" s="2829">
        <v>1.1499999999999999</v>
      </c>
      <c r="U179" s="2817">
        <f>S170/2</f>
        <v>1.9</v>
      </c>
      <c r="V179" s="1581" t="s">
        <v>104</v>
      </c>
      <c r="W179" s="1520"/>
      <c r="X179" s="1520"/>
      <c r="AD179" s="1519"/>
      <c r="AE179" s="1519"/>
      <c r="AH179" s="1522"/>
      <c r="AI179" s="1521"/>
      <c r="AJ179" s="1520"/>
      <c r="AK179" s="1520"/>
      <c r="AL179" s="1520"/>
      <c r="AM179" s="1520"/>
      <c r="AN179" s="1520"/>
    </row>
    <row r="180" spans="1:41" ht="16.5" customHeight="1">
      <c r="A180" s="1526"/>
      <c r="D180" s="1519"/>
      <c r="E180" s="1519"/>
      <c r="F180" s="1519"/>
      <c r="I180" s="1522"/>
      <c r="J180" s="1521"/>
      <c r="K180" s="1521"/>
      <c r="L180" s="1520"/>
      <c r="M180" s="1520"/>
      <c r="N180" s="1520"/>
      <c r="O180" s="1580"/>
      <c r="Q180" s="2830">
        <v>9.5</v>
      </c>
      <c r="R180" s="2835" cm="1">
        <f t="array" ref="R180">MAX(I153:I166+0.5)</f>
        <v>2.6999999999999993</v>
      </c>
      <c r="U180" s="2817"/>
      <c r="V180" s="1581"/>
      <c r="W180" s="1520"/>
      <c r="X180" s="1520"/>
      <c r="AD180" s="1519"/>
      <c r="AE180" s="1519"/>
      <c r="AH180" s="1522"/>
      <c r="AI180" s="1521"/>
      <c r="AJ180" s="1520"/>
      <c r="AK180" s="1520"/>
      <c r="AL180" s="1520"/>
      <c r="AM180" s="1520"/>
      <c r="AN180" s="1520"/>
    </row>
    <row r="181" spans="1:41" ht="16.5" customHeight="1">
      <c r="A181" s="1526"/>
      <c r="D181" s="1519"/>
      <c r="E181" s="1519"/>
      <c r="F181" s="1519"/>
      <c r="I181" s="1522"/>
      <c r="J181" s="1521"/>
      <c r="K181" s="1521"/>
      <c r="L181" s="1520"/>
      <c r="M181" s="1520"/>
      <c r="N181" s="1520"/>
      <c r="O181" s="1580"/>
      <c r="T181" s="1522" t="s">
        <v>494</v>
      </c>
      <c r="U181" s="2816">
        <f>(0.848*(U179^2)/U176)</f>
        <v>5.4422755555555556E-2</v>
      </c>
      <c r="V181" s="1581" t="s">
        <v>1325</v>
      </c>
      <c r="W181" s="1520"/>
      <c r="X181" s="1520"/>
      <c r="AD181" s="1519"/>
      <c r="AE181" s="1519"/>
      <c r="AH181" s="1522"/>
      <c r="AI181" s="1521"/>
      <c r="AJ181" s="1520"/>
      <c r="AK181" s="1520"/>
      <c r="AL181" s="1520"/>
      <c r="AM181" s="1520"/>
      <c r="AN181" s="1520"/>
    </row>
    <row r="182" spans="1:41" ht="16.5" customHeight="1">
      <c r="A182" s="1526"/>
      <c r="D182" s="1519"/>
      <c r="E182" s="1519"/>
      <c r="F182" s="1519"/>
      <c r="I182" s="1522"/>
      <c r="J182" s="1521"/>
      <c r="K182" s="1521"/>
      <c r="L182" s="1520"/>
      <c r="M182" s="1520"/>
      <c r="N182" s="1520"/>
      <c r="O182" s="1580"/>
      <c r="Q182" s="4550" t="s">
        <v>1328</v>
      </c>
      <c r="R182" s="4551"/>
      <c r="U182" s="2816">
        <f>U181/60</f>
        <v>9.0704592592592598E-4</v>
      </c>
      <c r="V182" s="1581" t="s">
        <v>1326</v>
      </c>
      <c r="W182" s="1520"/>
      <c r="X182" s="1520"/>
      <c r="AD182" s="1519"/>
      <c r="AE182" s="1519"/>
      <c r="AH182" s="1522"/>
      <c r="AI182" s="1521"/>
      <c r="AJ182" s="1520"/>
      <c r="AK182" s="1520"/>
      <c r="AL182" s="1520"/>
      <c r="AM182" s="1520"/>
      <c r="AN182" s="1520"/>
    </row>
    <row r="183" spans="1:41" ht="16.5" customHeight="1">
      <c r="A183" s="1526"/>
      <c r="D183" s="1519"/>
      <c r="E183" s="1519"/>
      <c r="F183" s="1519"/>
      <c r="I183" s="1522"/>
      <c r="J183" s="1521"/>
      <c r="K183" s="1521"/>
      <c r="L183" s="1520"/>
      <c r="M183" s="1520"/>
      <c r="N183" s="1520"/>
      <c r="O183" s="1580"/>
      <c r="Q183" s="2824" t="s">
        <v>743</v>
      </c>
      <c r="R183" s="2824" t="s">
        <v>744</v>
      </c>
      <c r="U183" s="2817">
        <f>U182*3153.6</f>
        <v>2.8604600320000002</v>
      </c>
      <c r="V183" s="1581" t="s">
        <v>948</v>
      </c>
      <c r="W183" s="1520"/>
      <c r="X183" s="1520"/>
      <c r="AD183" s="1519"/>
      <c r="AE183" s="1519"/>
      <c r="AH183" s="1522"/>
      <c r="AI183" s="1521"/>
      <c r="AJ183" s="1520"/>
      <c r="AK183" s="1520"/>
      <c r="AL183" s="1520"/>
      <c r="AM183" s="1520"/>
      <c r="AN183" s="1520"/>
    </row>
    <row r="184" spans="1:41" ht="16.5" customHeight="1">
      <c r="A184" s="1526"/>
      <c r="D184" s="1519"/>
      <c r="E184" s="1519"/>
      <c r="F184" s="1519"/>
      <c r="I184" s="1522"/>
      <c r="J184" s="1521"/>
      <c r="K184" s="1521"/>
      <c r="L184" s="1520"/>
      <c r="M184" s="1520"/>
      <c r="N184" s="1520"/>
      <c r="O184" s="1580"/>
      <c r="Q184" s="2824">
        <v>0</v>
      </c>
      <c r="R184" s="2824">
        <f>R179</f>
        <v>1.1499999999999999</v>
      </c>
      <c r="U184" s="2817"/>
      <c r="V184" s="1581"/>
      <c r="W184" s="1520"/>
      <c r="X184" s="1520"/>
      <c r="AD184" s="1519"/>
      <c r="AE184" s="1519"/>
      <c r="AH184" s="1522"/>
      <c r="AI184" s="1521"/>
      <c r="AJ184" s="1520"/>
      <c r="AK184" s="1520"/>
      <c r="AL184" s="1520"/>
      <c r="AM184" s="1520"/>
      <c r="AN184" s="1520"/>
    </row>
    <row r="185" spans="1:41" ht="16.5" customHeight="1">
      <c r="A185" s="1526"/>
      <c r="D185" s="1519"/>
      <c r="E185" s="1519"/>
      <c r="F185" s="1519"/>
      <c r="I185" s="1522"/>
      <c r="J185" s="1521"/>
      <c r="K185" s="1521"/>
      <c r="L185" s="1520"/>
      <c r="M185" s="1520"/>
      <c r="N185" s="1520"/>
      <c r="O185" s="1580"/>
      <c r="Q185" s="1541">
        <f>Q180*1.15</f>
        <v>10.924999999999999</v>
      </c>
      <c r="R185" s="1541">
        <f>R180</f>
        <v>2.6999999999999993</v>
      </c>
      <c r="T185" s="1522" t="s">
        <v>493</v>
      </c>
      <c r="U185" s="2815">
        <f>S173/(S171*S172)</f>
        <v>1.2762096326074125E-4</v>
      </c>
      <c r="V185" s="1581"/>
      <c r="W185" s="1520"/>
      <c r="X185" s="1520"/>
      <c r="AD185" s="1519"/>
      <c r="AE185" s="1519"/>
      <c r="AH185" s="1522"/>
      <c r="AI185" s="1521"/>
      <c r="AJ185" s="1520"/>
      <c r="AK185" s="1520"/>
      <c r="AL185" s="1520"/>
      <c r="AM185" s="1520"/>
      <c r="AN185" s="1520"/>
    </row>
    <row r="186" spans="1:41" ht="16.5" customHeight="1">
      <c r="A186" s="1526"/>
      <c r="D186" s="1518" t="s">
        <v>1330</v>
      </c>
      <c r="E186" s="1519" t="s">
        <v>27</v>
      </c>
      <c r="F186" s="2839">
        <f>U174</f>
        <v>7.5</v>
      </c>
      <c r="I186" s="1518" t="s">
        <v>956</v>
      </c>
      <c r="J186" s="1522"/>
      <c r="K186" s="1586">
        <v>5</v>
      </c>
      <c r="L186" s="1585">
        <v>5</v>
      </c>
      <c r="M186" s="1581" t="s">
        <v>1</v>
      </c>
      <c r="N186" s="1520"/>
      <c r="O186" s="1580"/>
      <c r="R186" s="1579"/>
      <c r="U186" s="2825">
        <f>U185</f>
        <v>1.2762096326074125E-4</v>
      </c>
      <c r="V186" s="1581" t="s">
        <v>1327</v>
      </c>
      <c r="W186" s="1520"/>
      <c r="X186" s="1520"/>
      <c r="AD186" s="1519"/>
      <c r="AE186" s="1519"/>
      <c r="AH186" s="1522"/>
      <c r="AI186" s="1521"/>
      <c r="AJ186" s="1520"/>
      <c r="AK186" s="1520"/>
      <c r="AL186" s="1520"/>
      <c r="AM186" s="1520"/>
      <c r="AN186" s="1520"/>
    </row>
    <row r="187" spans="1:41" ht="16.5" customHeight="1">
      <c r="A187" s="1526"/>
      <c r="D187" s="1518" t="s">
        <v>1329</v>
      </c>
      <c r="E187" s="1519" t="s">
        <v>27</v>
      </c>
      <c r="F187" s="2839">
        <f>U176</f>
        <v>56.25</v>
      </c>
      <c r="G187" s="1518" t="s">
        <v>3</v>
      </c>
      <c r="I187" s="1518" t="s">
        <v>954</v>
      </c>
      <c r="J187" s="1522"/>
      <c r="K187" s="1554">
        <v>2</v>
      </c>
      <c r="L187" s="1585">
        <v>2</v>
      </c>
      <c r="M187" s="1581" t="s">
        <v>953</v>
      </c>
      <c r="N187" s="1520"/>
      <c r="O187" s="1580"/>
      <c r="Q187" s="4550" t="s">
        <v>1317</v>
      </c>
      <c r="R187" s="4551"/>
      <c r="U187" s="2817"/>
      <c r="V187" s="1581"/>
      <c r="W187" s="1520"/>
      <c r="X187" s="1520"/>
      <c r="AD187" s="1519"/>
      <c r="AE187" s="1519"/>
      <c r="AH187" s="1522"/>
      <c r="AI187" s="1521"/>
      <c r="AJ187" s="1520"/>
      <c r="AK187" s="1520"/>
      <c r="AL187" s="1520"/>
      <c r="AM187" s="1520"/>
      <c r="AN187" s="1520"/>
    </row>
    <row r="188" spans="1:41" ht="16.5" customHeight="1">
      <c r="A188" s="1526"/>
      <c r="D188" s="1519"/>
      <c r="E188" s="1519"/>
      <c r="F188" s="1584"/>
      <c r="I188" s="1518" t="s">
        <v>952</v>
      </c>
      <c r="J188" s="1522"/>
      <c r="K188" s="1584">
        <f>(K186/100)*('CU_Multi Saturasi'!D173/('Cu_Multi Consol'!K187*60))</f>
        <v>2.7202941311898706E-2</v>
      </c>
      <c r="L188" s="1583">
        <f>(L186/100)*('CU_Multi Saturasi'!D148/(L187*60))</f>
        <v>0</v>
      </c>
      <c r="M188" s="1581" t="s">
        <v>556</v>
      </c>
      <c r="N188" s="1520"/>
      <c r="O188" s="1580"/>
      <c r="Q188" s="2824" t="s">
        <v>743</v>
      </c>
      <c r="R188" s="2824" t="s">
        <v>744</v>
      </c>
      <c r="T188" s="1522" t="s">
        <v>4</v>
      </c>
      <c r="U188" s="2825">
        <f>U183*U186*9.81</f>
        <v>3.5811862602428963E-3</v>
      </c>
      <c r="V188" s="1581" t="s">
        <v>1320</v>
      </c>
      <c r="W188" s="1520"/>
      <c r="X188" s="1520"/>
      <c r="AD188" s="1519"/>
      <c r="AE188" s="1519"/>
      <c r="AH188" s="1522"/>
      <c r="AI188" s="1521"/>
      <c r="AJ188" s="1520"/>
      <c r="AK188" s="1520"/>
      <c r="AL188" s="1520"/>
      <c r="AM188" s="1520"/>
      <c r="AN188" s="1520"/>
    </row>
    <row r="189" spans="1:41" ht="16.5" customHeight="1">
      <c r="A189" s="1526"/>
      <c r="J189" s="1519" t="s">
        <v>951</v>
      </c>
      <c r="K189" s="2839">
        <f>U186</f>
        <v>1.2762096326074125E-4</v>
      </c>
      <c r="L189" s="1536" t="e">
        <f>(I166/'CU_Multi Saturasi'!F153)*(1000/('Cu_Multi Consol'!J153-'Cu_Multi Consol'!J166))</f>
        <v>#DIV/0!</v>
      </c>
      <c r="M189" s="1581" t="s">
        <v>1327</v>
      </c>
      <c r="N189" s="1520"/>
      <c r="O189" s="1580"/>
      <c r="Q189" s="2824">
        <v>0</v>
      </c>
      <c r="R189" s="2826">
        <f>S173</f>
        <v>2.1999999999999993</v>
      </c>
      <c r="U189" s="1520"/>
      <c r="V189" s="1581"/>
      <c r="W189" s="1520"/>
      <c r="X189" s="1520"/>
      <c r="AD189" s="1519"/>
      <c r="AE189" s="1519"/>
      <c r="AH189" s="1522"/>
      <c r="AI189" s="1521"/>
      <c r="AJ189" s="1520"/>
      <c r="AK189" s="1520"/>
      <c r="AL189" s="1520"/>
      <c r="AM189" s="1520"/>
      <c r="AN189" s="1520"/>
    </row>
    <row r="190" spans="1:41" ht="16.5" customHeight="1">
      <c r="A190" s="1526"/>
      <c r="D190" s="1519"/>
      <c r="E190" s="1519"/>
      <c r="F190" s="1519"/>
      <c r="I190" s="1522"/>
      <c r="J190" s="1519" t="s">
        <v>949</v>
      </c>
      <c r="K190" s="2839">
        <f>U183</f>
        <v>2.8604600320000002</v>
      </c>
      <c r="L190" s="1582">
        <f>2400/'Cu_Multi Consol'!F187</f>
        <v>42.666666666666664</v>
      </c>
      <c r="M190" s="1581" t="s">
        <v>948</v>
      </c>
      <c r="N190" s="1520"/>
      <c r="O190" s="1580"/>
      <c r="Q190" s="2831">
        <v>7.5</v>
      </c>
      <c r="R190" s="2826">
        <f>R189</f>
        <v>2.1999999999999993</v>
      </c>
      <c r="U190" s="1520"/>
      <c r="V190" s="1581"/>
      <c r="W190" s="1520"/>
      <c r="X190" s="1520"/>
      <c r="AD190" s="1519"/>
      <c r="AE190" s="1519"/>
      <c r="AH190" s="1522"/>
      <c r="AI190" s="1521"/>
      <c r="AJ190" s="1520"/>
      <c r="AK190" s="1520"/>
      <c r="AL190" s="1520"/>
      <c r="AM190" s="1520"/>
      <c r="AN190" s="1520"/>
    </row>
    <row r="191" spans="1:41" ht="16.5" customHeight="1">
      <c r="A191" s="1526"/>
      <c r="D191" s="1519"/>
      <c r="E191" s="1519"/>
      <c r="F191" s="1519"/>
      <c r="I191" s="1522"/>
      <c r="J191" s="1547"/>
      <c r="K191" s="1582"/>
      <c r="L191" s="1582"/>
      <c r="M191" s="1581"/>
      <c r="N191" s="1520"/>
      <c r="O191" s="1580"/>
      <c r="Q191" s="2827">
        <f>Q190</f>
        <v>7.5</v>
      </c>
      <c r="R191" s="2828">
        <f>R185</f>
        <v>2.6999999999999993</v>
      </c>
      <c r="U191" s="1520"/>
      <c r="V191" s="1581"/>
      <c r="W191" s="1520"/>
      <c r="X191" s="1520"/>
      <c r="AD191" s="1519"/>
      <c r="AE191" s="1519"/>
      <c r="AH191" s="1522"/>
      <c r="AI191" s="1521"/>
      <c r="AJ191" s="1520"/>
      <c r="AK191" s="1520"/>
      <c r="AL191" s="1520"/>
      <c r="AM191" s="1520"/>
      <c r="AN191" s="1520"/>
    </row>
    <row r="192" spans="1:41" ht="16.5" customHeight="1">
      <c r="A192" s="1578"/>
      <c r="B192" s="1524"/>
      <c r="C192" s="1524"/>
      <c r="D192" s="1524"/>
      <c r="E192" s="1524"/>
      <c r="F192" s="1524"/>
      <c r="G192" s="1524"/>
      <c r="H192" s="1524"/>
      <c r="I192" s="1524"/>
      <c r="J192" s="1524"/>
      <c r="K192" s="1524"/>
      <c r="L192" s="1524"/>
      <c r="M192" s="1577"/>
      <c r="N192" s="1577"/>
      <c r="O192" s="1523"/>
      <c r="U192" s="1576"/>
      <c r="V192" s="2811"/>
      <c r="Y192" s="1575"/>
      <c r="AA192" s="1548"/>
      <c r="AK192" s="1576"/>
      <c r="AL192" s="1576"/>
      <c r="AO192" s="1575"/>
    </row>
  </sheetData>
  <mergeCells count="39">
    <mergeCell ref="M133:O133"/>
    <mergeCell ref="I130:O130"/>
    <mergeCell ref="I131:O131"/>
    <mergeCell ref="I132:J132"/>
    <mergeCell ref="K132:L132"/>
    <mergeCell ref="M132:O132"/>
    <mergeCell ref="I2:O2"/>
    <mergeCell ref="I3:O3"/>
    <mergeCell ref="I4:J4"/>
    <mergeCell ref="I5:J5"/>
    <mergeCell ref="M4:O4"/>
    <mergeCell ref="M5:O5"/>
    <mergeCell ref="K4:L4"/>
    <mergeCell ref="K5:L5"/>
    <mergeCell ref="H22:I22"/>
    <mergeCell ref="J22:M22"/>
    <mergeCell ref="H86:I86"/>
    <mergeCell ref="J86:M86"/>
    <mergeCell ref="H150:I150"/>
    <mergeCell ref="J150:M150"/>
    <mergeCell ref="I66:O66"/>
    <mergeCell ref="I67:O67"/>
    <mergeCell ref="I68:J68"/>
    <mergeCell ref="K68:L68"/>
    <mergeCell ref="M68:O68"/>
    <mergeCell ref="I69:J69"/>
    <mergeCell ref="K69:L69"/>
    <mergeCell ref="M69:O69"/>
    <mergeCell ref="I133:J133"/>
    <mergeCell ref="K133:L133"/>
    <mergeCell ref="Q123:R123"/>
    <mergeCell ref="Q177:R177"/>
    <mergeCell ref="Q182:R182"/>
    <mergeCell ref="Q187:R187"/>
    <mergeCell ref="Q49:R49"/>
    <mergeCell ref="Q54:R54"/>
    <mergeCell ref="Q59:R59"/>
    <mergeCell ref="Q113:R113"/>
    <mergeCell ref="Q118:R118"/>
  </mergeCells>
  <printOptions horizontalCentered="1"/>
  <pageMargins left="0.55118110236220474" right="0.35433070866141736" top="0.59055118110236227" bottom="0.74803149606299213" header="0.23622047244094491" footer="0.59055118110236227"/>
  <pageSetup paperSize="9" scale="72" fitToHeight="3" orientation="portrait" r:id="rId1"/>
  <headerFooter alignWithMargins="0">
    <oddFooter>&amp;LC/LAB DATA/2001/IMK001/BATCH240701/TRIAXIAL/&amp;F/&amp;A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0893-7E1B-4813-B677-B59EEA0EC8DD}">
  <sheetPr>
    <tabColor theme="1"/>
  </sheetPr>
  <dimension ref="A2:AQ200"/>
  <sheetViews>
    <sheetView showGridLines="0" topLeftCell="A7" zoomScaleNormal="100" workbookViewId="0">
      <selection activeCell="O18" sqref="O18"/>
    </sheetView>
  </sheetViews>
  <sheetFormatPr defaultColWidth="8" defaultRowHeight="13.5"/>
  <cols>
    <col min="1" max="1" width="1.5" style="1661" customWidth="1"/>
    <col min="2" max="3" width="9" style="1661" customWidth="1"/>
    <col min="4" max="4" width="1.125" style="1661" customWidth="1"/>
    <col min="5" max="5" width="7.625" style="1661" customWidth="1"/>
    <col min="6" max="6" width="1.125" style="1661" customWidth="1"/>
    <col min="7" max="11" width="9" style="1661" customWidth="1"/>
    <col min="12" max="12" width="10" style="1661" customWidth="1"/>
    <col min="13" max="13" width="12.375" style="1661" customWidth="1"/>
    <col min="14" max="14" width="3.125" style="1661" customWidth="1"/>
    <col min="15" max="15" width="11.375" style="1661" customWidth="1"/>
    <col min="16" max="18" width="9" style="1661" customWidth="1"/>
    <col min="19" max="19" width="13.125" style="1568" customWidth="1"/>
    <col min="20" max="20" width="7.75" style="1568" customWidth="1"/>
    <col min="21" max="21" width="8.875" style="1661" customWidth="1"/>
    <col min="22" max="256" width="8" style="1661"/>
    <col min="257" max="257" width="1.5" style="1661" customWidth="1"/>
    <col min="258" max="259" width="9" style="1661" customWidth="1"/>
    <col min="260" max="260" width="1.125" style="1661" customWidth="1"/>
    <col min="261" max="261" width="7.625" style="1661" customWidth="1"/>
    <col min="262" max="262" width="1.125" style="1661" customWidth="1"/>
    <col min="263" max="267" width="9" style="1661" customWidth="1"/>
    <col min="268" max="269" width="10" style="1661" customWidth="1"/>
    <col min="270" max="270" width="1.125" style="1661" customWidth="1"/>
    <col min="271" max="274" width="9" style="1661" customWidth="1"/>
    <col min="275" max="275" width="13.125" style="1661" customWidth="1"/>
    <col min="276" max="276" width="7.75" style="1661" customWidth="1"/>
    <col min="277" max="277" width="8.875" style="1661" customWidth="1"/>
    <col min="278" max="512" width="8" style="1661"/>
    <col min="513" max="513" width="1.5" style="1661" customWidth="1"/>
    <col min="514" max="515" width="9" style="1661" customWidth="1"/>
    <col min="516" max="516" width="1.125" style="1661" customWidth="1"/>
    <col min="517" max="517" width="7.625" style="1661" customWidth="1"/>
    <col min="518" max="518" width="1.125" style="1661" customWidth="1"/>
    <col min="519" max="523" width="9" style="1661" customWidth="1"/>
    <col min="524" max="525" width="10" style="1661" customWidth="1"/>
    <col min="526" max="526" width="1.125" style="1661" customWidth="1"/>
    <col min="527" max="530" width="9" style="1661" customWidth="1"/>
    <col min="531" max="531" width="13.125" style="1661" customWidth="1"/>
    <col min="532" max="532" width="7.75" style="1661" customWidth="1"/>
    <col min="533" max="533" width="8.875" style="1661" customWidth="1"/>
    <col min="534" max="768" width="8" style="1661"/>
    <col min="769" max="769" width="1.5" style="1661" customWidth="1"/>
    <col min="770" max="771" width="9" style="1661" customWidth="1"/>
    <col min="772" max="772" width="1.125" style="1661" customWidth="1"/>
    <col min="773" max="773" width="7.625" style="1661" customWidth="1"/>
    <col min="774" max="774" width="1.125" style="1661" customWidth="1"/>
    <col min="775" max="779" width="9" style="1661" customWidth="1"/>
    <col min="780" max="781" width="10" style="1661" customWidth="1"/>
    <col min="782" max="782" width="1.125" style="1661" customWidth="1"/>
    <col min="783" max="786" width="9" style="1661" customWidth="1"/>
    <col min="787" max="787" width="13.125" style="1661" customWidth="1"/>
    <col min="788" max="788" width="7.75" style="1661" customWidth="1"/>
    <col min="789" max="789" width="8.875" style="1661" customWidth="1"/>
    <col min="790" max="1024" width="8" style="1661"/>
    <col min="1025" max="1025" width="1.5" style="1661" customWidth="1"/>
    <col min="1026" max="1027" width="9" style="1661" customWidth="1"/>
    <col min="1028" max="1028" width="1.125" style="1661" customWidth="1"/>
    <col min="1029" max="1029" width="7.625" style="1661" customWidth="1"/>
    <col min="1030" max="1030" width="1.125" style="1661" customWidth="1"/>
    <col min="1031" max="1035" width="9" style="1661" customWidth="1"/>
    <col min="1036" max="1037" width="10" style="1661" customWidth="1"/>
    <col min="1038" max="1038" width="1.125" style="1661" customWidth="1"/>
    <col min="1039" max="1042" width="9" style="1661" customWidth="1"/>
    <col min="1043" max="1043" width="13.125" style="1661" customWidth="1"/>
    <col min="1044" max="1044" width="7.75" style="1661" customWidth="1"/>
    <col min="1045" max="1045" width="8.875" style="1661" customWidth="1"/>
    <col min="1046" max="1280" width="8" style="1661"/>
    <col min="1281" max="1281" width="1.5" style="1661" customWidth="1"/>
    <col min="1282" max="1283" width="9" style="1661" customWidth="1"/>
    <col min="1284" max="1284" width="1.125" style="1661" customWidth="1"/>
    <col min="1285" max="1285" width="7.625" style="1661" customWidth="1"/>
    <col min="1286" max="1286" width="1.125" style="1661" customWidth="1"/>
    <col min="1287" max="1291" width="9" style="1661" customWidth="1"/>
    <col min="1292" max="1293" width="10" style="1661" customWidth="1"/>
    <col min="1294" max="1294" width="1.125" style="1661" customWidth="1"/>
    <col min="1295" max="1298" width="9" style="1661" customWidth="1"/>
    <col min="1299" max="1299" width="13.125" style="1661" customWidth="1"/>
    <col min="1300" max="1300" width="7.75" style="1661" customWidth="1"/>
    <col min="1301" max="1301" width="8.875" style="1661" customWidth="1"/>
    <col min="1302" max="1536" width="8" style="1661"/>
    <col min="1537" max="1537" width="1.5" style="1661" customWidth="1"/>
    <col min="1538" max="1539" width="9" style="1661" customWidth="1"/>
    <col min="1540" max="1540" width="1.125" style="1661" customWidth="1"/>
    <col min="1541" max="1541" width="7.625" style="1661" customWidth="1"/>
    <col min="1542" max="1542" width="1.125" style="1661" customWidth="1"/>
    <col min="1543" max="1547" width="9" style="1661" customWidth="1"/>
    <col min="1548" max="1549" width="10" style="1661" customWidth="1"/>
    <col min="1550" max="1550" width="1.125" style="1661" customWidth="1"/>
    <col min="1551" max="1554" width="9" style="1661" customWidth="1"/>
    <col min="1555" max="1555" width="13.125" style="1661" customWidth="1"/>
    <col min="1556" max="1556" width="7.75" style="1661" customWidth="1"/>
    <col min="1557" max="1557" width="8.875" style="1661" customWidth="1"/>
    <col min="1558" max="1792" width="8" style="1661"/>
    <col min="1793" max="1793" width="1.5" style="1661" customWidth="1"/>
    <col min="1794" max="1795" width="9" style="1661" customWidth="1"/>
    <col min="1796" max="1796" width="1.125" style="1661" customWidth="1"/>
    <col min="1797" max="1797" width="7.625" style="1661" customWidth="1"/>
    <col min="1798" max="1798" width="1.125" style="1661" customWidth="1"/>
    <col min="1799" max="1803" width="9" style="1661" customWidth="1"/>
    <col min="1804" max="1805" width="10" style="1661" customWidth="1"/>
    <col min="1806" max="1806" width="1.125" style="1661" customWidth="1"/>
    <col min="1807" max="1810" width="9" style="1661" customWidth="1"/>
    <col min="1811" max="1811" width="13.125" style="1661" customWidth="1"/>
    <col min="1812" max="1812" width="7.75" style="1661" customWidth="1"/>
    <col min="1813" max="1813" width="8.875" style="1661" customWidth="1"/>
    <col min="1814" max="2048" width="8" style="1661"/>
    <col min="2049" max="2049" width="1.5" style="1661" customWidth="1"/>
    <col min="2050" max="2051" width="9" style="1661" customWidth="1"/>
    <col min="2052" max="2052" width="1.125" style="1661" customWidth="1"/>
    <col min="2053" max="2053" width="7.625" style="1661" customWidth="1"/>
    <col min="2054" max="2054" width="1.125" style="1661" customWidth="1"/>
    <col min="2055" max="2059" width="9" style="1661" customWidth="1"/>
    <col min="2060" max="2061" width="10" style="1661" customWidth="1"/>
    <col min="2062" max="2062" width="1.125" style="1661" customWidth="1"/>
    <col min="2063" max="2066" width="9" style="1661" customWidth="1"/>
    <col min="2067" max="2067" width="13.125" style="1661" customWidth="1"/>
    <col min="2068" max="2068" width="7.75" style="1661" customWidth="1"/>
    <col min="2069" max="2069" width="8.875" style="1661" customWidth="1"/>
    <col min="2070" max="2304" width="8" style="1661"/>
    <col min="2305" max="2305" width="1.5" style="1661" customWidth="1"/>
    <col min="2306" max="2307" width="9" style="1661" customWidth="1"/>
    <col min="2308" max="2308" width="1.125" style="1661" customWidth="1"/>
    <col min="2309" max="2309" width="7.625" style="1661" customWidth="1"/>
    <col min="2310" max="2310" width="1.125" style="1661" customWidth="1"/>
    <col min="2311" max="2315" width="9" style="1661" customWidth="1"/>
    <col min="2316" max="2317" width="10" style="1661" customWidth="1"/>
    <col min="2318" max="2318" width="1.125" style="1661" customWidth="1"/>
    <col min="2319" max="2322" width="9" style="1661" customWidth="1"/>
    <col min="2323" max="2323" width="13.125" style="1661" customWidth="1"/>
    <col min="2324" max="2324" width="7.75" style="1661" customWidth="1"/>
    <col min="2325" max="2325" width="8.875" style="1661" customWidth="1"/>
    <col min="2326" max="2560" width="8" style="1661"/>
    <col min="2561" max="2561" width="1.5" style="1661" customWidth="1"/>
    <col min="2562" max="2563" width="9" style="1661" customWidth="1"/>
    <col min="2564" max="2564" width="1.125" style="1661" customWidth="1"/>
    <col min="2565" max="2565" width="7.625" style="1661" customWidth="1"/>
    <col min="2566" max="2566" width="1.125" style="1661" customWidth="1"/>
    <col min="2567" max="2571" width="9" style="1661" customWidth="1"/>
    <col min="2572" max="2573" width="10" style="1661" customWidth="1"/>
    <col min="2574" max="2574" width="1.125" style="1661" customWidth="1"/>
    <col min="2575" max="2578" width="9" style="1661" customWidth="1"/>
    <col min="2579" max="2579" width="13.125" style="1661" customWidth="1"/>
    <col min="2580" max="2580" width="7.75" style="1661" customWidth="1"/>
    <col min="2581" max="2581" width="8.875" style="1661" customWidth="1"/>
    <col min="2582" max="2816" width="8" style="1661"/>
    <col min="2817" max="2817" width="1.5" style="1661" customWidth="1"/>
    <col min="2818" max="2819" width="9" style="1661" customWidth="1"/>
    <col min="2820" max="2820" width="1.125" style="1661" customWidth="1"/>
    <col min="2821" max="2821" width="7.625" style="1661" customWidth="1"/>
    <col min="2822" max="2822" width="1.125" style="1661" customWidth="1"/>
    <col min="2823" max="2827" width="9" style="1661" customWidth="1"/>
    <col min="2828" max="2829" width="10" style="1661" customWidth="1"/>
    <col min="2830" max="2830" width="1.125" style="1661" customWidth="1"/>
    <col min="2831" max="2834" width="9" style="1661" customWidth="1"/>
    <col min="2835" max="2835" width="13.125" style="1661" customWidth="1"/>
    <col min="2836" max="2836" width="7.75" style="1661" customWidth="1"/>
    <col min="2837" max="2837" width="8.875" style="1661" customWidth="1"/>
    <col min="2838" max="3072" width="8" style="1661"/>
    <col min="3073" max="3073" width="1.5" style="1661" customWidth="1"/>
    <col min="3074" max="3075" width="9" style="1661" customWidth="1"/>
    <col min="3076" max="3076" width="1.125" style="1661" customWidth="1"/>
    <col min="3077" max="3077" width="7.625" style="1661" customWidth="1"/>
    <col min="3078" max="3078" width="1.125" style="1661" customWidth="1"/>
    <col min="3079" max="3083" width="9" style="1661" customWidth="1"/>
    <col min="3084" max="3085" width="10" style="1661" customWidth="1"/>
    <col min="3086" max="3086" width="1.125" style="1661" customWidth="1"/>
    <col min="3087" max="3090" width="9" style="1661" customWidth="1"/>
    <col min="3091" max="3091" width="13.125" style="1661" customWidth="1"/>
    <col min="3092" max="3092" width="7.75" style="1661" customWidth="1"/>
    <col min="3093" max="3093" width="8.875" style="1661" customWidth="1"/>
    <col min="3094" max="3328" width="8" style="1661"/>
    <col min="3329" max="3329" width="1.5" style="1661" customWidth="1"/>
    <col min="3330" max="3331" width="9" style="1661" customWidth="1"/>
    <col min="3332" max="3332" width="1.125" style="1661" customWidth="1"/>
    <col min="3333" max="3333" width="7.625" style="1661" customWidth="1"/>
    <col min="3334" max="3334" width="1.125" style="1661" customWidth="1"/>
    <col min="3335" max="3339" width="9" style="1661" customWidth="1"/>
    <col min="3340" max="3341" width="10" style="1661" customWidth="1"/>
    <col min="3342" max="3342" width="1.125" style="1661" customWidth="1"/>
    <col min="3343" max="3346" width="9" style="1661" customWidth="1"/>
    <col min="3347" max="3347" width="13.125" style="1661" customWidth="1"/>
    <col min="3348" max="3348" width="7.75" style="1661" customWidth="1"/>
    <col min="3349" max="3349" width="8.875" style="1661" customWidth="1"/>
    <col min="3350" max="3584" width="8" style="1661"/>
    <col min="3585" max="3585" width="1.5" style="1661" customWidth="1"/>
    <col min="3586" max="3587" width="9" style="1661" customWidth="1"/>
    <col min="3588" max="3588" width="1.125" style="1661" customWidth="1"/>
    <col min="3589" max="3589" width="7.625" style="1661" customWidth="1"/>
    <col min="3590" max="3590" width="1.125" style="1661" customWidth="1"/>
    <col min="3591" max="3595" width="9" style="1661" customWidth="1"/>
    <col min="3596" max="3597" width="10" style="1661" customWidth="1"/>
    <col min="3598" max="3598" width="1.125" style="1661" customWidth="1"/>
    <col min="3599" max="3602" width="9" style="1661" customWidth="1"/>
    <col min="3603" max="3603" width="13.125" style="1661" customWidth="1"/>
    <col min="3604" max="3604" width="7.75" style="1661" customWidth="1"/>
    <col min="3605" max="3605" width="8.875" style="1661" customWidth="1"/>
    <col min="3606" max="3840" width="8" style="1661"/>
    <col min="3841" max="3841" width="1.5" style="1661" customWidth="1"/>
    <col min="3842" max="3843" width="9" style="1661" customWidth="1"/>
    <col min="3844" max="3844" width="1.125" style="1661" customWidth="1"/>
    <col min="3845" max="3845" width="7.625" style="1661" customWidth="1"/>
    <col min="3846" max="3846" width="1.125" style="1661" customWidth="1"/>
    <col min="3847" max="3851" width="9" style="1661" customWidth="1"/>
    <col min="3852" max="3853" width="10" style="1661" customWidth="1"/>
    <col min="3854" max="3854" width="1.125" style="1661" customWidth="1"/>
    <col min="3855" max="3858" width="9" style="1661" customWidth="1"/>
    <col min="3859" max="3859" width="13.125" style="1661" customWidth="1"/>
    <col min="3860" max="3860" width="7.75" style="1661" customWidth="1"/>
    <col min="3861" max="3861" width="8.875" style="1661" customWidth="1"/>
    <col min="3862" max="4096" width="8" style="1661"/>
    <col min="4097" max="4097" width="1.5" style="1661" customWidth="1"/>
    <col min="4098" max="4099" width="9" style="1661" customWidth="1"/>
    <col min="4100" max="4100" width="1.125" style="1661" customWidth="1"/>
    <col min="4101" max="4101" width="7.625" style="1661" customWidth="1"/>
    <col min="4102" max="4102" width="1.125" style="1661" customWidth="1"/>
    <col min="4103" max="4107" width="9" style="1661" customWidth="1"/>
    <col min="4108" max="4109" width="10" style="1661" customWidth="1"/>
    <col min="4110" max="4110" width="1.125" style="1661" customWidth="1"/>
    <col min="4111" max="4114" width="9" style="1661" customWidth="1"/>
    <col min="4115" max="4115" width="13.125" style="1661" customWidth="1"/>
    <col min="4116" max="4116" width="7.75" style="1661" customWidth="1"/>
    <col min="4117" max="4117" width="8.875" style="1661" customWidth="1"/>
    <col min="4118" max="4352" width="8" style="1661"/>
    <col min="4353" max="4353" width="1.5" style="1661" customWidth="1"/>
    <col min="4354" max="4355" width="9" style="1661" customWidth="1"/>
    <col min="4356" max="4356" width="1.125" style="1661" customWidth="1"/>
    <col min="4357" max="4357" width="7.625" style="1661" customWidth="1"/>
    <col min="4358" max="4358" width="1.125" style="1661" customWidth="1"/>
    <col min="4359" max="4363" width="9" style="1661" customWidth="1"/>
    <col min="4364" max="4365" width="10" style="1661" customWidth="1"/>
    <col min="4366" max="4366" width="1.125" style="1661" customWidth="1"/>
    <col min="4367" max="4370" width="9" style="1661" customWidth="1"/>
    <col min="4371" max="4371" width="13.125" style="1661" customWidth="1"/>
    <col min="4372" max="4372" width="7.75" style="1661" customWidth="1"/>
    <col min="4373" max="4373" width="8.875" style="1661" customWidth="1"/>
    <col min="4374" max="4608" width="8" style="1661"/>
    <col min="4609" max="4609" width="1.5" style="1661" customWidth="1"/>
    <col min="4610" max="4611" width="9" style="1661" customWidth="1"/>
    <col min="4612" max="4612" width="1.125" style="1661" customWidth="1"/>
    <col min="4613" max="4613" width="7.625" style="1661" customWidth="1"/>
    <col min="4614" max="4614" width="1.125" style="1661" customWidth="1"/>
    <col min="4615" max="4619" width="9" style="1661" customWidth="1"/>
    <col min="4620" max="4621" width="10" style="1661" customWidth="1"/>
    <col min="4622" max="4622" width="1.125" style="1661" customWidth="1"/>
    <col min="4623" max="4626" width="9" style="1661" customWidth="1"/>
    <col min="4627" max="4627" width="13.125" style="1661" customWidth="1"/>
    <col min="4628" max="4628" width="7.75" style="1661" customWidth="1"/>
    <col min="4629" max="4629" width="8.875" style="1661" customWidth="1"/>
    <col min="4630" max="4864" width="8" style="1661"/>
    <col min="4865" max="4865" width="1.5" style="1661" customWidth="1"/>
    <col min="4866" max="4867" width="9" style="1661" customWidth="1"/>
    <col min="4868" max="4868" width="1.125" style="1661" customWidth="1"/>
    <col min="4869" max="4869" width="7.625" style="1661" customWidth="1"/>
    <col min="4870" max="4870" width="1.125" style="1661" customWidth="1"/>
    <col min="4871" max="4875" width="9" style="1661" customWidth="1"/>
    <col min="4876" max="4877" width="10" style="1661" customWidth="1"/>
    <col min="4878" max="4878" width="1.125" style="1661" customWidth="1"/>
    <col min="4879" max="4882" width="9" style="1661" customWidth="1"/>
    <col min="4883" max="4883" width="13.125" style="1661" customWidth="1"/>
    <col min="4884" max="4884" width="7.75" style="1661" customWidth="1"/>
    <col min="4885" max="4885" width="8.875" style="1661" customWidth="1"/>
    <col min="4886" max="5120" width="8" style="1661"/>
    <col min="5121" max="5121" width="1.5" style="1661" customWidth="1"/>
    <col min="5122" max="5123" width="9" style="1661" customWidth="1"/>
    <col min="5124" max="5124" width="1.125" style="1661" customWidth="1"/>
    <col min="5125" max="5125" width="7.625" style="1661" customWidth="1"/>
    <col min="5126" max="5126" width="1.125" style="1661" customWidth="1"/>
    <col min="5127" max="5131" width="9" style="1661" customWidth="1"/>
    <col min="5132" max="5133" width="10" style="1661" customWidth="1"/>
    <col min="5134" max="5134" width="1.125" style="1661" customWidth="1"/>
    <col min="5135" max="5138" width="9" style="1661" customWidth="1"/>
    <col min="5139" max="5139" width="13.125" style="1661" customWidth="1"/>
    <col min="5140" max="5140" width="7.75" style="1661" customWidth="1"/>
    <col min="5141" max="5141" width="8.875" style="1661" customWidth="1"/>
    <col min="5142" max="5376" width="8" style="1661"/>
    <col min="5377" max="5377" width="1.5" style="1661" customWidth="1"/>
    <col min="5378" max="5379" width="9" style="1661" customWidth="1"/>
    <col min="5380" max="5380" width="1.125" style="1661" customWidth="1"/>
    <col min="5381" max="5381" width="7.625" style="1661" customWidth="1"/>
    <col min="5382" max="5382" width="1.125" style="1661" customWidth="1"/>
    <col min="5383" max="5387" width="9" style="1661" customWidth="1"/>
    <col min="5388" max="5389" width="10" style="1661" customWidth="1"/>
    <col min="5390" max="5390" width="1.125" style="1661" customWidth="1"/>
    <col min="5391" max="5394" width="9" style="1661" customWidth="1"/>
    <col min="5395" max="5395" width="13.125" style="1661" customWidth="1"/>
    <col min="5396" max="5396" width="7.75" style="1661" customWidth="1"/>
    <col min="5397" max="5397" width="8.875" style="1661" customWidth="1"/>
    <col min="5398" max="5632" width="8" style="1661"/>
    <col min="5633" max="5633" width="1.5" style="1661" customWidth="1"/>
    <col min="5634" max="5635" width="9" style="1661" customWidth="1"/>
    <col min="5636" max="5636" width="1.125" style="1661" customWidth="1"/>
    <col min="5637" max="5637" width="7.625" style="1661" customWidth="1"/>
    <col min="5638" max="5638" width="1.125" style="1661" customWidth="1"/>
    <col min="5639" max="5643" width="9" style="1661" customWidth="1"/>
    <col min="5644" max="5645" width="10" style="1661" customWidth="1"/>
    <col min="5646" max="5646" width="1.125" style="1661" customWidth="1"/>
    <col min="5647" max="5650" width="9" style="1661" customWidth="1"/>
    <col min="5651" max="5651" width="13.125" style="1661" customWidth="1"/>
    <col min="5652" max="5652" width="7.75" style="1661" customWidth="1"/>
    <col min="5653" max="5653" width="8.875" style="1661" customWidth="1"/>
    <col min="5654" max="5888" width="8" style="1661"/>
    <col min="5889" max="5889" width="1.5" style="1661" customWidth="1"/>
    <col min="5890" max="5891" width="9" style="1661" customWidth="1"/>
    <col min="5892" max="5892" width="1.125" style="1661" customWidth="1"/>
    <col min="5893" max="5893" width="7.625" style="1661" customWidth="1"/>
    <col min="5894" max="5894" width="1.125" style="1661" customWidth="1"/>
    <col min="5895" max="5899" width="9" style="1661" customWidth="1"/>
    <col min="5900" max="5901" width="10" style="1661" customWidth="1"/>
    <col min="5902" max="5902" width="1.125" style="1661" customWidth="1"/>
    <col min="5903" max="5906" width="9" style="1661" customWidth="1"/>
    <col min="5907" max="5907" width="13.125" style="1661" customWidth="1"/>
    <col min="5908" max="5908" width="7.75" style="1661" customWidth="1"/>
    <col min="5909" max="5909" width="8.875" style="1661" customWidth="1"/>
    <col min="5910" max="6144" width="8" style="1661"/>
    <col min="6145" max="6145" width="1.5" style="1661" customWidth="1"/>
    <col min="6146" max="6147" width="9" style="1661" customWidth="1"/>
    <col min="6148" max="6148" width="1.125" style="1661" customWidth="1"/>
    <col min="6149" max="6149" width="7.625" style="1661" customWidth="1"/>
    <col min="6150" max="6150" width="1.125" style="1661" customWidth="1"/>
    <col min="6151" max="6155" width="9" style="1661" customWidth="1"/>
    <col min="6156" max="6157" width="10" style="1661" customWidth="1"/>
    <col min="6158" max="6158" width="1.125" style="1661" customWidth="1"/>
    <col min="6159" max="6162" width="9" style="1661" customWidth="1"/>
    <col min="6163" max="6163" width="13.125" style="1661" customWidth="1"/>
    <col min="6164" max="6164" width="7.75" style="1661" customWidth="1"/>
    <col min="6165" max="6165" width="8.875" style="1661" customWidth="1"/>
    <col min="6166" max="6400" width="8" style="1661"/>
    <col min="6401" max="6401" width="1.5" style="1661" customWidth="1"/>
    <col min="6402" max="6403" width="9" style="1661" customWidth="1"/>
    <col min="6404" max="6404" width="1.125" style="1661" customWidth="1"/>
    <col min="6405" max="6405" width="7.625" style="1661" customWidth="1"/>
    <col min="6406" max="6406" width="1.125" style="1661" customWidth="1"/>
    <col min="6407" max="6411" width="9" style="1661" customWidth="1"/>
    <col min="6412" max="6413" width="10" style="1661" customWidth="1"/>
    <col min="6414" max="6414" width="1.125" style="1661" customWidth="1"/>
    <col min="6415" max="6418" width="9" style="1661" customWidth="1"/>
    <col min="6419" max="6419" width="13.125" style="1661" customWidth="1"/>
    <col min="6420" max="6420" width="7.75" style="1661" customWidth="1"/>
    <col min="6421" max="6421" width="8.875" style="1661" customWidth="1"/>
    <col min="6422" max="6656" width="8" style="1661"/>
    <col min="6657" max="6657" width="1.5" style="1661" customWidth="1"/>
    <col min="6658" max="6659" width="9" style="1661" customWidth="1"/>
    <col min="6660" max="6660" width="1.125" style="1661" customWidth="1"/>
    <col min="6661" max="6661" width="7.625" style="1661" customWidth="1"/>
    <col min="6662" max="6662" width="1.125" style="1661" customWidth="1"/>
    <col min="6663" max="6667" width="9" style="1661" customWidth="1"/>
    <col min="6668" max="6669" width="10" style="1661" customWidth="1"/>
    <col min="6670" max="6670" width="1.125" style="1661" customWidth="1"/>
    <col min="6671" max="6674" width="9" style="1661" customWidth="1"/>
    <col min="6675" max="6675" width="13.125" style="1661" customWidth="1"/>
    <col min="6676" max="6676" width="7.75" style="1661" customWidth="1"/>
    <col min="6677" max="6677" width="8.875" style="1661" customWidth="1"/>
    <col min="6678" max="6912" width="8" style="1661"/>
    <col min="6913" max="6913" width="1.5" style="1661" customWidth="1"/>
    <col min="6914" max="6915" width="9" style="1661" customWidth="1"/>
    <col min="6916" max="6916" width="1.125" style="1661" customWidth="1"/>
    <col min="6917" max="6917" width="7.625" style="1661" customWidth="1"/>
    <col min="6918" max="6918" width="1.125" style="1661" customWidth="1"/>
    <col min="6919" max="6923" width="9" style="1661" customWidth="1"/>
    <col min="6924" max="6925" width="10" style="1661" customWidth="1"/>
    <col min="6926" max="6926" width="1.125" style="1661" customWidth="1"/>
    <col min="6927" max="6930" width="9" style="1661" customWidth="1"/>
    <col min="6931" max="6931" width="13.125" style="1661" customWidth="1"/>
    <col min="6932" max="6932" width="7.75" style="1661" customWidth="1"/>
    <col min="6933" max="6933" width="8.875" style="1661" customWidth="1"/>
    <col min="6934" max="7168" width="8" style="1661"/>
    <col min="7169" max="7169" width="1.5" style="1661" customWidth="1"/>
    <col min="7170" max="7171" width="9" style="1661" customWidth="1"/>
    <col min="7172" max="7172" width="1.125" style="1661" customWidth="1"/>
    <col min="7173" max="7173" width="7.625" style="1661" customWidth="1"/>
    <col min="7174" max="7174" width="1.125" style="1661" customWidth="1"/>
    <col min="7175" max="7179" width="9" style="1661" customWidth="1"/>
    <col min="7180" max="7181" width="10" style="1661" customWidth="1"/>
    <col min="7182" max="7182" width="1.125" style="1661" customWidth="1"/>
    <col min="7183" max="7186" width="9" style="1661" customWidth="1"/>
    <col min="7187" max="7187" width="13.125" style="1661" customWidth="1"/>
    <col min="7188" max="7188" width="7.75" style="1661" customWidth="1"/>
    <col min="7189" max="7189" width="8.875" style="1661" customWidth="1"/>
    <col min="7190" max="7424" width="8" style="1661"/>
    <col min="7425" max="7425" width="1.5" style="1661" customWidth="1"/>
    <col min="7426" max="7427" width="9" style="1661" customWidth="1"/>
    <col min="7428" max="7428" width="1.125" style="1661" customWidth="1"/>
    <col min="7429" max="7429" width="7.625" style="1661" customWidth="1"/>
    <col min="7430" max="7430" width="1.125" style="1661" customWidth="1"/>
    <col min="7431" max="7435" width="9" style="1661" customWidth="1"/>
    <col min="7436" max="7437" width="10" style="1661" customWidth="1"/>
    <col min="7438" max="7438" width="1.125" style="1661" customWidth="1"/>
    <col min="7439" max="7442" width="9" style="1661" customWidth="1"/>
    <col min="7443" max="7443" width="13.125" style="1661" customWidth="1"/>
    <col min="7444" max="7444" width="7.75" style="1661" customWidth="1"/>
    <col min="7445" max="7445" width="8.875" style="1661" customWidth="1"/>
    <col min="7446" max="7680" width="8" style="1661"/>
    <col min="7681" max="7681" width="1.5" style="1661" customWidth="1"/>
    <col min="7682" max="7683" width="9" style="1661" customWidth="1"/>
    <col min="7684" max="7684" width="1.125" style="1661" customWidth="1"/>
    <col min="7685" max="7685" width="7.625" style="1661" customWidth="1"/>
    <col min="7686" max="7686" width="1.125" style="1661" customWidth="1"/>
    <col min="7687" max="7691" width="9" style="1661" customWidth="1"/>
    <col min="7692" max="7693" width="10" style="1661" customWidth="1"/>
    <col min="7694" max="7694" width="1.125" style="1661" customWidth="1"/>
    <col min="7695" max="7698" width="9" style="1661" customWidth="1"/>
    <col min="7699" max="7699" width="13.125" style="1661" customWidth="1"/>
    <col min="7700" max="7700" width="7.75" style="1661" customWidth="1"/>
    <col min="7701" max="7701" width="8.875" style="1661" customWidth="1"/>
    <col min="7702" max="7936" width="8" style="1661"/>
    <col min="7937" max="7937" width="1.5" style="1661" customWidth="1"/>
    <col min="7938" max="7939" width="9" style="1661" customWidth="1"/>
    <col min="7940" max="7940" width="1.125" style="1661" customWidth="1"/>
    <col min="7941" max="7941" width="7.625" style="1661" customWidth="1"/>
    <col min="7942" max="7942" width="1.125" style="1661" customWidth="1"/>
    <col min="7943" max="7947" width="9" style="1661" customWidth="1"/>
    <col min="7948" max="7949" width="10" style="1661" customWidth="1"/>
    <col min="7950" max="7950" width="1.125" style="1661" customWidth="1"/>
    <col min="7951" max="7954" width="9" style="1661" customWidth="1"/>
    <col min="7955" max="7955" width="13.125" style="1661" customWidth="1"/>
    <col min="7956" max="7956" width="7.75" style="1661" customWidth="1"/>
    <col min="7957" max="7957" width="8.875" style="1661" customWidth="1"/>
    <col min="7958" max="8192" width="8" style="1661"/>
    <col min="8193" max="8193" width="1.5" style="1661" customWidth="1"/>
    <col min="8194" max="8195" width="9" style="1661" customWidth="1"/>
    <col min="8196" max="8196" width="1.125" style="1661" customWidth="1"/>
    <col min="8197" max="8197" width="7.625" style="1661" customWidth="1"/>
    <col min="8198" max="8198" width="1.125" style="1661" customWidth="1"/>
    <col min="8199" max="8203" width="9" style="1661" customWidth="1"/>
    <col min="8204" max="8205" width="10" style="1661" customWidth="1"/>
    <col min="8206" max="8206" width="1.125" style="1661" customWidth="1"/>
    <col min="8207" max="8210" width="9" style="1661" customWidth="1"/>
    <col min="8211" max="8211" width="13.125" style="1661" customWidth="1"/>
    <col min="8212" max="8212" width="7.75" style="1661" customWidth="1"/>
    <col min="8213" max="8213" width="8.875" style="1661" customWidth="1"/>
    <col min="8214" max="8448" width="8" style="1661"/>
    <col min="8449" max="8449" width="1.5" style="1661" customWidth="1"/>
    <col min="8450" max="8451" width="9" style="1661" customWidth="1"/>
    <col min="8452" max="8452" width="1.125" style="1661" customWidth="1"/>
    <col min="8453" max="8453" width="7.625" style="1661" customWidth="1"/>
    <col min="8454" max="8454" width="1.125" style="1661" customWidth="1"/>
    <col min="8455" max="8459" width="9" style="1661" customWidth="1"/>
    <col min="8460" max="8461" width="10" style="1661" customWidth="1"/>
    <col min="8462" max="8462" width="1.125" style="1661" customWidth="1"/>
    <col min="8463" max="8466" width="9" style="1661" customWidth="1"/>
    <col min="8467" max="8467" width="13.125" style="1661" customWidth="1"/>
    <col min="8468" max="8468" width="7.75" style="1661" customWidth="1"/>
    <col min="8469" max="8469" width="8.875" style="1661" customWidth="1"/>
    <col min="8470" max="8704" width="8" style="1661"/>
    <col min="8705" max="8705" width="1.5" style="1661" customWidth="1"/>
    <col min="8706" max="8707" width="9" style="1661" customWidth="1"/>
    <col min="8708" max="8708" width="1.125" style="1661" customWidth="1"/>
    <col min="8709" max="8709" width="7.625" style="1661" customWidth="1"/>
    <col min="8710" max="8710" width="1.125" style="1661" customWidth="1"/>
    <col min="8711" max="8715" width="9" style="1661" customWidth="1"/>
    <col min="8716" max="8717" width="10" style="1661" customWidth="1"/>
    <col min="8718" max="8718" width="1.125" style="1661" customWidth="1"/>
    <col min="8719" max="8722" width="9" style="1661" customWidth="1"/>
    <col min="8723" max="8723" width="13.125" style="1661" customWidth="1"/>
    <col min="8724" max="8724" width="7.75" style="1661" customWidth="1"/>
    <col min="8725" max="8725" width="8.875" style="1661" customWidth="1"/>
    <col min="8726" max="8960" width="8" style="1661"/>
    <col min="8961" max="8961" width="1.5" style="1661" customWidth="1"/>
    <col min="8962" max="8963" width="9" style="1661" customWidth="1"/>
    <col min="8964" max="8964" width="1.125" style="1661" customWidth="1"/>
    <col min="8965" max="8965" width="7.625" style="1661" customWidth="1"/>
    <col min="8966" max="8966" width="1.125" style="1661" customWidth="1"/>
    <col min="8967" max="8971" width="9" style="1661" customWidth="1"/>
    <col min="8972" max="8973" width="10" style="1661" customWidth="1"/>
    <col min="8974" max="8974" width="1.125" style="1661" customWidth="1"/>
    <col min="8975" max="8978" width="9" style="1661" customWidth="1"/>
    <col min="8979" max="8979" width="13.125" style="1661" customWidth="1"/>
    <col min="8980" max="8980" width="7.75" style="1661" customWidth="1"/>
    <col min="8981" max="8981" width="8.875" style="1661" customWidth="1"/>
    <col min="8982" max="9216" width="8" style="1661"/>
    <col min="9217" max="9217" width="1.5" style="1661" customWidth="1"/>
    <col min="9218" max="9219" width="9" style="1661" customWidth="1"/>
    <col min="9220" max="9220" width="1.125" style="1661" customWidth="1"/>
    <col min="9221" max="9221" width="7.625" style="1661" customWidth="1"/>
    <col min="9222" max="9222" width="1.125" style="1661" customWidth="1"/>
    <col min="9223" max="9227" width="9" style="1661" customWidth="1"/>
    <col min="9228" max="9229" width="10" style="1661" customWidth="1"/>
    <col min="9230" max="9230" width="1.125" style="1661" customWidth="1"/>
    <col min="9231" max="9234" width="9" style="1661" customWidth="1"/>
    <col min="9235" max="9235" width="13.125" style="1661" customWidth="1"/>
    <col min="9236" max="9236" width="7.75" style="1661" customWidth="1"/>
    <col min="9237" max="9237" width="8.875" style="1661" customWidth="1"/>
    <col min="9238" max="9472" width="8" style="1661"/>
    <col min="9473" max="9473" width="1.5" style="1661" customWidth="1"/>
    <col min="9474" max="9475" width="9" style="1661" customWidth="1"/>
    <col min="9476" max="9476" width="1.125" style="1661" customWidth="1"/>
    <col min="9477" max="9477" width="7.625" style="1661" customWidth="1"/>
    <col min="9478" max="9478" width="1.125" style="1661" customWidth="1"/>
    <col min="9479" max="9483" width="9" style="1661" customWidth="1"/>
    <col min="9484" max="9485" width="10" style="1661" customWidth="1"/>
    <col min="9486" max="9486" width="1.125" style="1661" customWidth="1"/>
    <col min="9487" max="9490" width="9" style="1661" customWidth="1"/>
    <col min="9491" max="9491" width="13.125" style="1661" customWidth="1"/>
    <col min="9492" max="9492" width="7.75" style="1661" customWidth="1"/>
    <col min="9493" max="9493" width="8.875" style="1661" customWidth="1"/>
    <col min="9494" max="9728" width="8" style="1661"/>
    <col min="9729" max="9729" width="1.5" style="1661" customWidth="1"/>
    <col min="9730" max="9731" width="9" style="1661" customWidth="1"/>
    <col min="9732" max="9732" width="1.125" style="1661" customWidth="1"/>
    <col min="9733" max="9733" width="7.625" style="1661" customWidth="1"/>
    <col min="9734" max="9734" width="1.125" style="1661" customWidth="1"/>
    <col min="9735" max="9739" width="9" style="1661" customWidth="1"/>
    <col min="9740" max="9741" width="10" style="1661" customWidth="1"/>
    <col min="9742" max="9742" width="1.125" style="1661" customWidth="1"/>
    <col min="9743" max="9746" width="9" style="1661" customWidth="1"/>
    <col min="9747" max="9747" width="13.125" style="1661" customWidth="1"/>
    <col min="9748" max="9748" width="7.75" style="1661" customWidth="1"/>
    <col min="9749" max="9749" width="8.875" style="1661" customWidth="1"/>
    <col min="9750" max="9984" width="8" style="1661"/>
    <col min="9985" max="9985" width="1.5" style="1661" customWidth="1"/>
    <col min="9986" max="9987" width="9" style="1661" customWidth="1"/>
    <col min="9988" max="9988" width="1.125" style="1661" customWidth="1"/>
    <col min="9989" max="9989" width="7.625" style="1661" customWidth="1"/>
    <col min="9990" max="9990" width="1.125" style="1661" customWidth="1"/>
    <col min="9991" max="9995" width="9" style="1661" customWidth="1"/>
    <col min="9996" max="9997" width="10" style="1661" customWidth="1"/>
    <col min="9998" max="9998" width="1.125" style="1661" customWidth="1"/>
    <col min="9999" max="10002" width="9" style="1661" customWidth="1"/>
    <col min="10003" max="10003" width="13.125" style="1661" customWidth="1"/>
    <col min="10004" max="10004" width="7.75" style="1661" customWidth="1"/>
    <col min="10005" max="10005" width="8.875" style="1661" customWidth="1"/>
    <col min="10006" max="10240" width="8" style="1661"/>
    <col min="10241" max="10241" width="1.5" style="1661" customWidth="1"/>
    <col min="10242" max="10243" width="9" style="1661" customWidth="1"/>
    <col min="10244" max="10244" width="1.125" style="1661" customWidth="1"/>
    <col min="10245" max="10245" width="7.625" style="1661" customWidth="1"/>
    <col min="10246" max="10246" width="1.125" style="1661" customWidth="1"/>
    <col min="10247" max="10251" width="9" style="1661" customWidth="1"/>
    <col min="10252" max="10253" width="10" style="1661" customWidth="1"/>
    <col min="10254" max="10254" width="1.125" style="1661" customWidth="1"/>
    <col min="10255" max="10258" width="9" style="1661" customWidth="1"/>
    <col min="10259" max="10259" width="13.125" style="1661" customWidth="1"/>
    <col min="10260" max="10260" width="7.75" style="1661" customWidth="1"/>
    <col min="10261" max="10261" width="8.875" style="1661" customWidth="1"/>
    <col min="10262" max="10496" width="8" style="1661"/>
    <col min="10497" max="10497" width="1.5" style="1661" customWidth="1"/>
    <col min="10498" max="10499" width="9" style="1661" customWidth="1"/>
    <col min="10500" max="10500" width="1.125" style="1661" customWidth="1"/>
    <col min="10501" max="10501" width="7.625" style="1661" customWidth="1"/>
    <col min="10502" max="10502" width="1.125" style="1661" customWidth="1"/>
    <col min="10503" max="10507" width="9" style="1661" customWidth="1"/>
    <col min="10508" max="10509" width="10" style="1661" customWidth="1"/>
    <col min="10510" max="10510" width="1.125" style="1661" customWidth="1"/>
    <col min="10511" max="10514" width="9" style="1661" customWidth="1"/>
    <col min="10515" max="10515" width="13.125" style="1661" customWidth="1"/>
    <col min="10516" max="10516" width="7.75" style="1661" customWidth="1"/>
    <col min="10517" max="10517" width="8.875" style="1661" customWidth="1"/>
    <col min="10518" max="10752" width="8" style="1661"/>
    <col min="10753" max="10753" width="1.5" style="1661" customWidth="1"/>
    <col min="10754" max="10755" width="9" style="1661" customWidth="1"/>
    <col min="10756" max="10756" width="1.125" style="1661" customWidth="1"/>
    <col min="10757" max="10757" width="7.625" style="1661" customWidth="1"/>
    <col min="10758" max="10758" width="1.125" style="1661" customWidth="1"/>
    <col min="10759" max="10763" width="9" style="1661" customWidth="1"/>
    <col min="10764" max="10765" width="10" style="1661" customWidth="1"/>
    <col min="10766" max="10766" width="1.125" style="1661" customWidth="1"/>
    <col min="10767" max="10770" width="9" style="1661" customWidth="1"/>
    <col min="10771" max="10771" width="13.125" style="1661" customWidth="1"/>
    <col min="10772" max="10772" width="7.75" style="1661" customWidth="1"/>
    <col min="10773" max="10773" width="8.875" style="1661" customWidth="1"/>
    <col min="10774" max="11008" width="8" style="1661"/>
    <col min="11009" max="11009" width="1.5" style="1661" customWidth="1"/>
    <col min="11010" max="11011" width="9" style="1661" customWidth="1"/>
    <col min="11012" max="11012" width="1.125" style="1661" customWidth="1"/>
    <col min="11013" max="11013" width="7.625" style="1661" customWidth="1"/>
    <col min="11014" max="11014" width="1.125" style="1661" customWidth="1"/>
    <col min="11015" max="11019" width="9" style="1661" customWidth="1"/>
    <col min="11020" max="11021" width="10" style="1661" customWidth="1"/>
    <col min="11022" max="11022" width="1.125" style="1661" customWidth="1"/>
    <col min="11023" max="11026" width="9" style="1661" customWidth="1"/>
    <col min="11027" max="11027" width="13.125" style="1661" customWidth="1"/>
    <col min="11028" max="11028" width="7.75" style="1661" customWidth="1"/>
    <col min="11029" max="11029" width="8.875" style="1661" customWidth="1"/>
    <col min="11030" max="11264" width="8" style="1661"/>
    <col min="11265" max="11265" width="1.5" style="1661" customWidth="1"/>
    <col min="11266" max="11267" width="9" style="1661" customWidth="1"/>
    <col min="11268" max="11268" width="1.125" style="1661" customWidth="1"/>
    <col min="11269" max="11269" width="7.625" style="1661" customWidth="1"/>
    <col min="11270" max="11270" width="1.125" style="1661" customWidth="1"/>
    <col min="11271" max="11275" width="9" style="1661" customWidth="1"/>
    <col min="11276" max="11277" width="10" style="1661" customWidth="1"/>
    <col min="11278" max="11278" width="1.125" style="1661" customWidth="1"/>
    <col min="11279" max="11282" width="9" style="1661" customWidth="1"/>
    <col min="11283" max="11283" width="13.125" style="1661" customWidth="1"/>
    <col min="11284" max="11284" width="7.75" style="1661" customWidth="1"/>
    <col min="11285" max="11285" width="8.875" style="1661" customWidth="1"/>
    <col min="11286" max="11520" width="8" style="1661"/>
    <col min="11521" max="11521" width="1.5" style="1661" customWidth="1"/>
    <col min="11522" max="11523" width="9" style="1661" customWidth="1"/>
    <col min="11524" max="11524" width="1.125" style="1661" customWidth="1"/>
    <col min="11525" max="11525" width="7.625" style="1661" customWidth="1"/>
    <col min="11526" max="11526" width="1.125" style="1661" customWidth="1"/>
    <col min="11527" max="11531" width="9" style="1661" customWidth="1"/>
    <col min="11532" max="11533" width="10" style="1661" customWidth="1"/>
    <col min="11534" max="11534" width="1.125" style="1661" customWidth="1"/>
    <col min="11535" max="11538" width="9" style="1661" customWidth="1"/>
    <col min="11539" max="11539" width="13.125" style="1661" customWidth="1"/>
    <col min="11540" max="11540" width="7.75" style="1661" customWidth="1"/>
    <col min="11541" max="11541" width="8.875" style="1661" customWidth="1"/>
    <col min="11542" max="11776" width="8" style="1661"/>
    <col min="11777" max="11777" width="1.5" style="1661" customWidth="1"/>
    <col min="11778" max="11779" width="9" style="1661" customWidth="1"/>
    <col min="11780" max="11780" width="1.125" style="1661" customWidth="1"/>
    <col min="11781" max="11781" width="7.625" style="1661" customWidth="1"/>
    <col min="11782" max="11782" width="1.125" style="1661" customWidth="1"/>
    <col min="11783" max="11787" width="9" style="1661" customWidth="1"/>
    <col min="11788" max="11789" width="10" style="1661" customWidth="1"/>
    <col min="11790" max="11790" width="1.125" style="1661" customWidth="1"/>
    <col min="11791" max="11794" width="9" style="1661" customWidth="1"/>
    <col min="11795" max="11795" width="13.125" style="1661" customWidth="1"/>
    <col min="11796" max="11796" width="7.75" style="1661" customWidth="1"/>
    <col min="11797" max="11797" width="8.875" style="1661" customWidth="1"/>
    <col min="11798" max="12032" width="8" style="1661"/>
    <col min="12033" max="12033" width="1.5" style="1661" customWidth="1"/>
    <col min="12034" max="12035" width="9" style="1661" customWidth="1"/>
    <col min="12036" max="12036" width="1.125" style="1661" customWidth="1"/>
    <col min="12037" max="12037" width="7.625" style="1661" customWidth="1"/>
    <col min="12038" max="12038" width="1.125" style="1661" customWidth="1"/>
    <col min="12039" max="12043" width="9" style="1661" customWidth="1"/>
    <col min="12044" max="12045" width="10" style="1661" customWidth="1"/>
    <col min="12046" max="12046" width="1.125" style="1661" customWidth="1"/>
    <col min="12047" max="12050" width="9" style="1661" customWidth="1"/>
    <col min="12051" max="12051" width="13.125" style="1661" customWidth="1"/>
    <col min="12052" max="12052" width="7.75" style="1661" customWidth="1"/>
    <col min="12053" max="12053" width="8.875" style="1661" customWidth="1"/>
    <col min="12054" max="12288" width="8" style="1661"/>
    <col min="12289" max="12289" width="1.5" style="1661" customWidth="1"/>
    <col min="12290" max="12291" width="9" style="1661" customWidth="1"/>
    <col min="12292" max="12292" width="1.125" style="1661" customWidth="1"/>
    <col min="12293" max="12293" width="7.625" style="1661" customWidth="1"/>
    <col min="12294" max="12294" width="1.125" style="1661" customWidth="1"/>
    <col min="12295" max="12299" width="9" style="1661" customWidth="1"/>
    <col min="12300" max="12301" width="10" style="1661" customWidth="1"/>
    <col min="12302" max="12302" width="1.125" style="1661" customWidth="1"/>
    <col min="12303" max="12306" width="9" style="1661" customWidth="1"/>
    <col min="12307" max="12307" width="13.125" style="1661" customWidth="1"/>
    <col min="12308" max="12308" width="7.75" style="1661" customWidth="1"/>
    <col min="12309" max="12309" width="8.875" style="1661" customWidth="1"/>
    <col min="12310" max="12544" width="8" style="1661"/>
    <col min="12545" max="12545" width="1.5" style="1661" customWidth="1"/>
    <col min="12546" max="12547" width="9" style="1661" customWidth="1"/>
    <col min="12548" max="12548" width="1.125" style="1661" customWidth="1"/>
    <col min="12549" max="12549" width="7.625" style="1661" customWidth="1"/>
    <col min="12550" max="12550" width="1.125" style="1661" customWidth="1"/>
    <col min="12551" max="12555" width="9" style="1661" customWidth="1"/>
    <col min="12556" max="12557" width="10" style="1661" customWidth="1"/>
    <col min="12558" max="12558" width="1.125" style="1661" customWidth="1"/>
    <col min="12559" max="12562" width="9" style="1661" customWidth="1"/>
    <col min="12563" max="12563" width="13.125" style="1661" customWidth="1"/>
    <col min="12564" max="12564" width="7.75" style="1661" customWidth="1"/>
    <col min="12565" max="12565" width="8.875" style="1661" customWidth="1"/>
    <col min="12566" max="12800" width="8" style="1661"/>
    <col min="12801" max="12801" width="1.5" style="1661" customWidth="1"/>
    <col min="12802" max="12803" width="9" style="1661" customWidth="1"/>
    <col min="12804" max="12804" width="1.125" style="1661" customWidth="1"/>
    <col min="12805" max="12805" width="7.625" style="1661" customWidth="1"/>
    <col min="12806" max="12806" width="1.125" style="1661" customWidth="1"/>
    <col min="12807" max="12811" width="9" style="1661" customWidth="1"/>
    <col min="12812" max="12813" width="10" style="1661" customWidth="1"/>
    <col min="12814" max="12814" width="1.125" style="1661" customWidth="1"/>
    <col min="12815" max="12818" width="9" style="1661" customWidth="1"/>
    <col min="12819" max="12819" width="13.125" style="1661" customWidth="1"/>
    <col min="12820" max="12820" width="7.75" style="1661" customWidth="1"/>
    <col min="12821" max="12821" width="8.875" style="1661" customWidth="1"/>
    <col min="12822" max="13056" width="8" style="1661"/>
    <col min="13057" max="13057" width="1.5" style="1661" customWidth="1"/>
    <col min="13058" max="13059" width="9" style="1661" customWidth="1"/>
    <col min="13060" max="13060" width="1.125" style="1661" customWidth="1"/>
    <col min="13061" max="13061" width="7.625" style="1661" customWidth="1"/>
    <col min="13062" max="13062" width="1.125" style="1661" customWidth="1"/>
    <col min="13063" max="13067" width="9" style="1661" customWidth="1"/>
    <col min="13068" max="13069" width="10" style="1661" customWidth="1"/>
    <col min="13070" max="13070" width="1.125" style="1661" customWidth="1"/>
    <col min="13071" max="13074" width="9" style="1661" customWidth="1"/>
    <col min="13075" max="13075" width="13.125" style="1661" customWidth="1"/>
    <col min="13076" max="13076" width="7.75" style="1661" customWidth="1"/>
    <col min="13077" max="13077" width="8.875" style="1661" customWidth="1"/>
    <col min="13078" max="13312" width="8" style="1661"/>
    <col min="13313" max="13313" width="1.5" style="1661" customWidth="1"/>
    <col min="13314" max="13315" width="9" style="1661" customWidth="1"/>
    <col min="13316" max="13316" width="1.125" style="1661" customWidth="1"/>
    <col min="13317" max="13317" width="7.625" style="1661" customWidth="1"/>
    <col min="13318" max="13318" width="1.125" style="1661" customWidth="1"/>
    <col min="13319" max="13323" width="9" style="1661" customWidth="1"/>
    <col min="13324" max="13325" width="10" style="1661" customWidth="1"/>
    <col min="13326" max="13326" width="1.125" style="1661" customWidth="1"/>
    <col min="13327" max="13330" width="9" style="1661" customWidth="1"/>
    <col min="13331" max="13331" width="13.125" style="1661" customWidth="1"/>
    <col min="13332" max="13332" width="7.75" style="1661" customWidth="1"/>
    <col min="13333" max="13333" width="8.875" style="1661" customWidth="1"/>
    <col min="13334" max="13568" width="8" style="1661"/>
    <col min="13569" max="13569" width="1.5" style="1661" customWidth="1"/>
    <col min="13570" max="13571" width="9" style="1661" customWidth="1"/>
    <col min="13572" max="13572" width="1.125" style="1661" customWidth="1"/>
    <col min="13573" max="13573" width="7.625" style="1661" customWidth="1"/>
    <col min="13574" max="13574" width="1.125" style="1661" customWidth="1"/>
    <col min="13575" max="13579" width="9" style="1661" customWidth="1"/>
    <col min="13580" max="13581" width="10" style="1661" customWidth="1"/>
    <col min="13582" max="13582" width="1.125" style="1661" customWidth="1"/>
    <col min="13583" max="13586" width="9" style="1661" customWidth="1"/>
    <col min="13587" max="13587" width="13.125" style="1661" customWidth="1"/>
    <col min="13588" max="13588" width="7.75" style="1661" customWidth="1"/>
    <col min="13589" max="13589" width="8.875" style="1661" customWidth="1"/>
    <col min="13590" max="13824" width="8" style="1661"/>
    <col min="13825" max="13825" width="1.5" style="1661" customWidth="1"/>
    <col min="13826" max="13827" width="9" style="1661" customWidth="1"/>
    <col min="13828" max="13828" width="1.125" style="1661" customWidth="1"/>
    <col min="13829" max="13829" width="7.625" style="1661" customWidth="1"/>
    <col min="13830" max="13830" width="1.125" style="1661" customWidth="1"/>
    <col min="13831" max="13835" width="9" style="1661" customWidth="1"/>
    <col min="13836" max="13837" width="10" style="1661" customWidth="1"/>
    <col min="13838" max="13838" width="1.125" style="1661" customWidth="1"/>
    <col min="13839" max="13842" width="9" style="1661" customWidth="1"/>
    <col min="13843" max="13843" width="13.125" style="1661" customWidth="1"/>
    <col min="13844" max="13844" width="7.75" style="1661" customWidth="1"/>
    <col min="13845" max="13845" width="8.875" style="1661" customWidth="1"/>
    <col min="13846" max="14080" width="8" style="1661"/>
    <col min="14081" max="14081" width="1.5" style="1661" customWidth="1"/>
    <col min="14082" max="14083" width="9" style="1661" customWidth="1"/>
    <col min="14084" max="14084" width="1.125" style="1661" customWidth="1"/>
    <col min="14085" max="14085" width="7.625" style="1661" customWidth="1"/>
    <col min="14086" max="14086" width="1.125" style="1661" customWidth="1"/>
    <col min="14087" max="14091" width="9" style="1661" customWidth="1"/>
    <col min="14092" max="14093" width="10" style="1661" customWidth="1"/>
    <col min="14094" max="14094" width="1.125" style="1661" customWidth="1"/>
    <col min="14095" max="14098" width="9" style="1661" customWidth="1"/>
    <col min="14099" max="14099" width="13.125" style="1661" customWidth="1"/>
    <col min="14100" max="14100" width="7.75" style="1661" customWidth="1"/>
    <col min="14101" max="14101" width="8.875" style="1661" customWidth="1"/>
    <col min="14102" max="14336" width="8" style="1661"/>
    <col min="14337" max="14337" width="1.5" style="1661" customWidth="1"/>
    <col min="14338" max="14339" width="9" style="1661" customWidth="1"/>
    <col min="14340" max="14340" width="1.125" style="1661" customWidth="1"/>
    <col min="14341" max="14341" width="7.625" style="1661" customWidth="1"/>
    <col min="14342" max="14342" width="1.125" style="1661" customWidth="1"/>
    <col min="14343" max="14347" width="9" style="1661" customWidth="1"/>
    <col min="14348" max="14349" width="10" style="1661" customWidth="1"/>
    <col min="14350" max="14350" width="1.125" style="1661" customWidth="1"/>
    <col min="14351" max="14354" width="9" style="1661" customWidth="1"/>
    <col min="14355" max="14355" width="13.125" style="1661" customWidth="1"/>
    <col min="14356" max="14356" width="7.75" style="1661" customWidth="1"/>
    <col min="14357" max="14357" width="8.875" style="1661" customWidth="1"/>
    <col min="14358" max="14592" width="8" style="1661"/>
    <col min="14593" max="14593" width="1.5" style="1661" customWidth="1"/>
    <col min="14594" max="14595" width="9" style="1661" customWidth="1"/>
    <col min="14596" max="14596" width="1.125" style="1661" customWidth="1"/>
    <col min="14597" max="14597" width="7.625" style="1661" customWidth="1"/>
    <col min="14598" max="14598" width="1.125" style="1661" customWidth="1"/>
    <col min="14599" max="14603" width="9" style="1661" customWidth="1"/>
    <col min="14604" max="14605" width="10" style="1661" customWidth="1"/>
    <col min="14606" max="14606" width="1.125" style="1661" customWidth="1"/>
    <col min="14607" max="14610" width="9" style="1661" customWidth="1"/>
    <col min="14611" max="14611" width="13.125" style="1661" customWidth="1"/>
    <col min="14612" max="14612" width="7.75" style="1661" customWidth="1"/>
    <col min="14613" max="14613" width="8.875" style="1661" customWidth="1"/>
    <col min="14614" max="14848" width="8" style="1661"/>
    <col min="14849" max="14849" width="1.5" style="1661" customWidth="1"/>
    <col min="14850" max="14851" width="9" style="1661" customWidth="1"/>
    <col min="14852" max="14852" width="1.125" style="1661" customWidth="1"/>
    <col min="14853" max="14853" width="7.625" style="1661" customWidth="1"/>
    <col min="14854" max="14854" width="1.125" style="1661" customWidth="1"/>
    <col min="14855" max="14859" width="9" style="1661" customWidth="1"/>
    <col min="14860" max="14861" width="10" style="1661" customWidth="1"/>
    <col min="14862" max="14862" width="1.125" style="1661" customWidth="1"/>
    <col min="14863" max="14866" width="9" style="1661" customWidth="1"/>
    <col min="14867" max="14867" width="13.125" style="1661" customWidth="1"/>
    <col min="14868" max="14868" width="7.75" style="1661" customWidth="1"/>
    <col min="14869" max="14869" width="8.875" style="1661" customWidth="1"/>
    <col min="14870" max="15104" width="8" style="1661"/>
    <col min="15105" max="15105" width="1.5" style="1661" customWidth="1"/>
    <col min="15106" max="15107" width="9" style="1661" customWidth="1"/>
    <col min="15108" max="15108" width="1.125" style="1661" customWidth="1"/>
    <col min="15109" max="15109" width="7.625" style="1661" customWidth="1"/>
    <col min="15110" max="15110" width="1.125" style="1661" customWidth="1"/>
    <col min="15111" max="15115" width="9" style="1661" customWidth="1"/>
    <col min="15116" max="15117" width="10" style="1661" customWidth="1"/>
    <col min="15118" max="15118" width="1.125" style="1661" customWidth="1"/>
    <col min="15119" max="15122" width="9" style="1661" customWidth="1"/>
    <col min="15123" max="15123" width="13.125" style="1661" customWidth="1"/>
    <col min="15124" max="15124" width="7.75" style="1661" customWidth="1"/>
    <col min="15125" max="15125" width="8.875" style="1661" customWidth="1"/>
    <col min="15126" max="15360" width="8" style="1661"/>
    <col min="15361" max="15361" width="1.5" style="1661" customWidth="1"/>
    <col min="15362" max="15363" width="9" style="1661" customWidth="1"/>
    <col min="15364" max="15364" width="1.125" style="1661" customWidth="1"/>
    <col min="15365" max="15365" width="7.625" style="1661" customWidth="1"/>
    <col min="15366" max="15366" width="1.125" style="1661" customWidth="1"/>
    <col min="15367" max="15371" width="9" style="1661" customWidth="1"/>
    <col min="15372" max="15373" width="10" style="1661" customWidth="1"/>
    <col min="15374" max="15374" width="1.125" style="1661" customWidth="1"/>
    <col min="15375" max="15378" width="9" style="1661" customWidth="1"/>
    <col min="15379" max="15379" width="13.125" style="1661" customWidth="1"/>
    <col min="15380" max="15380" width="7.75" style="1661" customWidth="1"/>
    <col min="15381" max="15381" width="8.875" style="1661" customWidth="1"/>
    <col min="15382" max="15616" width="8" style="1661"/>
    <col min="15617" max="15617" width="1.5" style="1661" customWidth="1"/>
    <col min="15618" max="15619" width="9" style="1661" customWidth="1"/>
    <col min="15620" max="15620" width="1.125" style="1661" customWidth="1"/>
    <col min="15621" max="15621" width="7.625" style="1661" customWidth="1"/>
    <col min="15622" max="15622" width="1.125" style="1661" customWidth="1"/>
    <col min="15623" max="15627" width="9" style="1661" customWidth="1"/>
    <col min="15628" max="15629" width="10" style="1661" customWidth="1"/>
    <col min="15630" max="15630" width="1.125" style="1661" customWidth="1"/>
    <col min="15631" max="15634" width="9" style="1661" customWidth="1"/>
    <col min="15635" max="15635" width="13.125" style="1661" customWidth="1"/>
    <col min="15636" max="15636" width="7.75" style="1661" customWidth="1"/>
    <col min="15637" max="15637" width="8.875" style="1661" customWidth="1"/>
    <col min="15638" max="15872" width="8" style="1661"/>
    <col min="15873" max="15873" width="1.5" style="1661" customWidth="1"/>
    <col min="15874" max="15875" width="9" style="1661" customWidth="1"/>
    <col min="15876" max="15876" width="1.125" style="1661" customWidth="1"/>
    <col min="15877" max="15877" width="7.625" style="1661" customWidth="1"/>
    <col min="15878" max="15878" width="1.125" style="1661" customWidth="1"/>
    <col min="15879" max="15883" width="9" style="1661" customWidth="1"/>
    <col min="15884" max="15885" width="10" style="1661" customWidth="1"/>
    <col min="15886" max="15886" width="1.125" style="1661" customWidth="1"/>
    <col min="15887" max="15890" width="9" style="1661" customWidth="1"/>
    <col min="15891" max="15891" width="13.125" style="1661" customWidth="1"/>
    <col min="15892" max="15892" width="7.75" style="1661" customWidth="1"/>
    <col min="15893" max="15893" width="8.875" style="1661" customWidth="1"/>
    <col min="15894" max="16128" width="8" style="1661"/>
    <col min="16129" max="16129" width="1.5" style="1661" customWidth="1"/>
    <col min="16130" max="16131" width="9" style="1661" customWidth="1"/>
    <col min="16132" max="16132" width="1.125" style="1661" customWidth="1"/>
    <col min="16133" max="16133" width="7.625" style="1661" customWidth="1"/>
    <col min="16134" max="16134" width="1.125" style="1661" customWidth="1"/>
    <col min="16135" max="16139" width="9" style="1661" customWidth="1"/>
    <col min="16140" max="16141" width="10" style="1661" customWidth="1"/>
    <col min="16142" max="16142" width="1.125" style="1661" customWidth="1"/>
    <col min="16143" max="16146" width="9" style="1661" customWidth="1"/>
    <col min="16147" max="16147" width="13.125" style="1661" customWidth="1"/>
    <col min="16148" max="16148" width="7.75" style="1661" customWidth="1"/>
    <col min="16149" max="16149" width="8.875" style="1661" customWidth="1"/>
    <col min="16150" max="16384" width="8" style="1661"/>
  </cols>
  <sheetData>
    <row r="2" spans="1:43" ht="17.100000000000001" customHeight="1">
      <c r="A2" s="1885"/>
      <c r="B2" s="1886"/>
      <c r="C2" s="1886"/>
      <c r="D2" s="1886"/>
      <c r="E2" s="1886"/>
      <c r="F2" s="1886"/>
      <c r="G2" s="1886"/>
      <c r="H2" s="1886"/>
      <c r="I2" s="1886"/>
      <c r="J2" s="1887" t="s">
        <v>206</v>
      </c>
      <c r="K2" s="1574" t="str">
        <f>'CU_Multi Saturasi'!J2</f>
        <v xml:space="preserve">PT Itamatra Nusantara </v>
      </c>
      <c r="L2" s="1918"/>
      <c r="M2" s="1918"/>
      <c r="N2" s="1918"/>
      <c r="O2" s="1918"/>
      <c r="P2" s="1918"/>
      <c r="Q2" s="1919"/>
      <c r="U2" s="1888"/>
      <c r="AK2" s="1888"/>
    </row>
    <row r="3" spans="1:43" ht="17.100000000000001" customHeight="1">
      <c r="A3" s="1889"/>
      <c r="J3" s="1890" t="s">
        <v>82</v>
      </c>
      <c r="K3" s="1571" t="str">
        <f>'CU_Multi Saturasi'!J3</f>
        <v>hidroplogi</v>
      </c>
      <c r="L3" s="1923"/>
      <c r="M3" s="1923"/>
      <c r="N3" s="1923"/>
      <c r="O3" s="1923"/>
      <c r="P3" s="1923"/>
      <c r="Q3" s="1930"/>
      <c r="U3" s="1888"/>
      <c r="AK3" s="1888"/>
    </row>
    <row r="4" spans="1:43" ht="17.100000000000001" customHeight="1">
      <c r="A4" s="1889"/>
      <c r="J4" s="1890" t="s">
        <v>77</v>
      </c>
      <c r="K4" s="1572" t="str">
        <f>'CU_Multi Saturasi'!J4</f>
        <v>PO-GQT-19</v>
      </c>
      <c r="L4" s="1923"/>
      <c r="M4" s="1923"/>
      <c r="N4" s="1923"/>
      <c r="O4" s="1890" t="s">
        <v>76</v>
      </c>
      <c r="P4" s="1998">
        <f>'CU_Multi Saturasi'!P4</f>
        <v>46223</v>
      </c>
      <c r="Q4" s="1930"/>
      <c r="U4" s="1892"/>
      <c r="AA4" s="1893"/>
      <c r="AK4" s="1892"/>
      <c r="AQ4" s="1893"/>
    </row>
    <row r="5" spans="1:43" ht="17.100000000000001" customHeight="1">
      <c r="A5" s="1889"/>
      <c r="J5" s="1894" t="s">
        <v>75</v>
      </c>
      <c r="K5" s="1569" t="str">
        <f>'CU_Multi Saturasi'!J5</f>
        <v>AS Sumartadji</v>
      </c>
      <c r="L5" s="1938"/>
      <c r="M5" s="1938"/>
      <c r="N5" s="1938"/>
      <c r="O5" s="1894" t="s">
        <v>74</v>
      </c>
      <c r="P5" s="1569" t="str">
        <f>'CU_Multi Saturasi'!P5</f>
        <v>AS Sumartadji</v>
      </c>
      <c r="Q5" s="1981"/>
      <c r="U5" s="1892"/>
      <c r="AA5" s="1892"/>
      <c r="AK5" s="1892"/>
      <c r="AQ5" s="1892"/>
    </row>
    <row r="6" spans="1:43" ht="17.100000000000001" customHeight="1">
      <c r="A6" s="1885"/>
      <c r="B6" s="1899"/>
      <c r="C6" s="1899"/>
      <c r="D6" s="1899"/>
      <c r="E6" s="1899"/>
      <c r="F6" s="1899"/>
      <c r="G6" s="1899"/>
      <c r="H6" s="1899"/>
      <c r="I6" s="1899"/>
      <c r="J6" s="1899"/>
      <c r="K6" s="1899"/>
      <c r="L6" s="1899"/>
      <c r="M6" s="1899"/>
      <c r="N6" s="1899"/>
      <c r="O6" s="1899"/>
      <c r="P6" s="1899"/>
      <c r="Q6" s="2759"/>
      <c r="U6" s="1568"/>
      <c r="V6" s="1568"/>
      <c r="W6" s="1568"/>
      <c r="X6" s="1568"/>
      <c r="Y6" s="1568"/>
      <c r="Z6" s="1568"/>
      <c r="AA6" s="1568"/>
      <c r="AC6" s="1568"/>
      <c r="AD6" s="1568"/>
      <c r="AE6" s="1568"/>
      <c r="AF6" s="1568"/>
      <c r="AG6" s="1568"/>
      <c r="AH6" s="1568"/>
      <c r="AI6" s="1568"/>
      <c r="AJ6" s="1568"/>
      <c r="AK6" s="1568"/>
      <c r="AL6" s="1568"/>
      <c r="AM6" s="1568"/>
      <c r="AN6" s="1568"/>
      <c r="AO6" s="1568"/>
      <c r="AP6" s="1568"/>
      <c r="AQ6" s="1568"/>
    </row>
    <row r="7" spans="1:43" ht="17.100000000000001" customHeight="1">
      <c r="A7" s="1889"/>
      <c r="B7" s="1903" t="s">
        <v>945</v>
      </c>
      <c r="C7" s="1672"/>
      <c r="D7" s="1672"/>
      <c r="E7" s="1672"/>
      <c r="F7" s="1672"/>
      <c r="G7" s="1672"/>
      <c r="H7" s="1903"/>
      <c r="I7" s="1903"/>
      <c r="J7" s="1672"/>
      <c r="K7" s="1672"/>
      <c r="L7" s="1672"/>
      <c r="M7" s="1672"/>
      <c r="N7" s="1672"/>
      <c r="O7" s="1672"/>
      <c r="P7" s="1672"/>
      <c r="Q7" s="2760"/>
      <c r="S7" s="1905"/>
      <c r="U7" s="1672"/>
      <c r="V7" s="1672"/>
      <c r="W7" s="1672"/>
      <c r="X7" s="1672"/>
      <c r="Y7" s="1672"/>
      <c r="Z7" s="1672"/>
      <c r="AA7" s="1672"/>
      <c r="AC7" s="1903"/>
      <c r="AD7" s="1672"/>
      <c r="AE7" s="1672"/>
      <c r="AF7" s="1672"/>
      <c r="AG7" s="1672"/>
      <c r="AH7" s="1903"/>
      <c r="AI7" s="1903"/>
      <c r="AJ7" s="1672"/>
      <c r="AK7" s="1672"/>
      <c r="AL7" s="1672"/>
      <c r="AM7" s="1672"/>
      <c r="AN7" s="1672"/>
      <c r="AO7" s="1672"/>
      <c r="AP7" s="1672"/>
      <c r="AQ7" s="1672"/>
    </row>
    <row r="8" spans="1:43" ht="17.100000000000001" customHeight="1">
      <c r="A8" s="1889"/>
      <c r="B8" s="1907"/>
      <c r="C8" s="1672"/>
      <c r="D8" s="1672"/>
      <c r="E8" s="1672"/>
      <c r="F8" s="1672"/>
      <c r="G8" s="1672"/>
      <c r="H8" s="1672"/>
      <c r="I8" s="1672"/>
      <c r="J8" s="1672"/>
      <c r="K8" s="1672"/>
      <c r="L8" s="1672"/>
      <c r="M8" s="1672"/>
      <c r="N8" s="1672"/>
      <c r="O8" s="1672"/>
      <c r="P8" s="1672"/>
      <c r="Q8" s="2760"/>
      <c r="S8" s="2761" t="s">
        <v>1002</v>
      </c>
      <c r="T8" s="2762">
        <f>('Cu_Multi Consol'!I38/'CU_Multi Saturasi'!F22)*100</f>
        <v>1.7402858626464721</v>
      </c>
      <c r="U8" s="1672"/>
      <c r="V8" s="1672"/>
      <c r="W8" s="1672"/>
      <c r="X8" s="1672"/>
      <c r="Y8" s="1672"/>
      <c r="Z8" s="1672"/>
      <c r="AA8" s="1672"/>
      <c r="AC8" s="1907"/>
      <c r="AD8" s="1672"/>
      <c r="AE8" s="1672"/>
      <c r="AF8" s="1672"/>
      <c r="AG8" s="1672"/>
      <c r="AH8" s="1672"/>
      <c r="AI8" s="1672"/>
      <c r="AJ8" s="1672"/>
      <c r="AK8" s="1672"/>
      <c r="AL8" s="1672"/>
      <c r="AM8" s="1672"/>
      <c r="AN8" s="1672"/>
      <c r="AO8" s="1672"/>
      <c r="AP8" s="1672"/>
      <c r="AQ8" s="1672"/>
    </row>
    <row r="9" spans="1:43" ht="17.100000000000001" customHeight="1">
      <c r="A9" s="1889"/>
      <c r="C9" s="1661" t="s">
        <v>208</v>
      </c>
      <c r="D9" s="1661" t="s">
        <v>27</v>
      </c>
      <c r="E9" s="1568" t="str">
        <f>'CU_Multi Saturasi'!D9</f>
        <v>Morowali Utara</v>
      </c>
      <c r="F9" s="1892"/>
      <c r="L9" s="1661" t="s">
        <v>944</v>
      </c>
      <c r="N9" s="1661" t="s">
        <v>27</v>
      </c>
      <c r="O9" s="1661" t="str">
        <f>'CU_Multi Saturasi'!N9</f>
        <v>Undisturbed Sample / UDS</v>
      </c>
      <c r="Q9" s="1901"/>
      <c r="S9" s="2761" t="s">
        <v>1001</v>
      </c>
      <c r="T9" s="2762">
        <f>T8*(1/3)</f>
        <v>0.580095287548824</v>
      </c>
      <c r="Z9" s="1892"/>
      <c r="AP9" s="1892"/>
    </row>
    <row r="10" spans="1:43" ht="17.100000000000001" customHeight="1">
      <c r="A10" s="1889"/>
      <c r="C10" s="1661" t="s">
        <v>1000</v>
      </c>
      <c r="D10" s="1661" t="s">
        <v>27</v>
      </c>
      <c r="E10" s="1568" t="str">
        <f>'CU_Multi Saturasi'!D10</f>
        <v>BH-05_UDS-01</v>
      </c>
      <c r="F10" s="1892"/>
      <c r="G10" s="1892"/>
      <c r="L10" s="1661" t="s">
        <v>942</v>
      </c>
      <c r="N10" s="1661" t="s">
        <v>27</v>
      </c>
      <c r="O10" s="1661" t="str">
        <f>'CU_Multi Saturasi'!N10</f>
        <v>silty CLAY with sand</v>
      </c>
      <c r="Q10" s="1901"/>
      <c r="S10" s="2761" t="s">
        <v>999</v>
      </c>
      <c r="T10" s="2762">
        <f>T8*(2/3)</f>
        <v>1.160190575097648</v>
      </c>
      <c r="AB10" s="1672"/>
      <c r="AC10" s="1672"/>
      <c r="AG10" s="1892"/>
    </row>
    <row r="11" spans="1:43" ht="17.100000000000001" customHeight="1">
      <c r="A11" s="1889"/>
      <c r="C11" s="1661" t="s">
        <v>210</v>
      </c>
      <c r="D11" s="1661" t="s">
        <v>27</v>
      </c>
      <c r="E11" s="1568" t="str">
        <f>'CU_Multi Saturasi'!D11</f>
        <v>0,00-0,50</v>
      </c>
      <c r="F11" s="1892"/>
      <c r="G11" s="1661" t="s">
        <v>68</v>
      </c>
      <c r="L11" s="1568" t="s">
        <v>941</v>
      </c>
      <c r="N11" s="1568" t="s">
        <v>27</v>
      </c>
      <c r="O11" s="1568">
        <f>'CU_Multi Saturasi'!N11</f>
        <v>0</v>
      </c>
      <c r="Q11" s="1901"/>
      <c r="S11" s="1661"/>
      <c r="T11" s="1661"/>
      <c r="V11" s="1650"/>
      <c r="W11" s="1672"/>
      <c r="X11" s="1672"/>
      <c r="Y11" s="1672"/>
      <c r="AB11" s="1921"/>
      <c r="AC11" s="1921"/>
      <c r="AD11" s="1921"/>
      <c r="AG11" s="1892"/>
      <c r="AL11" s="1568"/>
      <c r="AM11" s="1568"/>
      <c r="AN11" s="1568"/>
    </row>
    <row r="12" spans="1:43" ht="17.100000000000001" customHeight="1">
      <c r="A12" s="1889"/>
      <c r="O12" s="1672"/>
      <c r="P12" s="1672"/>
      <c r="Q12" s="1901"/>
      <c r="S12" s="1661"/>
      <c r="T12" s="1661"/>
      <c r="U12" s="1921"/>
      <c r="V12" s="1935"/>
      <c r="Y12" s="1926"/>
      <c r="AB12" s="1905"/>
      <c r="AC12" s="1905"/>
      <c r="AD12" s="1903"/>
      <c r="AE12" s="1672"/>
      <c r="AM12" s="1672"/>
      <c r="AN12" s="1672"/>
    </row>
    <row r="13" spans="1:43" ht="17.100000000000001" customHeight="1">
      <c r="A13" s="1889"/>
      <c r="C13" s="1661" t="s">
        <v>965</v>
      </c>
      <c r="F13" s="1661" t="s">
        <v>27</v>
      </c>
      <c r="G13" s="1650">
        <f>'Cu_Multi Consol'!F15</f>
        <v>50</v>
      </c>
      <c r="H13" s="1661" t="s">
        <v>908</v>
      </c>
      <c r="L13" s="1661" t="s">
        <v>998</v>
      </c>
      <c r="N13" s="1661" t="s">
        <v>27</v>
      </c>
      <c r="O13" s="2807">
        <f>'CU_Multi Saturasi'!F21*(1-('Cu_Multi Shear'!T10/100))</f>
        <v>1120.9570532090731</v>
      </c>
      <c r="P13" s="1568" t="s">
        <v>721</v>
      </c>
      <c r="Q13" s="1901"/>
      <c r="S13" s="1661"/>
      <c r="T13" s="1661"/>
      <c r="U13" s="1921"/>
      <c r="V13" s="1654"/>
      <c r="Y13" s="1926"/>
      <c r="Z13" s="1673"/>
      <c r="AB13" s="1892"/>
      <c r="AC13" s="1892"/>
      <c r="AD13" s="1933"/>
      <c r="AE13" s="1935"/>
      <c r="AM13" s="1672"/>
      <c r="AN13" s="1672"/>
    </row>
    <row r="14" spans="1:43" ht="17.100000000000001" customHeight="1">
      <c r="A14" s="1889"/>
      <c r="C14" s="1661" t="s">
        <v>915</v>
      </c>
      <c r="F14" s="1661" t="s">
        <v>27</v>
      </c>
      <c r="G14" s="1650">
        <f>'Cu_Multi Consol'!F16</f>
        <v>240</v>
      </c>
      <c r="H14" s="1661" t="s">
        <v>908</v>
      </c>
      <c r="L14" s="1661" t="s">
        <v>997</v>
      </c>
      <c r="N14" s="1661" t="s">
        <v>27</v>
      </c>
      <c r="O14" s="2807">
        <f>'CU_Multi Saturasi'!D19*(1-('Cu_Multi Shear'!T9/100))</f>
        <v>75.559127581462903</v>
      </c>
      <c r="P14" s="1568" t="s">
        <v>2</v>
      </c>
      <c r="Q14" s="1901"/>
      <c r="S14" s="1661"/>
      <c r="T14" s="1661"/>
      <c r="U14" s="1921"/>
      <c r="V14" s="1673"/>
      <c r="Y14" s="1926"/>
      <c r="Z14" s="1926"/>
      <c r="AD14" s="1892"/>
      <c r="AE14" s="1926"/>
      <c r="AM14" s="1672"/>
      <c r="AN14" s="1672"/>
    </row>
    <row r="15" spans="1:43" ht="17.100000000000001" customHeight="1">
      <c r="A15" s="1889"/>
      <c r="C15" s="1661" t="s">
        <v>914</v>
      </c>
      <c r="F15" s="1661" t="s">
        <v>27</v>
      </c>
      <c r="G15" s="1650">
        <f>'Cu_Multi Consol'!F17</f>
        <v>190</v>
      </c>
      <c r="H15" s="1661" t="s">
        <v>908</v>
      </c>
      <c r="L15" s="1661" t="s">
        <v>996</v>
      </c>
      <c r="N15" s="1661" t="s">
        <v>27</v>
      </c>
      <c r="O15" s="2807">
        <f>'CU_Multi Saturasi'!F22-'Cu_Multi Consol'!I38</f>
        <v>84.692736043889553</v>
      </c>
      <c r="P15" s="1568" t="s">
        <v>615</v>
      </c>
      <c r="Q15" s="1901"/>
      <c r="S15" s="1661"/>
      <c r="T15" s="1661"/>
      <c r="U15" s="1921"/>
      <c r="V15" s="1654"/>
      <c r="W15" s="1921"/>
      <c r="X15" s="1921"/>
      <c r="Y15" s="1654"/>
      <c r="Z15" s="1650"/>
      <c r="AE15" s="1650"/>
      <c r="AM15" s="1672"/>
      <c r="AN15" s="1672"/>
    </row>
    <row r="16" spans="1:43" ht="17.100000000000001" customHeight="1">
      <c r="A16" s="1889"/>
      <c r="C16" s="1661" t="s">
        <v>973</v>
      </c>
      <c r="F16" s="1661" t="s">
        <v>27</v>
      </c>
      <c r="G16" s="1660">
        <f>'Cu_Multi Consol'!F18</f>
        <v>228.6</v>
      </c>
      <c r="H16" s="1661" t="s">
        <v>908</v>
      </c>
      <c r="L16" s="1661" t="s">
        <v>995</v>
      </c>
      <c r="N16" s="1661" t="s">
        <v>27</v>
      </c>
      <c r="O16" s="1650"/>
      <c r="P16" s="1672"/>
      <c r="Q16" s="1901"/>
      <c r="S16" s="1661"/>
      <c r="T16" s="1661"/>
      <c r="W16" s="1921"/>
      <c r="X16" s="1921"/>
      <c r="Y16" s="1926"/>
      <c r="Z16" s="1926"/>
      <c r="AD16" s="1673"/>
      <c r="AE16" s="1673"/>
      <c r="AM16" s="1672"/>
      <c r="AN16" s="1672"/>
    </row>
    <row r="17" spans="1:40" ht="17.100000000000001" customHeight="1">
      <c r="A17" s="1889"/>
      <c r="C17" s="1661" t="s">
        <v>963</v>
      </c>
      <c r="F17" s="1661" t="s">
        <v>27</v>
      </c>
      <c r="G17" s="1660">
        <f>'Cu_Multi Consol'!F19</f>
        <v>38.599999999999994</v>
      </c>
      <c r="H17" s="1661" t="s">
        <v>908</v>
      </c>
      <c r="L17" s="1661" t="s">
        <v>994</v>
      </c>
      <c r="N17" s="1661" t="s">
        <v>27</v>
      </c>
      <c r="O17" s="2735">
        <v>1.1830000000000001</v>
      </c>
      <c r="P17" s="1568" t="s">
        <v>595</v>
      </c>
      <c r="Q17" s="1901"/>
      <c r="S17" s="1661"/>
      <c r="T17" s="1661"/>
      <c r="W17" s="1672"/>
      <c r="X17" s="1672"/>
      <c r="AM17" s="1672"/>
      <c r="AN17" s="1672"/>
    </row>
    <row r="18" spans="1:40" ht="17.100000000000001" customHeight="1">
      <c r="A18" s="1889"/>
      <c r="C18" s="1921" t="str">
        <f>'Cu_Multi Consol'!B20</f>
        <v>With</v>
      </c>
      <c r="E18" s="1661" t="str">
        <f>'Cu_Multi Consol'!D20</f>
        <v>Side drains</v>
      </c>
      <c r="O18" s="1672"/>
      <c r="Q18" s="1901"/>
      <c r="S18" s="1661"/>
      <c r="T18" s="1661"/>
      <c r="W18" s="1672"/>
      <c r="X18" s="1672"/>
      <c r="AM18" s="1672"/>
      <c r="AN18" s="1672"/>
    </row>
    <row r="19" spans="1:40" ht="17.100000000000001" customHeight="1">
      <c r="A19" s="1889"/>
      <c r="O19" s="1672"/>
      <c r="Q19" s="1901"/>
      <c r="S19" s="1661"/>
      <c r="T19" s="1661"/>
      <c r="W19" s="1672"/>
      <c r="X19" s="1672"/>
      <c r="AM19" s="1672"/>
      <c r="AN19" s="1672"/>
    </row>
    <row r="20" spans="1:40" ht="17.100000000000001" customHeight="1">
      <c r="A20" s="1889"/>
      <c r="B20" s="1908" t="s">
        <v>993</v>
      </c>
      <c r="O20" s="1672"/>
      <c r="Q20" s="1901"/>
      <c r="S20" s="1661"/>
      <c r="T20" s="1661"/>
      <c r="W20" s="1672"/>
      <c r="X20" s="1672"/>
      <c r="AM20" s="1672"/>
      <c r="AN20" s="1672"/>
    </row>
    <row r="21" spans="1:40" ht="17.100000000000001" customHeight="1">
      <c r="A21" s="1889"/>
      <c r="O21" s="1672"/>
      <c r="P21" s="1568"/>
      <c r="Q21" s="2763"/>
      <c r="S21" s="1661"/>
      <c r="T21" s="1661"/>
      <c r="W21" s="1672"/>
      <c r="X21" s="1672"/>
      <c r="AM21" s="1672"/>
      <c r="AN21" s="1672"/>
    </row>
    <row r="22" spans="1:40" s="1651" customFormat="1" ht="25.5" customHeight="1">
      <c r="A22" s="1944"/>
      <c r="B22" s="4571" t="s">
        <v>992</v>
      </c>
      <c r="C22" s="4571"/>
      <c r="D22" s="1653"/>
      <c r="E22" s="4572" t="s">
        <v>358</v>
      </c>
      <c r="F22" s="1652"/>
      <c r="G22" s="4531" t="s">
        <v>991</v>
      </c>
      <c r="H22" s="4571"/>
      <c r="I22" s="4529" t="s">
        <v>913</v>
      </c>
      <c r="J22" s="4531"/>
      <c r="K22" s="1546" t="s">
        <v>577</v>
      </c>
      <c r="L22" s="4529" t="s">
        <v>990</v>
      </c>
      <c r="M22" s="4530"/>
      <c r="N22" s="4530"/>
      <c r="O22" s="4530"/>
      <c r="P22" s="4531"/>
      <c r="Q22" s="2764"/>
      <c r="S22" s="1661"/>
      <c r="T22" s="1661"/>
      <c r="U22" s="1948"/>
      <c r="V22" s="2765"/>
      <c r="W22" s="1948"/>
      <c r="X22" s="1948"/>
      <c r="Y22" s="1948"/>
      <c r="Z22" s="1948"/>
      <c r="AA22" s="2765"/>
      <c r="AB22" s="2765"/>
      <c r="AC22" s="1947"/>
      <c r="AD22" s="1948"/>
      <c r="AE22" s="2766"/>
      <c r="AM22" s="1948"/>
      <c r="AN22" s="1948"/>
    </row>
    <row r="23" spans="1:40" s="1651" customFormat="1" ht="25.5" customHeight="1">
      <c r="A23" s="1944"/>
      <c r="B23" s="1546" t="s">
        <v>6</v>
      </c>
      <c r="C23" s="1546" t="s">
        <v>989</v>
      </c>
      <c r="E23" s="4573"/>
      <c r="F23" s="1649"/>
      <c r="G23" s="1648" t="s">
        <v>6</v>
      </c>
      <c r="H23" s="1546" t="s">
        <v>174</v>
      </c>
      <c r="I23" s="1546" t="s">
        <v>978</v>
      </c>
      <c r="J23" s="1546" t="s">
        <v>988</v>
      </c>
      <c r="K23" s="1647" t="s">
        <v>987</v>
      </c>
      <c r="L23" s="1546" t="s">
        <v>986</v>
      </c>
      <c r="M23" s="1546" t="s">
        <v>985</v>
      </c>
      <c r="N23" s="1646"/>
      <c r="O23" s="1646" t="s">
        <v>984</v>
      </c>
      <c r="P23" s="1546" t="s">
        <v>983</v>
      </c>
      <c r="Q23" s="2764"/>
      <c r="S23" s="1661"/>
      <c r="T23" s="1661"/>
      <c r="U23" s="1948"/>
      <c r="V23" s="2765"/>
      <c r="W23" s="1948"/>
      <c r="X23" s="1948"/>
      <c r="Y23" s="1948"/>
      <c r="Z23" s="2766"/>
      <c r="AA23" s="2767"/>
      <c r="AB23" s="2767"/>
      <c r="AC23" s="2768"/>
      <c r="AD23" s="2765"/>
      <c r="AE23" s="2767"/>
      <c r="AM23" s="1948"/>
      <c r="AN23" s="1948"/>
    </row>
    <row r="24" spans="1:40" ht="17.100000000000001" customHeight="1">
      <c r="A24" s="1889"/>
      <c r="B24" s="2738"/>
      <c r="C24" s="1543" t="s">
        <v>2</v>
      </c>
      <c r="D24" s="1669"/>
      <c r="E24" s="1540" t="s">
        <v>1</v>
      </c>
      <c r="F24" s="1915"/>
      <c r="G24" s="1544" t="s">
        <v>982</v>
      </c>
      <c r="H24" s="1543" t="s">
        <v>120</v>
      </c>
      <c r="I24" s="1543" t="s">
        <v>908</v>
      </c>
      <c r="J24" s="1543"/>
      <c r="K24" s="1543" t="s">
        <v>908</v>
      </c>
      <c r="L24" s="1543" t="s">
        <v>908</v>
      </c>
      <c r="M24" s="1543" t="s">
        <v>908</v>
      </c>
      <c r="N24" s="1540"/>
      <c r="O24" s="1540" t="s">
        <v>908</v>
      </c>
      <c r="P24" s="2769"/>
      <c r="Q24" s="2763"/>
      <c r="S24" s="1661"/>
      <c r="T24" s="1661"/>
      <c r="U24" s="1672"/>
      <c r="V24" s="1933"/>
      <c r="W24" s="1672"/>
      <c r="X24" s="1672"/>
      <c r="Y24" s="1672"/>
      <c r="Z24" s="1672"/>
      <c r="AA24" s="1650"/>
      <c r="AB24" s="1650"/>
      <c r="AC24" s="1568"/>
      <c r="AD24" s="1672"/>
      <c r="AE24" s="1672"/>
      <c r="AM24" s="1672"/>
      <c r="AN24" s="1672"/>
    </row>
    <row r="25" spans="1:40" ht="17.100000000000001" customHeight="1">
      <c r="A25" s="1889"/>
      <c r="B25" s="2770">
        <v>0</v>
      </c>
      <c r="C25" s="2771">
        <v>0</v>
      </c>
      <c r="D25" s="2772"/>
      <c r="E25" s="2757">
        <f t="shared" ref="E25:E51" si="0">(C25/$O$14)*100</f>
        <v>0</v>
      </c>
      <c r="F25" s="2774"/>
      <c r="G25" s="2775">
        <v>0</v>
      </c>
      <c r="H25" s="2756">
        <v>0</v>
      </c>
      <c r="I25" s="2776">
        <v>190</v>
      </c>
      <c r="J25" s="2756">
        <v>0</v>
      </c>
      <c r="K25" s="2756">
        <v>0</v>
      </c>
      <c r="L25" s="2756">
        <f t="shared" ref="L25:L51" si="1">$G$14+K25</f>
        <v>240</v>
      </c>
      <c r="M25" s="2756">
        <f t="shared" ref="M25:M51" si="2">L25-I25</f>
        <v>50</v>
      </c>
      <c r="N25" s="2757"/>
      <c r="O25" s="2757">
        <f t="shared" ref="O25:O51" si="3">$G$14-I25</f>
        <v>50</v>
      </c>
      <c r="P25" s="2756">
        <f t="shared" ref="P25:P51" si="4">M25/O25</f>
        <v>1</v>
      </c>
      <c r="Q25" s="2763"/>
      <c r="S25" s="1661"/>
      <c r="T25" s="1661"/>
      <c r="U25" s="1672"/>
      <c r="V25" s="1650"/>
      <c r="W25" s="1976"/>
      <c r="X25" s="2777"/>
      <c r="Y25" s="1907"/>
      <c r="Z25" s="1907"/>
      <c r="AA25" s="1650"/>
      <c r="AB25" s="1654"/>
      <c r="AC25" s="1568"/>
      <c r="AD25" s="1671"/>
      <c r="AE25" s="1671"/>
      <c r="AM25" s="1672"/>
      <c r="AN25" s="1672"/>
    </row>
    <row r="26" spans="1:40" ht="17.100000000000001" customHeight="1">
      <c r="A26" s="1889"/>
      <c r="B26" s="2778">
        <f t="shared" ref="B26:B51" si="5">B25+20</f>
        <v>20</v>
      </c>
      <c r="C26" s="2779">
        <f t="shared" ref="C26:C51" si="6">(B26-$B$25)/100</f>
        <v>0.2</v>
      </c>
      <c r="D26" s="2780"/>
      <c r="E26" s="2757">
        <f t="shared" si="0"/>
        <v>0.2646933684939296</v>
      </c>
      <c r="F26" s="1924"/>
      <c r="G26" s="2781">
        <v>11</v>
      </c>
      <c r="H26" s="1999">
        <f t="shared" ref="H26:H51" si="7">G26*$O$17</f>
        <v>13.013</v>
      </c>
      <c r="I26" s="2783">
        <v>190.5</v>
      </c>
      <c r="J26" s="1999">
        <f t="shared" ref="J26:J51" si="8">I26-$I$25</f>
        <v>0.5</v>
      </c>
      <c r="K26" s="1999">
        <f t="shared" ref="K26:K51" si="9">(H26/$O$13)*((1-(E26/100)))*1000</f>
        <v>11.578102314270566</v>
      </c>
      <c r="L26" s="2756">
        <f t="shared" si="1"/>
        <v>251.57810231427055</v>
      </c>
      <c r="M26" s="2756">
        <f t="shared" si="2"/>
        <v>61.078102314270552</v>
      </c>
      <c r="N26" s="2758"/>
      <c r="O26" s="2758">
        <f t="shared" si="3"/>
        <v>49.5</v>
      </c>
      <c r="P26" s="2756">
        <f t="shared" si="4"/>
        <v>1.2339010568539506</v>
      </c>
      <c r="Q26" s="2763"/>
      <c r="R26" s="1667"/>
      <c r="W26" s="1672"/>
      <c r="X26" s="1672"/>
      <c r="AM26" s="1672"/>
      <c r="AN26" s="1672"/>
    </row>
    <row r="27" spans="1:40" ht="17.100000000000001" customHeight="1">
      <c r="A27" s="1889"/>
      <c r="B27" s="2778">
        <f t="shared" si="5"/>
        <v>40</v>
      </c>
      <c r="C27" s="2779">
        <f t="shared" si="6"/>
        <v>0.4</v>
      </c>
      <c r="D27" s="2780"/>
      <c r="E27" s="2757">
        <f t="shared" si="0"/>
        <v>0.52938673698785921</v>
      </c>
      <c r="F27" s="1924"/>
      <c r="G27" s="2781">
        <v>20</v>
      </c>
      <c r="H27" s="1999">
        <f t="shared" si="7"/>
        <v>23.66</v>
      </c>
      <c r="I27" s="2783">
        <v>191</v>
      </c>
      <c r="J27" s="1999">
        <f t="shared" si="8"/>
        <v>1</v>
      </c>
      <c r="K27" s="1999">
        <f t="shared" si="9"/>
        <v>20.995226383253005</v>
      </c>
      <c r="L27" s="2756">
        <f t="shared" si="1"/>
        <v>260.995226383253</v>
      </c>
      <c r="M27" s="2756">
        <f t="shared" si="2"/>
        <v>69.995226383252998</v>
      </c>
      <c r="N27" s="2758"/>
      <c r="O27" s="2758">
        <f t="shared" si="3"/>
        <v>49</v>
      </c>
      <c r="P27" s="2756">
        <f t="shared" si="4"/>
        <v>1.4284740078214897</v>
      </c>
      <c r="Q27" s="2763"/>
      <c r="R27" s="1667"/>
      <c r="W27" s="1672"/>
      <c r="X27" s="1672"/>
      <c r="AM27" s="1672"/>
      <c r="AN27" s="1672"/>
    </row>
    <row r="28" spans="1:40" ht="17.100000000000001" customHeight="1">
      <c r="A28" s="1889"/>
      <c r="B28" s="2778">
        <f t="shared" si="5"/>
        <v>60</v>
      </c>
      <c r="C28" s="2779">
        <f t="shared" si="6"/>
        <v>0.6</v>
      </c>
      <c r="D28" s="2780"/>
      <c r="E28" s="2757">
        <f t="shared" si="0"/>
        <v>0.79408010548178876</v>
      </c>
      <c r="F28" s="1924"/>
      <c r="G28" s="2781">
        <v>33</v>
      </c>
      <c r="H28" s="1999">
        <f t="shared" si="7"/>
        <v>39.039000000000001</v>
      </c>
      <c r="I28" s="2783">
        <v>192.1</v>
      </c>
      <c r="J28" s="1999">
        <f t="shared" si="8"/>
        <v>2.0999999999999943</v>
      </c>
      <c r="K28" s="1999">
        <f t="shared" si="9"/>
        <v>34.549940121923207</v>
      </c>
      <c r="L28" s="2756">
        <f t="shared" si="1"/>
        <v>274.54994012192321</v>
      </c>
      <c r="M28" s="2756">
        <f t="shared" si="2"/>
        <v>82.44994012192322</v>
      </c>
      <c r="N28" s="2758"/>
      <c r="O28" s="2758">
        <f t="shared" si="3"/>
        <v>47.900000000000006</v>
      </c>
      <c r="P28" s="2756">
        <f t="shared" si="4"/>
        <v>1.7212931131925513</v>
      </c>
      <c r="Q28" s="2763"/>
      <c r="R28" s="1667"/>
      <c r="T28" s="2784"/>
      <c r="W28" s="1672"/>
      <c r="X28" s="1672"/>
      <c r="AM28" s="1672"/>
      <c r="AN28" s="1672"/>
    </row>
    <row r="29" spans="1:40" ht="17.100000000000001" customHeight="1">
      <c r="A29" s="1889"/>
      <c r="B29" s="2778">
        <f t="shared" si="5"/>
        <v>80</v>
      </c>
      <c r="C29" s="2779">
        <f t="shared" si="6"/>
        <v>0.8</v>
      </c>
      <c r="D29" s="2780"/>
      <c r="E29" s="2757">
        <f t="shared" si="0"/>
        <v>1.0587734739757184</v>
      </c>
      <c r="F29" s="1924"/>
      <c r="G29" s="2781">
        <v>45</v>
      </c>
      <c r="H29" s="1999">
        <f t="shared" si="7"/>
        <v>53.234999999999999</v>
      </c>
      <c r="I29" s="2783">
        <v>192.7</v>
      </c>
      <c r="J29" s="1999">
        <f t="shared" si="8"/>
        <v>2.6999999999999886</v>
      </c>
      <c r="K29" s="1999">
        <f t="shared" si="9"/>
        <v>46.987850061107672</v>
      </c>
      <c r="L29" s="2756">
        <f t="shared" si="1"/>
        <v>286.98785006110768</v>
      </c>
      <c r="M29" s="2756">
        <f t="shared" si="2"/>
        <v>94.28785006110769</v>
      </c>
      <c r="N29" s="2758"/>
      <c r="O29" s="2758">
        <f t="shared" si="3"/>
        <v>47.300000000000011</v>
      </c>
      <c r="P29" s="2756">
        <f t="shared" si="4"/>
        <v>1.9934006355413882</v>
      </c>
      <c r="Q29" s="2763"/>
      <c r="R29" s="1667"/>
      <c r="S29" s="1664" t="s">
        <v>981</v>
      </c>
      <c r="T29" s="1664" t="s">
        <v>573</v>
      </c>
      <c r="U29" s="2785">
        <f>W29</f>
        <v>6.8820275808421707</v>
      </c>
      <c r="V29" s="2785"/>
      <c r="W29" s="1943">
        <f>IF($U$30=K26,E26,IF($U$30=K27,E27,IF($U$30=K28,E28,IF($U$30=K29,E29,IF($U$30=K30,E30,IF($U$30=K31,E31,IF($U$30=K32,E32,X29)))))))</f>
        <v>6.8820275808421707</v>
      </c>
      <c r="X29" s="1943">
        <f>IF($U$30=K33,E33,IF($U$30=K34,E34,IF($U$30=K35,E35,IF($U$30=K36,E36,IF($U$30=K37,E37,IF($U$30=K38,E38,IF($U$30=K39,E39,Y29)))))))</f>
        <v>6.8820275808421707</v>
      </c>
      <c r="Y29" s="1943">
        <f>IF($U$30=K40,E40,IF($U$30=K41,E41,IF($U$30=K42,E42,IF($U$30=K43,E43,IF($U$30=K44,E44,IF($U$30=K45,E45,IF($U$30=K46,E46,Z29)))))))</f>
        <v>6.8820275808421707</v>
      </c>
      <c r="Z29" s="1943">
        <f>IF($U$30=K47,E47,IF($U$30=K48,E48,IF($U$30=K49,E49,IF($U$30=K50,E50,IF($U$30=K51,E51,IF($U$30=K52,E52,IF($U$30=K53,E53,AA29)))))))</f>
        <v>6.8820275808421707</v>
      </c>
      <c r="AA29" s="1943">
        <f>IF($U$30=K54,E54,IF($U$30=K55,E55,IF($U$30=K56,E56,IF($U$30=K57,E57,IF($U$30=K58,E58,IF($U$30=K59,E59,IF($U$30=K60,E60,AB29)))))))</f>
        <v>0</v>
      </c>
      <c r="AB29" s="1654"/>
      <c r="AM29" s="1672"/>
      <c r="AN29" s="1672"/>
    </row>
    <row r="30" spans="1:40" ht="17.100000000000001" customHeight="1">
      <c r="A30" s="1889"/>
      <c r="B30" s="2778">
        <f t="shared" si="5"/>
        <v>100</v>
      </c>
      <c r="C30" s="2779">
        <f t="shared" si="6"/>
        <v>1</v>
      </c>
      <c r="D30" s="2780"/>
      <c r="E30" s="2757">
        <f t="shared" si="0"/>
        <v>1.3234668424696481</v>
      </c>
      <c r="F30" s="1924"/>
      <c r="G30" s="2781">
        <v>53</v>
      </c>
      <c r="H30" s="1999">
        <f t="shared" si="7"/>
        <v>62.699000000000005</v>
      </c>
      <c r="I30" s="2783">
        <v>193.3</v>
      </c>
      <c r="J30" s="1999">
        <f t="shared" si="8"/>
        <v>3.3000000000000114</v>
      </c>
      <c r="K30" s="1999">
        <f t="shared" si="9"/>
        <v>55.193193483480002</v>
      </c>
      <c r="L30" s="2756">
        <f t="shared" si="1"/>
        <v>295.19319348348</v>
      </c>
      <c r="M30" s="2756">
        <f t="shared" si="2"/>
        <v>101.89319348347999</v>
      </c>
      <c r="N30" s="2758"/>
      <c r="O30" s="2758">
        <f t="shared" si="3"/>
        <v>46.699999999999989</v>
      </c>
      <c r="P30" s="2756">
        <f t="shared" si="4"/>
        <v>2.1818670981473236</v>
      </c>
      <c r="Q30" s="2763"/>
      <c r="R30" s="1667"/>
      <c r="S30" s="1664" t="s">
        <v>980</v>
      </c>
      <c r="T30" s="1664" t="s">
        <v>979</v>
      </c>
      <c r="U30" s="2785">
        <f>MAX(K25:K63)</f>
        <v>192.61289241255412</v>
      </c>
      <c r="V30" s="1665"/>
      <c r="W30" s="1976"/>
      <c r="X30" s="1976"/>
      <c r="Y30" s="1665"/>
      <c r="Z30" s="1665"/>
      <c r="AA30" s="1665"/>
      <c r="AM30" s="1672"/>
      <c r="AN30" s="1672"/>
    </row>
    <row r="31" spans="1:40" ht="17.100000000000001" customHeight="1">
      <c r="A31" s="1889"/>
      <c r="B31" s="2778">
        <f t="shared" si="5"/>
        <v>120</v>
      </c>
      <c r="C31" s="2779">
        <f t="shared" si="6"/>
        <v>1.2</v>
      </c>
      <c r="D31" s="2780"/>
      <c r="E31" s="2757">
        <f t="shared" si="0"/>
        <v>1.5881602109635775</v>
      </c>
      <c r="F31" s="1924"/>
      <c r="G31" s="2781">
        <v>57</v>
      </c>
      <c r="H31" s="1999">
        <f t="shared" si="7"/>
        <v>67.430999999999997</v>
      </c>
      <c r="I31" s="2783">
        <v>194.2</v>
      </c>
      <c r="J31" s="1999">
        <f t="shared" si="8"/>
        <v>4.1999999999999886</v>
      </c>
      <c r="K31" s="1999">
        <f t="shared" si="9"/>
        <v>59.199491629201717</v>
      </c>
      <c r="L31" s="2756">
        <f t="shared" si="1"/>
        <v>299.1994916292017</v>
      </c>
      <c r="M31" s="2756">
        <f t="shared" si="2"/>
        <v>104.99949162920171</v>
      </c>
      <c r="N31" s="2758"/>
      <c r="O31" s="2758">
        <f t="shared" si="3"/>
        <v>45.800000000000011</v>
      </c>
      <c r="P31" s="2756">
        <f t="shared" si="4"/>
        <v>2.2925653194148841</v>
      </c>
      <c r="Q31" s="2763"/>
      <c r="R31" s="1667"/>
      <c r="S31" s="1664"/>
      <c r="T31" s="1664" t="s">
        <v>978</v>
      </c>
      <c r="U31" s="1665">
        <f>W31</f>
        <v>205</v>
      </c>
      <c r="V31" s="1665"/>
      <c r="W31" s="1976">
        <f>IF($U$30=K26,I26,IF($U$30=K27,I27,IF($U$30=K28,I28,IF($U$30=K29,I29,IF($U$30=K30,I30,IF($U$30=K31,I31,IF($U$30=K32,I32,X31)))))))</f>
        <v>205</v>
      </c>
      <c r="X31" s="1976">
        <f>IF($U$30=K33,I33,IF($U$30=K34,I34,IF($U$30=K35,I35,IF($U$30=K36,I36,IF($U$30=K37,I37,IF($U$30=K38,I38,IF($U$30=K39,I39,Y31)))))))</f>
        <v>205</v>
      </c>
      <c r="Y31" s="1976">
        <f>IF($U$30=K40,I40,IF($U$30=K41,I41,IF($U$30=K42,I42,IF($U$30=K43,I43,IF($U$30=K44,I44,IF($U$30=K45,I45,IF($U$30=K46,I46,Z31)))))))</f>
        <v>205</v>
      </c>
      <c r="Z31" s="1976">
        <f>IF($U$30=K47,I47,IF($U$30=K48,I48,IF($U$30=K49,I49,IF($U$30=K50,I50,IF($U$30=K51,I51,IF($U$30=K52,I52,IF($U$30=K53,I53,AA31)))))))</f>
        <v>205</v>
      </c>
      <c r="AA31" s="1976">
        <f>IF($U$30=K54,I54,IF($U$30=K55,I55,IF($U$30=K56,I56,IF($U$30=K57,I57,IF($U$30=K58,I58,IF($U$30=K59,I59,IF($U$30=K60,I60,AB31)))))))</f>
        <v>0</v>
      </c>
      <c r="AB31" s="1654"/>
      <c r="AM31" s="1672"/>
      <c r="AN31" s="1672"/>
    </row>
    <row r="32" spans="1:40" ht="17.100000000000001" customHeight="1">
      <c r="A32" s="1889"/>
      <c r="B32" s="2778">
        <f t="shared" si="5"/>
        <v>140</v>
      </c>
      <c r="C32" s="2779">
        <f t="shared" si="6"/>
        <v>1.4</v>
      </c>
      <c r="D32" s="2780"/>
      <c r="E32" s="2757">
        <f t="shared" si="0"/>
        <v>1.8528535794575072</v>
      </c>
      <c r="F32" s="1924"/>
      <c r="G32" s="2781">
        <v>66</v>
      </c>
      <c r="H32" s="1999">
        <f t="shared" si="7"/>
        <v>78.078000000000003</v>
      </c>
      <c r="I32" s="2783">
        <v>194.8</v>
      </c>
      <c r="J32" s="1999">
        <f t="shared" si="8"/>
        <v>4.8000000000000114</v>
      </c>
      <c r="K32" s="1999">
        <f t="shared" si="9"/>
        <v>68.362412960292446</v>
      </c>
      <c r="L32" s="2756">
        <f t="shared" si="1"/>
        <v>308.36241296029243</v>
      </c>
      <c r="M32" s="2756">
        <f t="shared" si="2"/>
        <v>113.56241296029242</v>
      </c>
      <c r="N32" s="2758"/>
      <c r="O32" s="2758">
        <f t="shared" si="3"/>
        <v>45.199999999999989</v>
      </c>
      <c r="P32" s="2756">
        <f t="shared" si="4"/>
        <v>2.5124427646082399</v>
      </c>
      <c r="Q32" s="2763"/>
      <c r="R32" s="1667"/>
      <c r="S32" s="1664"/>
      <c r="T32" s="1664" t="s">
        <v>977</v>
      </c>
      <c r="U32" s="1665">
        <f>W32</f>
        <v>35</v>
      </c>
      <c r="V32" s="1665"/>
      <c r="W32" s="1976">
        <f>IF($U$30=K26,O26,IF($U$30=K27,O27,IF($U$30=K28,O28,IF($U$30=K29,O29,IF($U$30=K30,O30,IF($U$30=K31,O31,IF($U$30=K32,O32,X32)))))))</f>
        <v>35</v>
      </c>
      <c r="X32" s="1976">
        <f>IF($U$30=K33,O33,IF($U$30=K34,O34,IF($U$30=K35,O35,IF($U$30=K36,O36,IF($U$30=K37,O37,IF($U$30=K38,O38,IF($U$30=K39,O39,Y32)))))))</f>
        <v>35</v>
      </c>
      <c r="Y32" s="1976">
        <f>IF($U$30=K40,O40,IF($U$30=K41,O41,IF($U$30=K42,O42,IF($U$30=K43,O43,IF($U$30=K44,O44,IF($U$30=K45,O45,IF($U$30=K46,O46,Z32)))))))</f>
        <v>35</v>
      </c>
      <c r="Z32" s="1976">
        <f>IF($U$30=K47,O47,IF($U$30=K48,O48,IF($U$30=K49,O49,IF($U$30=K50,O50,IF($U$30=K51,O51,IF($U$30=K52,O52,IF($U$30=K53,O53,AA32)))))))</f>
        <v>35</v>
      </c>
      <c r="AA32" s="1976">
        <f>IF($U$30=K54,O54,IF($U$30=K55,O55,IF($U$30=K56,O56,IF($U$30=K57,O57,IF($U$30=K58,O58,IF($U$30=K59,O59,IF($U$30=K60,O60,AB32)))))))</f>
        <v>0</v>
      </c>
      <c r="AB32" s="1654"/>
      <c r="AM32" s="1672"/>
      <c r="AN32" s="1672"/>
    </row>
    <row r="33" spans="1:43" ht="17.100000000000001" customHeight="1">
      <c r="A33" s="1889"/>
      <c r="B33" s="2778">
        <f t="shared" si="5"/>
        <v>160</v>
      </c>
      <c r="C33" s="2779">
        <f t="shared" si="6"/>
        <v>1.6</v>
      </c>
      <c r="D33" s="2780"/>
      <c r="E33" s="2757">
        <f t="shared" si="0"/>
        <v>2.1175469479514368</v>
      </c>
      <c r="F33" s="1924"/>
      <c r="G33" s="2781">
        <v>72</v>
      </c>
      <c r="H33" s="1999">
        <f t="shared" si="7"/>
        <v>85.176000000000002</v>
      </c>
      <c r="I33" s="2783">
        <v>195.4</v>
      </c>
      <c r="J33" s="1999">
        <f t="shared" si="8"/>
        <v>5.4000000000000057</v>
      </c>
      <c r="K33" s="1999">
        <f t="shared" si="9"/>
        <v>74.376050333895222</v>
      </c>
      <c r="L33" s="2756">
        <f t="shared" si="1"/>
        <v>314.37605033389525</v>
      </c>
      <c r="M33" s="2756">
        <f t="shared" si="2"/>
        <v>118.97605033389524</v>
      </c>
      <c r="N33" s="2758"/>
      <c r="O33" s="2758">
        <f t="shared" si="3"/>
        <v>44.599999999999994</v>
      </c>
      <c r="P33" s="2756">
        <f t="shared" si="4"/>
        <v>2.6676244469483241</v>
      </c>
      <c r="Q33" s="2763"/>
      <c r="R33" s="1667"/>
      <c r="S33" s="1664"/>
      <c r="T33" s="1664" t="s">
        <v>976</v>
      </c>
      <c r="U33" s="1665">
        <f>W33</f>
        <v>227.61289241255412</v>
      </c>
      <c r="V33" s="1665"/>
      <c r="W33" s="1976">
        <f>IF($U$30=K26,M26,IF($U$30=K27,M27,IF($U$30=K28,M28,IF($U$30=K29,M29,IF($U$30=K30,M30,IF($U$30=K31,M31,IF($U$30=K32,M32,X33)))))))</f>
        <v>227.61289241255412</v>
      </c>
      <c r="X33" s="1976">
        <f>IF($U$30=K33,M33,IF($U$30=K34,M34,IF($U$30=K35,M35,IF($U$30=K36,M36,IF($U$30=K37,M37,IF($U$30=K38,M38,IF($U$30=K39,M39,Y33)))))))</f>
        <v>227.61289241255412</v>
      </c>
      <c r="Y33" s="1976">
        <f>IF($U$30=K40,M40,IF($U$30=K41,M41,IF($U$30=K42,M42,IF($U$30=K43,M43,IF($U$30=K44,M44,IF($U$30=K45,M45,IF($U$30=K46,M46,Z33)))))))</f>
        <v>227.61289241255412</v>
      </c>
      <c r="Z33" s="1976">
        <f>IF($U$30=K47,M47,IF($U$30=K48,M48,IF($U$30=K49,M49,IF($U$30=K50,M50,IF($U$30=K51,M51,IF($U$30=K52,M52,IF($U$30=K53,M53,AA33)))))))</f>
        <v>227.61289241255412</v>
      </c>
      <c r="AA33" s="1976">
        <f>IF($U$30=K54,M54,IF($U$30=K55,M55,IF($U$30=K56,M56,IF($U$30=K57,M57,IF($U$30=K58,M58,IF($U$30=K59,M59,IF($U$30=K60,M60,AB33)))))))</f>
        <v>0</v>
      </c>
      <c r="AB33" s="1654"/>
      <c r="AM33" s="1672"/>
      <c r="AN33" s="1672"/>
    </row>
    <row r="34" spans="1:43" ht="17.100000000000001" customHeight="1">
      <c r="A34" s="1889"/>
      <c r="B34" s="2778">
        <f t="shared" si="5"/>
        <v>180</v>
      </c>
      <c r="C34" s="2779">
        <f t="shared" si="6"/>
        <v>1.8</v>
      </c>
      <c r="D34" s="2780"/>
      <c r="E34" s="2757">
        <f t="shared" si="0"/>
        <v>2.3822403164453663</v>
      </c>
      <c r="F34" s="1924"/>
      <c r="G34" s="2781">
        <v>77</v>
      </c>
      <c r="H34" s="1999">
        <f t="shared" si="7"/>
        <v>91.091000000000008</v>
      </c>
      <c r="I34" s="2783">
        <v>196</v>
      </c>
      <c r="J34" s="1999">
        <f t="shared" si="8"/>
        <v>6</v>
      </c>
      <c r="K34" s="1999">
        <f t="shared" si="9"/>
        <v>79.325959204934705</v>
      </c>
      <c r="L34" s="2756">
        <f t="shared" si="1"/>
        <v>319.32595920493469</v>
      </c>
      <c r="M34" s="2756">
        <f t="shared" si="2"/>
        <v>123.32595920493469</v>
      </c>
      <c r="N34" s="2758"/>
      <c r="O34" s="2758">
        <f t="shared" si="3"/>
        <v>44</v>
      </c>
      <c r="P34" s="2756">
        <f t="shared" si="4"/>
        <v>2.8028627092030614</v>
      </c>
      <c r="Q34" s="2763"/>
      <c r="R34" s="1667"/>
      <c r="T34" s="1664" t="s">
        <v>975</v>
      </c>
      <c r="U34" s="2785">
        <f>W34</f>
        <v>432.61289241255412</v>
      </c>
      <c r="W34" s="1976">
        <f>IF($U$30=K26,L26,IF($U$30=K27,L27,IF($U$30=K28,L28,IF($U$30=K29,L29,IF($U$30=K30,L30,IF($U$30=K31,L31,IF($U$30=K32,L32,X34)))))))</f>
        <v>432.61289241255412</v>
      </c>
      <c r="X34" s="1976">
        <f>IF($U$30=K33,L33,IF($U$30=K34,L34,IF($U$30=K35,L35,IF($U$30=K36,L36,IF($U$30=K37,L37,IF($U$30=K38,L38,IF($U$30=K39,L39,Y34)))))))</f>
        <v>432.61289241255412</v>
      </c>
      <c r="Y34" s="1976">
        <f>IF($U$30=K40,L40,IF($U$30=K41,L41,IF($U$30=K42,L42,IF($U$30=K43,L43,IF($U$30=K44,L44,IF($U$30=K45,L45,IF($U$30=K46,L46,Z34)))))))</f>
        <v>432.61289241255412</v>
      </c>
      <c r="Z34" s="1976">
        <f>IF($U$30=K47,L47,IF($U$30=K48,L48,IF($U$30=K49,L49,IF($U$30=K50,L50,IF($U$30=K51,L51,IF($U$30=K52,L52,IF($U$30=K53,L53,AA34)))))))</f>
        <v>432.61289241255412</v>
      </c>
      <c r="AA34" s="1976">
        <f>IF($U$30=K54,L54,IF($U$30=K55,L55,IF($U$30=K56,L56,IF($U$30=K57,L57,IF($U$30=K58,L58,IF($U$30=K59,L59,IF($U$30=K60,L60,AB34)))))))</f>
        <v>0</v>
      </c>
      <c r="AM34" s="1672"/>
      <c r="AN34" s="1672"/>
    </row>
    <row r="35" spans="1:43" ht="17.100000000000001" customHeight="1">
      <c r="A35" s="1889"/>
      <c r="B35" s="2778">
        <f t="shared" si="5"/>
        <v>200</v>
      </c>
      <c r="C35" s="2779">
        <f t="shared" si="6"/>
        <v>2</v>
      </c>
      <c r="D35" s="2780"/>
      <c r="E35" s="2757">
        <f t="shared" si="0"/>
        <v>2.6469336849392961</v>
      </c>
      <c r="F35" s="1924"/>
      <c r="G35" s="2781">
        <v>82</v>
      </c>
      <c r="H35" s="1999">
        <f t="shared" si="7"/>
        <v>97.006</v>
      </c>
      <c r="I35" s="2783">
        <v>196.4</v>
      </c>
      <c r="J35" s="1999">
        <f t="shared" si="8"/>
        <v>6.4000000000000057</v>
      </c>
      <c r="K35" s="1999">
        <f t="shared" si="9"/>
        <v>84.247933709172884</v>
      </c>
      <c r="L35" s="2756">
        <f t="shared" si="1"/>
        <v>324.24793370917291</v>
      </c>
      <c r="M35" s="2756">
        <f t="shared" si="2"/>
        <v>127.84793370917291</v>
      </c>
      <c r="N35" s="2758"/>
      <c r="O35" s="2758">
        <f t="shared" si="3"/>
        <v>43.599999999999994</v>
      </c>
      <c r="P35" s="2756">
        <f t="shared" si="4"/>
        <v>2.9322920575498377</v>
      </c>
      <c r="Q35" s="2763"/>
      <c r="R35" s="1667"/>
      <c r="T35" s="1664" t="s">
        <v>974</v>
      </c>
      <c r="U35" s="2785">
        <f>U34-U30</f>
        <v>240</v>
      </c>
      <c r="W35" s="1672"/>
      <c r="X35" s="1672"/>
      <c r="AM35" s="1672"/>
      <c r="AN35" s="1672"/>
    </row>
    <row r="36" spans="1:43" ht="17.100000000000001" customHeight="1">
      <c r="A36" s="1889"/>
      <c r="B36" s="2778">
        <f t="shared" si="5"/>
        <v>220</v>
      </c>
      <c r="C36" s="2779">
        <f t="shared" si="6"/>
        <v>2.2000000000000002</v>
      </c>
      <c r="D36" s="2780"/>
      <c r="E36" s="2757">
        <f t="shared" si="0"/>
        <v>2.911627053433226</v>
      </c>
      <c r="F36" s="1924"/>
      <c r="G36" s="2781">
        <v>90</v>
      </c>
      <c r="H36" s="1999">
        <f t="shared" si="7"/>
        <v>106.47</v>
      </c>
      <c r="I36" s="2783">
        <v>196.9</v>
      </c>
      <c r="J36" s="1999">
        <f t="shared" si="8"/>
        <v>6.9000000000000057</v>
      </c>
      <c r="K36" s="1999">
        <f t="shared" si="9"/>
        <v>92.215835013734264</v>
      </c>
      <c r="L36" s="2756">
        <f t="shared" si="1"/>
        <v>332.21583501373425</v>
      </c>
      <c r="M36" s="2756">
        <f t="shared" si="2"/>
        <v>135.31583501373424</v>
      </c>
      <c r="N36" s="2758"/>
      <c r="O36" s="2758">
        <f t="shared" si="3"/>
        <v>43.099999999999994</v>
      </c>
      <c r="P36" s="2756">
        <f t="shared" si="4"/>
        <v>3.139578538601723</v>
      </c>
      <c r="Q36" s="2763"/>
      <c r="R36" s="1667"/>
      <c r="T36" s="1664"/>
      <c r="U36" s="1665"/>
      <c r="W36" s="1672"/>
      <c r="X36" s="1672"/>
      <c r="AM36" s="1672"/>
      <c r="AN36" s="1672"/>
    </row>
    <row r="37" spans="1:43" ht="17.100000000000001" customHeight="1">
      <c r="A37" s="1889"/>
      <c r="B37" s="2778">
        <f t="shared" si="5"/>
        <v>240</v>
      </c>
      <c r="C37" s="2779">
        <f t="shared" si="6"/>
        <v>2.4</v>
      </c>
      <c r="D37" s="2780"/>
      <c r="E37" s="2757">
        <f t="shared" si="0"/>
        <v>3.176320421927155</v>
      </c>
      <c r="F37" s="1924"/>
      <c r="G37" s="2781">
        <v>98</v>
      </c>
      <c r="H37" s="1999">
        <f t="shared" si="7"/>
        <v>115.93400000000001</v>
      </c>
      <c r="I37" s="2783">
        <v>197.1</v>
      </c>
      <c r="J37" s="1999">
        <f t="shared" si="8"/>
        <v>7.0999999999999943</v>
      </c>
      <c r="K37" s="1999">
        <f t="shared" si="9"/>
        <v>100.13904133141362</v>
      </c>
      <c r="L37" s="2756">
        <f t="shared" si="1"/>
        <v>340.13904133141364</v>
      </c>
      <c r="M37" s="2756">
        <f t="shared" si="2"/>
        <v>143.03904133141364</v>
      </c>
      <c r="N37" s="2758"/>
      <c r="O37" s="2758">
        <f t="shared" si="3"/>
        <v>42.900000000000006</v>
      </c>
      <c r="P37" s="2756">
        <f t="shared" si="4"/>
        <v>3.3342433876786393</v>
      </c>
      <c r="Q37" s="2763"/>
      <c r="R37" s="1667"/>
      <c r="W37" s="1672"/>
      <c r="X37" s="1672"/>
      <c r="AM37" s="1672"/>
      <c r="AN37" s="1672"/>
    </row>
    <row r="38" spans="1:43" ht="17.100000000000001" customHeight="1">
      <c r="A38" s="1889"/>
      <c r="B38" s="2778">
        <f t="shared" si="5"/>
        <v>260</v>
      </c>
      <c r="C38" s="2779">
        <f t="shared" si="6"/>
        <v>2.6</v>
      </c>
      <c r="D38" s="2780"/>
      <c r="E38" s="2757">
        <f t="shared" si="0"/>
        <v>3.4410137904210853</v>
      </c>
      <c r="F38" s="1924"/>
      <c r="G38" s="2781">
        <v>105</v>
      </c>
      <c r="H38" s="1999">
        <f t="shared" si="7"/>
        <v>124.215</v>
      </c>
      <c r="I38" s="2783">
        <v>197.9</v>
      </c>
      <c r="J38" s="1999">
        <f t="shared" si="8"/>
        <v>7.9000000000000057</v>
      </c>
      <c r="K38" s="1999">
        <f t="shared" si="9"/>
        <v>106.99851914652963</v>
      </c>
      <c r="L38" s="2756">
        <f t="shared" si="1"/>
        <v>346.99851914652965</v>
      </c>
      <c r="M38" s="2756">
        <f t="shared" si="2"/>
        <v>149.09851914652964</v>
      </c>
      <c r="N38" s="2758"/>
      <c r="O38" s="2758">
        <f t="shared" si="3"/>
        <v>42.099999999999994</v>
      </c>
      <c r="P38" s="2756">
        <f t="shared" si="4"/>
        <v>3.5415325212952413</v>
      </c>
      <c r="Q38" s="2763"/>
      <c r="R38" s="1667"/>
      <c r="W38" s="1672"/>
      <c r="X38" s="1672"/>
      <c r="AM38" s="1672"/>
      <c r="AN38" s="1672"/>
    </row>
    <row r="39" spans="1:43" ht="17.100000000000001" customHeight="1">
      <c r="A39" s="1889"/>
      <c r="B39" s="2778">
        <f t="shared" si="5"/>
        <v>280</v>
      </c>
      <c r="C39" s="2779">
        <f t="shared" si="6"/>
        <v>2.8</v>
      </c>
      <c r="D39" s="2780"/>
      <c r="E39" s="2757">
        <f t="shared" si="0"/>
        <v>3.7057071589150143</v>
      </c>
      <c r="F39" s="1924"/>
      <c r="G39" s="2783">
        <v>115</v>
      </c>
      <c r="H39" s="1999">
        <f t="shared" si="7"/>
        <v>136.04500000000002</v>
      </c>
      <c r="I39" s="2783">
        <v>198.1</v>
      </c>
      <c r="J39" s="1999">
        <f t="shared" si="8"/>
        <v>8.0999999999999943</v>
      </c>
      <c r="K39" s="1999">
        <f t="shared" si="9"/>
        <v>116.8676090851272</v>
      </c>
      <c r="L39" s="2756">
        <f t="shared" si="1"/>
        <v>356.86760908512719</v>
      </c>
      <c r="M39" s="2756">
        <f t="shared" si="2"/>
        <v>158.76760908512719</v>
      </c>
      <c r="N39" s="2758"/>
      <c r="O39" s="2758">
        <f t="shared" si="3"/>
        <v>41.900000000000006</v>
      </c>
      <c r="P39" s="2756">
        <f t="shared" si="4"/>
        <v>3.7892030807906245</v>
      </c>
      <c r="Q39" s="2763"/>
      <c r="R39" s="1667"/>
      <c r="W39" s="1672"/>
      <c r="X39" s="1672"/>
      <c r="AM39" s="1672"/>
      <c r="AN39" s="1672"/>
    </row>
    <row r="40" spans="1:43" ht="17.100000000000001" customHeight="1">
      <c r="A40" s="1889"/>
      <c r="B40" s="2778">
        <f t="shared" si="5"/>
        <v>300</v>
      </c>
      <c r="C40" s="2779">
        <f t="shared" si="6"/>
        <v>3</v>
      </c>
      <c r="D40" s="2780"/>
      <c r="E40" s="2757">
        <f t="shared" si="0"/>
        <v>3.9704005274089438</v>
      </c>
      <c r="F40" s="2780"/>
      <c r="G40" s="2783">
        <v>122</v>
      </c>
      <c r="H40" s="1999">
        <f t="shared" si="7"/>
        <v>144.32599999999999</v>
      </c>
      <c r="I40" s="2783">
        <v>198.5</v>
      </c>
      <c r="J40" s="1999">
        <f t="shared" si="8"/>
        <v>8.5</v>
      </c>
      <c r="K40" s="1999">
        <f t="shared" si="9"/>
        <v>123.64049036315923</v>
      </c>
      <c r="L40" s="2756">
        <f t="shared" si="1"/>
        <v>363.64049036315924</v>
      </c>
      <c r="M40" s="2756">
        <f t="shared" si="2"/>
        <v>165.14049036315924</v>
      </c>
      <c r="N40" s="2758"/>
      <c r="O40" s="2758">
        <f t="shared" si="3"/>
        <v>41.5</v>
      </c>
      <c r="P40" s="2756">
        <f t="shared" si="4"/>
        <v>3.9792889244134759</v>
      </c>
      <c r="Q40" s="2763"/>
      <c r="R40" s="1667"/>
      <c r="W40" s="1672"/>
      <c r="X40" s="1672"/>
      <c r="AM40" s="1672"/>
      <c r="AN40" s="1672"/>
    </row>
    <row r="41" spans="1:43" ht="17.100000000000001" customHeight="1">
      <c r="A41" s="1889"/>
      <c r="B41" s="2778">
        <f t="shared" si="5"/>
        <v>320</v>
      </c>
      <c r="C41" s="2779">
        <f t="shared" si="6"/>
        <v>3.2</v>
      </c>
      <c r="D41" s="2780"/>
      <c r="E41" s="2757">
        <f t="shared" si="0"/>
        <v>4.2350938959028737</v>
      </c>
      <c r="F41" s="2780"/>
      <c r="G41" s="2783">
        <v>130</v>
      </c>
      <c r="H41" s="1999">
        <f t="shared" si="7"/>
        <v>153.79000000000002</v>
      </c>
      <c r="I41" s="2783">
        <v>198.9</v>
      </c>
      <c r="J41" s="1999">
        <f t="shared" si="8"/>
        <v>8.9000000000000057</v>
      </c>
      <c r="K41" s="1999">
        <f t="shared" si="9"/>
        <v>131.38491673331032</v>
      </c>
      <c r="L41" s="2756">
        <f t="shared" si="1"/>
        <v>371.38491673331032</v>
      </c>
      <c r="M41" s="2756">
        <f t="shared" si="2"/>
        <v>172.48491673331031</v>
      </c>
      <c r="N41" s="2758"/>
      <c r="O41" s="2758">
        <f t="shared" si="3"/>
        <v>41.099999999999994</v>
      </c>
      <c r="P41" s="2756">
        <f t="shared" si="4"/>
        <v>4.1967133025136336</v>
      </c>
      <c r="Q41" s="1901"/>
      <c r="R41" s="1667"/>
      <c r="W41" s="1672"/>
      <c r="X41" s="1672"/>
      <c r="AM41" s="1672"/>
      <c r="AN41" s="1672"/>
    </row>
    <row r="42" spans="1:43" ht="17.100000000000001" customHeight="1">
      <c r="A42" s="1889"/>
      <c r="B42" s="2778">
        <f t="shared" si="5"/>
        <v>340</v>
      </c>
      <c r="C42" s="2779">
        <f t="shared" si="6"/>
        <v>3.4</v>
      </c>
      <c r="D42" s="2780"/>
      <c r="E42" s="2757">
        <f t="shared" si="0"/>
        <v>4.4997872643968035</v>
      </c>
      <c r="F42" s="2780"/>
      <c r="G42" s="2783">
        <v>145</v>
      </c>
      <c r="H42" s="1999">
        <f t="shared" si="7"/>
        <v>171.535</v>
      </c>
      <c r="I42" s="2783">
        <v>201.4</v>
      </c>
      <c r="J42" s="1999">
        <f t="shared" si="8"/>
        <v>11.400000000000006</v>
      </c>
      <c r="K42" s="1999">
        <f t="shared" si="9"/>
        <v>146.13966649930438</v>
      </c>
      <c r="L42" s="2756">
        <f t="shared" si="1"/>
        <v>386.13966649930438</v>
      </c>
      <c r="M42" s="2756">
        <f t="shared" si="2"/>
        <v>184.73966649930438</v>
      </c>
      <c r="N42" s="2758"/>
      <c r="O42" s="2758">
        <f t="shared" si="3"/>
        <v>38.599999999999994</v>
      </c>
      <c r="P42" s="2756">
        <f t="shared" si="4"/>
        <v>4.7860017227799068</v>
      </c>
      <c r="Q42" s="1901"/>
      <c r="R42" s="1667"/>
      <c r="S42" s="1963"/>
      <c r="W42" s="1672"/>
      <c r="X42" s="1672"/>
      <c r="AM42" s="1672"/>
      <c r="AN42" s="1672"/>
    </row>
    <row r="43" spans="1:43" ht="17.100000000000001" customHeight="1">
      <c r="A43" s="1889"/>
      <c r="B43" s="2778">
        <f t="shared" si="5"/>
        <v>360</v>
      </c>
      <c r="C43" s="2779">
        <f t="shared" si="6"/>
        <v>3.6</v>
      </c>
      <c r="D43" s="2780"/>
      <c r="E43" s="2757">
        <f t="shared" si="0"/>
        <v>4.7644806328907325</v>
      </c>
      <c r="F43" s="2780"/>
      <c r="G43" s="2783">
        <v>152</v>
      </c>
      <c r="H43" s="1999">
        <f t="shared" si="7"/>
        <v>179.816</v>
      </c>
      <c r="I43" s="2783">
        <v>202.8</v>
      </c>
      <c r="J43" s="1999">
        <f t="shared" si="8"/>
        <v>12.800000000000011</v>
      </c>
      <c r="K43" s="1999">
        <f t="shared" si="9"/>
        <v>152.77008250664986</v>
      </c>
      <c r="L43" s="2756">
        <f t="shared" si="1"/>
        <v>392.77008250664983</v>
      </c>
      <c r="M43" s="2756">
        <f t="shared" si="2"/>
        <v>189.97008250664982</v>
      </c>
      <c r="N43" s="2758"/>
      <c r="O43" s="2758">
        <f t="shared" si="3"/>
        <v>37.199999999999989</v>
      </c>
      <c r="P43" s="2756">
        <f t="shared" si="4"/>
        <v>5.1067226480282226</v>
      </c>
      <c r="Q43" s="1901"/>
      <c r="R43" s="1667"/>
    </row>
    <row r="44" spans="1:43" ht="17.100000000000001" customHeight="1">
      <c r="A44" s="1889"/>
      <c r="B44" s="2778">
        <f t="shared" si="5"/>
        <v>380</v>
      </c>
      <c r="C44" s="2779">
        <f t="shared" si="6"/>
        <v>3.8</v>
      </c>
      <c r="D44" s="2780"/>
      <c r="E44" s="2757">
        <f t="shared" si="0"/>
        <v>5.0291740013846624</v>
      </c>
      <c r="F44" s="2780"/>
      <c r="G44" s="2783">
        <v>159</v>
      </c>
      <c r="H44" s="1999">
        <f t="shared" si="7"/>
        <v>188.09700000000001</v>
      </c>
      <c r="I44" s="2783">
        <v>203.5</v>
      </c>
      <c r="J44" s="1999">
        <f t="shared" si="8"/>
        <v>13.5</v>
      </c>
      <c r="K44" s="1999">
        <f t="shared" si="9"/>
        <v>159.36139040047357</v>
      </c>
      <c r="L44" s="2756">
        <f t="shared" si="1"/>
        <v>399.36139040047357</v>
      </c>
      <c r="M44" s="2756">
        <f t="shared" si="2"/>
        <v>195.86139040047357</v>
      </c>
      <c r="N44" s="2758"/>
      <c r="O44" s="2758">
        <f t="shared" si="3"/>
        <v>36.5</v>
      </c>
      <c r="P44" s="2756">
        <f t="shared" si="4"/>
        <v>5.3660654904239333</v>
      </c>
      <c r="Q44" s="1901"/>
      <c r="R44" s="1667"/>
    </row>
    <row r="45" spans="1:43" ht="17.100000000000001" customHeight="1">
      <c r="A45" s="1889"/>
      <c r="B45" s="2778">
        <f t="shared" si="5"/>
        <v>400</v>
      </c>
      <c r="C45" s="2779">
        <f t="shared" si="6"/>
        <v>4</v>
      </c>
      <c r="D45" s="2780"/>
      <c r="E45" s="2757">
        <f t="shared" si="0"/>
        <v>5.2938673698785923</v>
      </c>
      <c r="F45" s="2780"/>
      <c r="G45" s="2783">
        <v>162</v>
      </c>
      <c r="H45" s="1999">
        <f t="shared" si="7"/>
        <v>191.64600000000002</v>
      </c>
      <c r="I45" s="2783">
        <v>204.5</v>
      </c>
      <c r="J45" s="1999">
        <f t="shared" si="8"/>
        <v>14.5</v>
      </c>
      <c r="K45" s="1999">
        <f t="shared" si="9"/>
        <v>161.91567234509409</v>
      </c>
      <c r="L45" s="2756">
        <f t="shared" si="1"/>
        <v>401.91567234509409</v>
      </c>
      <c r="M45" s="2756">
        <f t="shared" si="2"/>
        <v>197.41567234509409</v>
      </c>
      <c r="N45" s="2758"/>
      <c r="O45" s="2758">
        <f t="shared" si="3"/>
        <v>35.5</v>
      </c>
      <c r="P45" s="2756">
        <f t="shared" si="4"/>
        <v>5.5610048547913831</v>
      </c>
      <c r="Q45" s="1901"/>
      <c r="R45" s="1667"/>
    </row>
    <row r="46" spans="1:43" ht="17.100000000000001" customHeight="1">
      <c r="A46" s="1889"/>
      <c r="B46" s="2778">
        <f t="shared" si="5"/>
        <v>420</v>
      </c>
      <c r="C46" s="2779">
        <f t="shared" si="6"/>
        <v>4.2</v>
      </c>
      <c r="D46" s="2780"/>
      <c r="E46" s="2757">
        <f t="shared" si="0"/>
        <v>5.5585607383725222</v>
      </c>
      <c r="F46" s="2780"/>
      <c r="G46" s="2783">
        <v>166</v>
      </c>
      <c r="H46" s="1999">
        <f t="shared" si="7"/>
        <v>196.37800000000001</v>
      </c>
      <c r="I46" s="2783">
        <v>205</v>
      </c>
      <c r="J46" s="1999">
        <f t="shared" si="8"/>
        <v>15</v>
      </c>
      <c r="K46" s="1999">
        <f t="shared" si="9"/>
        <v>165.44987969187406</v>
      </c>
      <c r="L46" s="2756">
        <f t="shared" si="1"/>
        <v>405.44987969187406</v>
      </c>
      <c r="M46" s="2756">
        <f t="shared" si="2"/>
        <v>200.44987969187406</v>
      </c>
      <c r="N46" s="2758"/>
      <c r="O46" s="2758">
        <f t="shared" si="3"/>
        <v>35</v>
      </c>
      <c r="P46" s="2756">
        <f t="shared" si="4"/>
        <v>5.7271394197678305</v>
      </c>
      <c r="Q46" s="1901"/>
      <c r="R46" s="1667"/>
    </row>
    <row r="47" spans="1:43" ht="17.100000000000001" customHeight="1">
      <c r="A47" s="1889"/>
      <c r="B47" s="2778">
        <f t="shared" si="5"/>
        <v>440</v>
      </c>
      <c r="C47" s="2779">
        <f t="shared" si="6"/>
        <v>4.4000000000000004</v>
      </c>
      <c r="D47" s="2780"/>
      <c r="E47" s="2757">
        <f t="shared" si="0"/>
        <v>5.8232541068664521</v>
      </c>
      <c r="F47" s="2780"/>
      <c r="G47" s="2783">
        <v>175</v>
      </c>
      <c r="H47" s="1999">
        <f t="shared" si="7"/>
        <v>207.02500000000001</v>
      </c>
      <c r="I47" s="2783">
        <v>205</v>
      </c>
      <c r="J47" s="1999">
        <f t="shared" si="8"/>
        <v>15</v>
      </c>
      <c r="K47" s="1999">
        <f t="shared" si="9"/>
        <v>173.93120247301337</v>
      </c>
      <c r="L47" s="2756">
        <f t="shared" si="1"/>
        <v>413.9312024730134</v>
      </c>
      <c r="M47" s="2756">
        <f t="shared" si="2"/>
        <v>208.9312024730134</v>
      </c>
      <c r="N47" s="2758"/>
      <c r="O47" s="2758">
        <f t="shared" si="3"/>
        <v>35</v>
      </c>
      <c r="P47" s="2756">
        <f t="shared" si="4"/>
        <v>5.9694629278003832</v>
      </c>
      <c r="Q47" s="1901"/>
      <c r="R47" s="1667"/>
    </row>
    <row r="48" spans="1:43" ht="17.100000000000001" customHeight="1">
      <c r="A48" s="1889"/>
      <c r="B48" s="2778">
        <f t="shared" si="5"/>
        <v>460</v>
      </c>
      <c r="C48" s="2779">
        <f t="shared" si="6"/>
        <v>4.5999999999999996</v>
      </c>
      <c r="D48" s="2780"/>
      <c r="E48" s="2757">
        <f t="shared" si="0"/>
        <v>6.0879474753603811</v>
      </c>
      <c r="F48" s="2780"/>
      <c r="G48" s="2783">
        <v>181</v>
      </c>
      <c r="H48" s="1999">
        <f t="shared" si="7"/>
        <v>214.12300000000002</v>
      </c>
      <c r="I48" s="2783">
        <v>205</v>
      </c>
      <c r="J48" s="1999">
        <f t="shared" si="8"/>
        <v>15</v>
      </c>
      <c r="K48" s="1999">
        <f t="shared" si="9"/>
        <v>179.3889459472706</v>
      </c>
      <c r="L48" s="2756">
        <f t="shared" si="1"/>
        <v>419.3889459472706</v>
      </c>
      <c r="M48" s="2756">
        <f t="shared" si="2"/>
        <v>214.3889459472706</v>
      </c>
      <c r="N48" s="2758"/>
      <c r="O48" s="2758">
        <f t="shared" si="3"/>
        <v>35</v>
      </c>
      <c r="P48" s="2756">
        <f t="shared" si="4"/>
        <v>6.1253984556363026</v>
      </c>
      <c r="Q48" s="2760"/>
      <c r="R48" s="1667"/>
      <c r="W48" s="1672"/>
      <c r="X48" s="1672"/>
      <c r="Y48" s="1672"/>
      <c r="Z48" s="1672"/>
      <c r="AA48" s="1672"/>
      <c r="AC48" s="1903"/>
      <c r="AD48" s="1672"/>
      <c r="AE48" s="1672"/>
      <c r="AF48" s="1672"/>
      <c r="AG48" s="1672"/>
      <c r="AH48" s="1672"/>
      <c r="AI48" s="1672"/>
      <c r="AJ48" s="1672"/>
      <c r="AK48" s="1672"/>
      <c r="AL48" s="1672"/>
      <c r="AM48" s="1672"/>
      <c r="AN48" s="1672"/>
      <c r="AO48" s="1672"/>
      <c r="AP48" s="1672"/>
      <c r="AQ48" s="1672"/>
    </row>
    <row r="49" spans="1:43" ht="17.100000000000001" customHeight="1">
      <c r="A49" s="1889"/>
      <c r="B49" s="2778">
        <f t="shared" si="5"/>
        <v>480</v>
      </c>
      <c r="C49" s="2779">
        <f t="shared" si="6"/>
        <v>4.8</v>
      </c>
      <c r="D49" s="2780"/>
      <c r="E49" s="2757">
        <f t="shared" si="0"/>
        <v>6.35264084385431</v>
      </c>
      <c r="F49" s="2780"/>
      <c r="G49" s="2783">
        <v>188</v>
      </c>
      <c r="H49" s="1999">
        <f t="shared" si="7"/>
        <v>222.404</v>
      </c>
      <c r="I49" s="2783">
        <v>205</v>
      </c>
      <c r="J49" s="1999">
        <f t="shared" si="8"/>
        <v>15</v>
      </c>
      <c r="K49" s="1999">
        <f t="shared" si="9"/>
        <v>185.801473893566</v>
      </c>
      <c r="L49" s="2756">
        <f t="shared" si="1"/>
        <v>425.80147389356603</v>
      </c>
      <c r="M49" s="2756">
        <f t="shared" si="2"/>
        <v>220.80147389356603</v>
      </c>
      <c r="N49" s="2758"/>
      <c r="O49" s="2758">
        <f t="shared" si="3"/>
        <v>35</v>
      </c>
      <c r="P49" s="2756">
        <f t="shared" si="4"/>
        <v>6.3086135398161725</v>
      </c>
      <c r="Q49" s="2786"/>
      <c r="R49" s="1667"/>
      <c r="W49" s="1671"/>
      <c r="X49" s="1671"/>
      <c r="Y49" s="1671"/>
      <c r="Z49" s="1671"/>
      <c r="AF49" s="1568"/>
      <c r="AG49" s="1568"/>
      <c r="AJ49" s="1921"/>
      <c r="AK49" s="1975"/>
      <c r="AL49" s="1671"/>
      <c r="AM49" s="1671"/>
      <c r="AN49" s="1671"/>
      <c r="AO49" s="1671"/>
      <c r="AP49" s="1671"/>
    </row>
    <row r="50" spans="1:43" ht="17.100000000000001" customHeight="1">
      <c r="A50" s="1889"/>
      <c r="B50" s="2778">
        <f t="shared" si="5"/>
        <v>500</v>
      </c>
      <c r="C50" s="2779">
        <f t="shared" si="6"/>
        <v>5</v>
      </c>
      <c r="D50" s="2780"/>
      <c r="E50" s="2757">
        <f t="shared" si="0"/>
        <v>6.6173342123482399</v>
      </c>
      <c r="F50" s="2780"/>
      <c r="G50" s="2787">
        <v>192</v>
      </c>
      <c r="H50" s="1999">
        <f t="shared" si="7"/>
        <v>227.13600000000002</v>
      </c>
      <c r="I50" s="2783">
        <v>205</v>
      </c>
      <c r="J50" s="1999">
        <f t="shared" si="8"/>
        <v>15</v>
      </c>
      <c r="K50" s="1999">
        <f t="shared" si="9"/>
        <v>189.21835689978056</v>
      </c>
      <c r="L50" s="2756">
        <f t="shared" si="1"/>
        <v>429.21835689978059</v>
      </c>
      <c r="M50" s="2756">
        <f t="shared" si="2"/>
        <v>224.21835689978059</v>
      </c>
      <c r="N50" s="2758"/>
      <c r="O50" s="2758">
        <f t="shared" si="3"/>
        <v>35</v>
      </c>
      <c r="P50" s="2756">
        <f t="shared" si="4"/>
        <v>6.4062387685651601</v>
      </c>
      <c r="Q50" s="2786"/>
      <c r="R50" s="1667"/>
      <c r="W50" s="1675"/>
      <c r="X50" s="1675"/>
      <c r="Y50" s="1671"/>
      <c r="Z50" s="1671"/>
      <c r="AF50" s="1568"/>
      <c r="AG50" s="1568"/>
      <c r="AJ50" s="1921"/>
      <c r="AK50" s="1976"/>
      <c r="AL50" s="1675"/>
      <c r="AM50" s="1675"/>
      <c r="AN50" s="1675"/>
      <c r="AO50" s="1671"/>
      <c r="AP50" s="1671"/>
    </row>
    <row r="51" spans="1:43" ht="17.100000000000001" customHeight="1">
      <c r="A51" s="1889"/>
      <c r="B51" s="2778">
        <f t="shared" si="5"/>
        <v>520</v>
      </c>
      <c r="C51" s="2779">
        <f t="shared" si="6"/>
        <v>5.2</v>
      </c>
      <c r="D51" s="2780"/>
      <c r="E51" s="2757">
        <f t="shared" si="0"/>
        <v>6.8820275808421707</v>
      </c>
      <c r="F51" s="2780"/>
      <c r="G51" s="2783">
        <v>196</v>
      </c>
      <c r="H51" s="1999">
        <f t="shared" si="7"/>
        <v>231.86800000000002</v>
      </c>
      <c r="I51" s="2783">
        <v>205</v>
      </c>
      <c r="J51" s="1999">
        <f t="shared" si="8"/>
        <v>15</v>
      </c>
      <c r="K51" s="1999">
        <f t="shared" si="9"/>
        <v>192.61289241255412</v>
      </c>
      <c r="L51" s="2756">
        <f t="shared" si="1"/>
        <v>432.61289241255412</v>
      </c>
      <c r="M51" s="2756">
        <f t="shared" si="2"/>
        <v>227.61289241255412</v>
      </c>
      <c r="N51" s="2758"/>
      <c r="O51" s="2758">
        <f t="shared" si="3"/>
        <v>35</v>
      </c>
      <c r="P51" s="2756">
        <f t="shared" si="4"/>
        <v>6.5032254975015462</v>
      </c>
      <c r="Q51" s="2786"/>
      <c r="R51" s="1667"/>
      <c r="W51" s="1671"/>
      <c r="X51" s="1671"/>
      <c r="Y51" s="1671"/>
      <c r="Z51" s="1671"/>
      <c r="AF51" s="1568"/>
      <c r="AG51" s="1568"/>
      <c r="AJ51" s="1921"/>
      <c r="AK51" s="1976"/>
      <c r="AL51" s="1671"/>
      <c r="AM51" s="1671"/>
      <c r="AN51" s="1671"/>
      <c r="AO51" s="1671"/>
      <c r="AP51" s="1671"/>
    </row>
    <row r="52" spans="1:43" ht="17.100000000000001" customHeight="1">
      <c r="A52" s="1889"/>
      <c r="B52" s="2778"/>
      <c r="C52" s="2779"/>
      <c r="D52" s="2780"/>
      <c r="E52" s="2773"/>
      <c r="F52" s="2780"/>
      <c r="G52" s="2783"/>
      <c r="H52" s="2782"/>
      <c r="I52" s="2783"/>
      <c r="J52" s="2788"/>
      <c r="K52" s="2779"/>
      <c r="L52" s="2789"/>
      <c r="M52" s="2789"/>
      <c r="N52" s="2790"/>
      <c r="O52" s="2780"/>
      <c r="P52" s="2791"/>
      <c r="Q52" s="2786"/>
      <c r="R52" s="1667"/>
      <c r="W52" s="1671"/>
      <c r="X52" s="1671"/>
      <c r="Y52" s="1671"/>
      <c r="Z52" s="1671"/>
      <c r="AF52" s="1568"/>
      <c r="AG52" s="1568"/>
      <c r="AJ52" s="1921"/>
      <c r="AK52" s="1976"/>
      <c r="AL52" s="1671"/>
      <c r="AM52" s="1671"/>
      <c r="AN52" s="1671"/>
      <c r="AO52" s="1671"/>
      <c r="AP52" s="1671"/>
    </row>
    <row r="53" spans="1:43" ht="17.100000000000001" customHeight="1">
      <c r="A53" s="1889"/>
      <c r="B53" s="2792"/>
      <c r="C53" s="2779"/>
      <c r="D53" s="2780"/>
      <c r="E53" s="2793"/>
      <c r="F53" s="2780"/>
      <c r="G53" s="2794"/>
      <c r="H53" s="2782"/>
      <c r="I53" s="2794"/>
      <c r="J53" s="2788"/>
      <c r="K53" s="2779"/>
      <c r="L53" s="2795"/>
      <c r="M53" s="2795"/>
      <c r="N53" s="2790"/>
      <c r="O53" s="2780"/>
      <c r="P53" s="2779"/>
      <c r="Q53" s="2786"/>
      <c r="R53" s="1667"/>
      <c r="W53" s="1671"/>
      <c r="X53" s="1671"/>
      <c r="Y53" s="1671"/>
      <c r="Z53" s="1671"/>
      <c r="AF53" s="1568"/>
      <c r="AG53" s="1568"/>
      <c r="AJ53" s="1921"/>
      <c r="AK53" s="1976"/>
      <c r="AL53" s="1671"/>
      <c r="AM53" s="1671"/>
      <c r="AN53" s="1671"/>
      <c r="AO53" s="1671"/>
      <c r="AP53" s="1671"/>
    </row>
    <row r="54" spans="1:43" ht="17.100000000000001" customHeight="1">
      <c r="A54" s="1889"/>
      <c r="B54" s="2796"/>
      <c r="C54" s="2779"/>
      <c r="D54" s="2780"/>
      <c r="E54" s="2793"/>
      <c r="F54" s="2780"/>
      <c r="G54" s="2794"/>
      <c r="H54" s="2782"/>
      <c r="I54" s="2794"/>
      <c r="J54" s="2788"/>
      <c r="K54" s="2779"/>
      <c r="L54" s="2795"/>
      <c r="M54" s="2795"/>
      <c r="N54" s="2790"/>
      <c r="O54" s="2780"/>
      <c r="P54" s="2779"/>
      <c r="Q54" s="2786"/>
      <c r="R54" s="1667"/>
      <c r="W54" s="1671"/>
      <c r="X54" s="1671"/>
      <c r="Y54" s="1671"/>
      <c r="Z54" s="1671"/>
      <c r="AF54" s="1568"/>
      <c r="AG54" s="1568"/>
      <c r="AJ54" s="1921"/>
      <c r="AK54" s="1976"/>
      <c r="AL54" s="1671"/>
      <c r="AM54" s="1671"/>
      <c r="AN54" s="1671"/>
      <c r="AO54" s="1671"/>
      <c r="AP54" s="1671"/>
    </row>
    <row r="55" spans="1:43" ht="17.100000000000001" customHeight="1">
      <c r="A55" s="1889"/>
      <c r="B55" s="2796"/>
      <c r="C55" s="2779"/>
      <c r="D55" s="2780"/>
      <c r="E55" s="2793"/>
      <c r="F55" s="2780"/>
      <c r="G55" s="2794"/>
      <c r="H55" s="2782"/>
      <c r="I55" s="2794"/>
      <c r="J55" s="2788"/>
      <c r="K55" s="2779"/>
      <c r="L55" s="2795"/>
      <c r="M55" s="2795"/>
      <c r="N55" s="2790"/>
      <c r="O55" s="2780"/>
      <c r="P55" s="2779"/>
      <c r="Q55" s="2786"/>
      <c r="R55" s="1667"/>
      <c r="T55" s="2797"/>
      <c r="W55" s="1671"/>
      <c r="X55" s="1671"/>
      <c r="Y55" s="1671"/>
      <c r="Z55" s="1671"/>
      <c r="AF55" s="1568"/>
      <c r="AG55" s="1568"/>
      <c r="AJ55" s="1921"/>
      <c r="AK55" s="1976"/>
      <c r="AL55" s="1671"/>
      <c r="AM55" s="1671"/>
      <c r="AN55" s="1671"/>
      <c r="AO55" s="1671"/>
      <c r="AP55" s="1671"/>
    </row>
    <row r="56" spans="1:43" ht="17.100000000000001" customHeight="1">
      <c r="A56" s="1889"/>
      <c r="B56" s="2796"/>
      <c r="C56" s="2779"/>
      <c r="D56" s="2780"/>
      <c r="E56" s="2793"/>
      <c r="F56" s="2780"/>
      <c r="G56" s="2794"/>
      <c r="H56" s="2782"/>
      <c r="I56" s="2794"/>
      <c r="J56" s="2788"/>
      <c r="K56" s="2779"/>
      <c r="L56" s="2795"/>
      <c r="M56" s="2795"/>
      <c r="N56" s="2790"/>
      <c r="O56" s="2780"/>
      <c r="P56" s="2779"/>
      <c r="Q56" s="2786"/>
      <c r="R56" s="1667"/>
      <c r="T56" s="2797"/>
      <c r="W56" s="1671"/>
      <c r="X56" s="1671"/>
      <c r="Y56" s="1671"/>
      <c r="Z56" s="1671"/>
      <c r="AF56" s="1568"/>
      <c r="AG56" s="1568"/>
      <c r="AJ56" s="1921"/>
      <c r="AK56" s="1976"/>
      <c r="AL56" s="1671"/>
      <c r="AM56" s="1671"/>
      <c r="AN56" s="1671"/>
      <c r="AO56" s="1671"/>
      <c r="AP56" s="1671"/>
    </row>
    <row r="57" spans="1:43" ht="17.100000000000001" customHeight="1">
      <c r="A57" s="1889"/>
      <c r="B57" s="2796"/>
      <c r="C57" s="2779"/>
      <c r="D57" s="2780"/>
      <c r="E57" s="2793"/>
      <c r="F57" s="2780"/>
      <c r="G57" s="2794"/>
      <c r="H57" s="2782"/>
      <c r="I57" s="2794"/>
      <c r="J57" s="2788"/>
      <c r="K57" s="2779"/>
      <c r="L57" s="2795"/>
      <c r="M57" s="2795"/>
      <c r="N57" s="2790"/>
      <c r="O57" s="2780"/>
      <c r="P57" s="2779"/>
      <c r="Q57" s="2786"/>
      <c r="R57" s="1667"/>
      <c r="T57" s="2797"/>
      <c r="W57" s="1671"/>
      <c r="X57" s="1671"/>
      <c r="Y57" s="1671"/>
      <c r="Z57" s="1671"/>
      <c r="AF57" s="1568"/>
      <c r="AG57" s="1568"/>
      <c r="AJ57" s="1921"/>
      <c r="AK57" s="1976"/>
      <c r="AL57" s="1671"/>
      <c r="AM57" s="1671"/>
      <c r="AN57" s="1671"/>
      <c r="AO57" s="1671"/>
      <c r="AP57" s="1671"/>
    </row>
    <row r="58" spans="1:43" ht="17.100000000000001" customHeight="1">
      <c r="A58" s="1889"/>
      <c r="B58" s="2796"/>
      <c r="C58" s="2779"/>
      <c r="D58" s="2780"/>
      <c r="E58" s="2793"/>
      <c r="F58" s="2780"/>
      <c r="G58" s="2794"/>
      <c r="H58" s="2782"/>
      <c r="I58" s="2794"/>
      <c r="J58" s="2788"/>
      <c r="K58" s="2779"/>
      <c r="L58" s="2795"/>
      <c r="M58" s="2795"/>
      <c r="N58" s="2790"/>
      <c r="O58" s="2780"/>
      <c r="P58" s="2779"/>
      <c r="Q58" s="2786"/>
      <c r="R58" s="1667"/>
      <c r="T58" s="2797"/>
      <c r="W58" s="1671"/>
      <c r="X58" s="1671"/>
      <c r="Y58" s="1671"/>
      <c r="Z58" s="1671"/>
      <c r="AF58" s="1568"/>
      <c r="AG58" s="1568"/>
      <c r="AJ58" s="1921"/>
      <c r="AK58" s="1976"/>
      <c r="AL58" s="1671"/>
      <c r="AM58" s="1671"/>
      <c r="AN58" s="1671"/>
      <c r="AO58" s="1671"/>
      <c r="AP58" s="1671"/>
    </row>
    <row r="59" spans="1:43" ht="17.100000000000001" customHeight="1">
      <c r="A59" s="1889"/>
      <c r="B59" s="2796"/>
      <c r="C59" s="2779"/>
      <c r="D59" s="2780"/>
      <c r="E59" s="2793"/>
      <c r="F59" s="2780"/>
      <c r="G59" s="2794"/>
      <c r="H59" s="2782"/>
      <c r="I59" s="2794"/>
      <c r="J59" s="2788"/>
      <c r="K59" s="2779"/>
      <c r="L59" s="2795"/>
      <c r="M59" s="2795"/>
      <c r="N59" s="2790"/>
      <c r="O59" s="2780"/>
      <c r="P59" s="2779"/>
      <c r="Q59" s="2786"/>
      <c r="R59" s="1667"/>
      <c r="T59" s="2797"/>
      <c r="W59" s="1671"/>
      <c r="X59" s="1671"/>
      <c r="Y59" s="1671"/>
      <c r="Z59" s="1671"/>
      <c r="AF59" s="1568"/>
      <c r="AG59" s="1568"/>
      <c r="AJ59" s="1921"/>
      <c r="AK59" s="1976"/>
      <c r="AL59" s="1671"/>
      <c r="AM59" s="1671"/>
      <c r="AN59" s="1671"/>
      <c r="AO59" s="1671"/>
      <c r="AP59" s="1671"/>
    </row>
    <row r="60" spans="1:43" ht="17.100000000000001" customHeight="1">
      <c r="A60" s="1889"/>
      <c r="B60" s="2796"/>
      <c r="C60" s="2779"/>
      <c r="D60" s="2780"/>
      <c r="E60" s="2793"/>
      <c r="F60" s="2780"/>
      <c r="G60" s="2794"/>
      <c r="H60" s="2782"/>
      <c r="I60" s="2794"/>
      <c r="J60" s="2788"/>
      <c r="K60" s="2779"/>
      <c r="L60" s="2795"/>
      <c r="M60" s="2795"/>
      <c r="N60" s="2790"/>
      <c r="O60" s="2780"/>
      <c r="P60" s="2779"/>
      <c r="Q60" s="2786"/>
      <c r="R60" s="1667"/>
      <c r="T60" s="2797"/>
      <c r="W60" s="1671"/>
      <c r="X60" s="1671"/>
      <c r="Y60" s="1671"/>
      <c r="Z60" s="1671"/>
      <c r="AF60" s="1568"/>
      <c r="AG60" s="1568"/>
      <c r="AJ60" s="1921"/>
      <c r="AK60" s="1976"/>
      <c r="AL60" s="1671"/>
      <c r="AM60" s="1671"/>
      <c r="AN60" s="1671"/>
      <c r="AO60" s="1671"/>
      <c r="AP60" s="1671"/>
    </row>
    <row r="61" spans="1:43" ht="17.100000000000001" customHeight="1">
      <c r="A61" s="1889"/>
      <c r="B61" s="2796"/>
      <c r="C61" s="2788"/>
      <c r="D61" s="2780"/>
      <c r="E61" s="2780"/>
      <c r="F61" s="2780"/>
      <c r="G61" s="2792"/>
      <c r="H61" s="2788"/>
      <c r="I61" s="2792"/>
      <c r="J61" s="2788"/>
      <c r="K61" s="2788"/>
      <c r="L61" s="2795"/>
      <c r="M61" s="2795"/>
      <c r="N61" s="2780"/>
      <c r="O61" s="2780"/>
      <c r="P61" s="2788"/>
      <c r="Q61" s="2786"/>
      <c r="T61" s="2797"/>
      <c r="W61" s="1671"/>
      <c r="X61" s="1671"/>
      <c r="Y61" s="1671"/>
      <c r="Z61" s="1671"/>
      <c r="AF61" s="1568"/>
      <c r="AG61" s="1568"/>
      <c r="AJ61" s="1921"/>
      <c r="AK61" s="1976"/>
      <c r="AL61" s="1671"/>
      <c r="AM61" s="1671"/>
      <c r="AN61" s="1671"/>
      <c r="AO61" s="1671"/>
      <c r="AP61" s="1671"/>
    </row>
    <row r="62" spans="1:43" ht="17.100000000000001" customHeight="1">
      <c r="A62" s="1889"/>
      <c r="B62" s="2796"/>
      <c r="C62" s="2788"/>
      <c r="D62" s="2780"/>
      <c r="E62" s="2780"/>
      <c r="F62" s="2780"/>
      <c r="G62" s="2792"/>
      <c r="H62" s="2788"/>
      <c r="I62" s="2792"/>
      <c r="J62" s="2788"/>
      <c r="K62" s="2788"/>
      <c r="L62" s="2795"/>
      <c r="M62" s="2795"/>
      <c r="N62" s="2780"/>
      <c r="O62" s="2780"/>
      <c r="P62" s="2788"/>
      <c r="Q62" s="2786"/>
      <c r="T62" s="2797"/>
      <c r="W62" s="1671"/>
      <c r="X62" s="1671"/>
      <c r="Y62" s="1671"/>
      <c r="Z62" s="1671"/>
      <c r="AF62" s="1568"/>
      <c r="AG62" s="1568"/>
      <c r="AJ62" s="1921"/>
      <c r="AK62" s="1976"/>
      <c r="AL62" s="1671"/>
      <c r="AM62" s="1671"/>
      <c r="AN62" s="1671"/>
      <c r="AO62" s="1671"/>
      <c r="AP62" s="1671"/>
    </row>
    <row r="63" spans="1:43" ht="17.100000000000001" customHeight="1">
      <c r="A63" s="1889"/>
      <c r="B63" s="2798"/>
      <c r="C63" s="2799"/>
      <c r="D63" s="2800"/>
      <c r="E63" s="2800"/>
      <c r="F63" s="2800"/>
      <c r="G63" s="2801"/>
      <c r="H63" s="2799"/>
      <c r="I63" s="2801"/>
      <c r="J63" s="2799"/>
      <c r="K63" s="2799"/>
      <c r="L63" s="2802"/>
      <c r="M63" s="2802"/>
      <c r="N63" s="2800"/>
      <c r="O63" s="2800"/>
      <c r="P63" s="2799"/>
      <c r="Q63" s="1901"/>
      <c r="W63" s="2803"/>
      <c r="X63" s="2803"/>
      <c r="AA63" s="2804"/>
      <c r="AC63" s="1908"/>
      <c r="AM63" s="2803"/>
      <c r="AN63" s="2803"/>
      <c r="AQ63" s="2804"/>
    </row>
    <row r="64" spans="1:43" ht="17.100000000000001" customHeight="1">
      <c r="A64" s="1889"/>
      <c r="B64" s="1927"/>
      <c r="C64" s="1921"/>
      <c r="D64" s="1921"/>
      <c r="E64" s="1921"/>
      <c r="F64" s="1921"/>
      <c r="G64" s="1927"/>
      <c r="H64" s="1921"/>
      <c r="I64" s="1927"/>
      <c r="J64" s="1921"/>
      <c r="K64" s="1921"/>
      <c r="L64" s="2805"/>
      <c r="M64" s="2805"/>
      <c r="N64" s="1921"/>
      <c r="O64" s="1921"/>
      <c r="P64" s="1921"/>
      <c r="Q64" s="1901"/>
      <c r="W64" s="2803"/>
      <c r="X64" s="2803"/>
      <c r="AA64" s="2804"/>
      <c r="AC64" s="1908"/>
      <c r="AM64" s="2803"/>
      <c r="AN64" s="2803"/>
      <c r="AQ64" s="2804"/>
    </row>
    <row r="65" spans="1:43" ht="17.100000000000001" customHeight="1">
      <c r="A65" s="1889"/>
      <c r="B65" s="1927"/>
      <c r="C65" s="1921"/>
      <c r="D65" s="1921"/>
      <c r="E65" s="1921"/>
      <c r="F65" s="1921"/>
      <c r="G65" s="1927"/>
      <c r="H65" s="1921"/>
      <c r="I65" s="1927"/>
      <c r="J65" s="1921"/>
      <c r="K65" s="1921"/>
      <c r="L65" s="2805"/>
      <c r="M65" s="2805"/>
      <c r="N65" s="1921"/>
      <c r="O65" s="1921"/>
      <c r="P65" s="1921"/>
      <c r="Q65" s="1901"/>
      <c r="W65" s="2803"/>
      <c r="X65" s="2803"/>
      <c r="AA65" s="2804"/>
      <c r="AC65" s="1908"/>
      <c r="AM65" s="2803"/>
      <c r="AN65" s="2803"/>
      <c r="AQ65" s="2804"/>
    </row>
    <row r="66" spans="1:43" ht="17.100000000000001" customHeight="1">
      <c r="A66" s="1914"/>
      <c r="B66" s="1669"/>
      <c r="C66" s="1669"/>
      <c r="D66" s="1669"/>
      <c r="E66" s="1669"/>
      <c r="F66" s="1669"/>
      <c r="G66" s="1540"/>
      <c r="H66" s="1669"/>
      <c r="I66" s="1540"/>
      <c r="J66" s="1669"/>
      <c r="K66" s="1669"/>
      <c r="L66" s="1669"/>
      <c r="M66" s="1669"/>
      <c r="N66" s="1669"/>
      <c r="O66" s="1669"/>
      <c r="P66" s="1669"/>
      <c r="Q66" s="1915"/>
    </row>
    <row r="69" spans="1:43" ht="17.100000000000001" customHeight="1">
      <c r="A69" s="1885"/>
      <c r="B69" s="1886"/>
      <c r="C69" s="1886"/>
      <c r="D69" s="1886"/>
      <c r="E69" s="1886"/>
      <c r="F69" s="1886"/>
      <c r="G69" s="1886"/>
      <c r="H69" s="1886"/>
      <c r="I69" s="1886"/>
      <c r="J69" s="1887" t="s">
        <v>206</v>
      </c>
      <c r="K69" s="1574">
        <f>'Cu_Multi Consol'!J66</f>
        <v>0</v>
      </c>
      <c r="L69" s="1573"/>
      <c r="M69" s="1918"/>
      <c r="N69" s="1918"/>
      <c r="O69" s="1918"/>
      <c r="P69" s="1918"/>
      <c r="Q69" s="1919"/>
      <c r="U69" s="1888"/>
      <c r="AK69" s="1888"/>
    </row>
    <row r="70" spans="1:43" ht="17.100000000000001" customHeight="1">
      <c r="A70" s="1889"/>
      <c r="J70" s="1890" t="s">
        <v>82</v>
      </c>
      <c r="K70" s="1571">
        <f>'Cu_Multi Consol'!J67</f>
        <v>0</v>
      </c>
      <c r="L70" s="1572"/>
      <c r="M70" s="1923"/>
      <c r="N70" s="1923"/>
      <c r="O70" s="1923"/>
      <c r="P70" s="1923"/>
      <c r="Q70" s="1930"/>
      <c r="U70" s="1888"/>
      <c r="AK70" s="1888"/>
    </row>
    <row r="71" spans="1:43" ht="17.100000000000001" customHeight="1">
      <c r="A71" s="1889"/>
      <c r="J71" s="1890" t="s">
        <v>77</v>
      </c>
      <c r="K71" s="1572">
        <f>'Cu_Multi Consol'!J68</f>
        <v>0</v>
      </c>
      <c r="L71" s="1572"/>
      <c r="M71" s="1923"/>
      <c r="N71" s="1923"/>
      <c r="O71" s="1890" t="s">
        <v>76</v>
      </c>
      <c r="P71" s="1655">
        <f>'Cu_Multi Consol'!N68</f>
        <v>0</v>
      </c>
      <c r="Q71" s="1930"/>
      <c r="U71" s="1892"/>
      <c r="AA71" s="1893"/>
      <c r="AK71" s="1892"/>
      <c r="AQ71" s="1893"/>
    </row>
    <row r="72" spans="1:43" ht="17.100000000000001" customHeight="1">
      <c r="A72" s="1889"/>
      <c r="J72" s="1894" t="s">
        <v>75</v>
      </c>
      <c r="K72" s="1569">
        <f>'Cu_Multi Consol'!J69</f>
        <v>0</v>
      </c>
      <c r="L72" s="1569"/>
      <c r="M72" s="1938"/>
      <c r="N72" s="1938"/>
      <c r="O72" s="1894" t="s">
        <v>74</v>
      </c>
      <c r="P72" s="1569">
        <f>'Cu_Multi Consol'!N69</f>
        <v>0</v>
      </c>
      <c r="Q72" s="1981"/>
      <c r="U72" s="1892"/>
      <c r="AA72" s="1892"/>
      <c r="AK72" s="1892"/>
      <c r="AQ72" s="1892"/>
    </row>
    <row r="73" spans="1:43" ht="17.100000000000001" customHeight="1">
      <c r="A73" s="1885"/>
      <c r="B73" s="1899"/>
      <c r="C73" s="1899"/>
      <c r="D73" s="1899"/>
      <c r="E73" s="1899"/>
      <c r="F73" s="1899"/>
      <c r="G73" s="1899"/>
      <c r="H73" s="1899"/>
      <c r="I73" s="1899"/>
      <c r="J73" s="1899"/>
      <c r="K73" s="1899"/>
      <c r="L73" s="1899"/>
      <c r="M73" s="1899"/>
      <c r="N73" s="1899"/>
      <c r="O73" s="1899"/>
      <c r="P73" s="1899"/>
      <c r="Q73" s="2759"/>
      <c r="U73" s="1568"/>
      <c r="V73" s="1568"/>
      <c r="W73" s="1568"/>
      <c r="X73" s="1568"/>
      <c r="Y73" s="1568"/>
      <c r="Z73" s="1568"/>
      <c r="AA73" s="1568"/>
      <c r="AC73" s="1568"/>
      <c r="AD73" s="1568"/>
      <c r="AE73" s="1568"/>
      <c r="AF73" s="1568"/>
      <c r="AG73" s="1568"/>
      <c r="AH73" s="1568"/>
      <c r="AI73" s="1568"/>
      <c r="AJ73" s="1568"/>
      <c r="AK73" s="1568"/>
      <c r="AL73" s="1568"/>
      <c r="AM73" s="1568"/>
      <c r="AN73" s="1568"/>
      <c r="AO73" s="1568"/>
      <c r="AP73" s="1568"/>
      <c r="AQ73" s="1568"/>
    </row>
    <row r="74" spans="1:43" ht="17.100000000000001" customHeight="1">
      <c r="A74" s="1889"/>
      <c r="B74" s="1903" t="s">
        <v>945</v>
      </c>
      <c r="C74" s="1672"/>
      <c r="D74" s="1672"/>
      <c r="E74" s="1672"/>
      <c r="F74" s="1672"/>
      <c r="G74" s="1672"/>
      <c r="H74" s="1903"/>
      <c r="I74" s="1903"/>
      <c r="J74" s="1672"/>
      <c r="K74" s="1672"/>
      <c r="L74" s="1672"/>
      <c r="M74" s="1672"/>
      <c r="N74" s="1672"/>
      <c r="O74" s="1672"/>
      <c r="P74" s="1672"/>
      <c r="Q74" s="2760"/>
      <c r="S74" s="1905"/>
      <c r="U74" s="1672"/>
      <c r="V74" s="1672"/>
      <c r="W74" s="1672"/>
      <c r="X74" s="1672"/>
      <c r="Y74" s="1672"/>
      <c r="Z74" s="1672"/>
      <c r="AA74" s="1672"/>
      <c r="AC74" s="1903"/>
      <c r="AD74" s="1672"/>
      <c r="AE74" s="1672"/>
      <c r="AF74" s="1672"/>
      <c r="AG74" s="1672"/>
      <c r="AH74" s="1903"/>
      <c r="AI74" s="1903"/>
      <c r="AJ74" s="1672"/>
      <c r="AK74" s="1672"/>
      <c r="AL74" s="1672"/>
      <c r="AM74" s="1672"/>
      <c r="AN74" s="1672"/>
      <c r="AO74" s="1672"/>
      <c r="AP74" s="1672"/>
      <c r="AQ74" s="1672"/>
    </row>
    <row r="75" spans="1:43" ht="17.100000000000001" customHeight="1">
      <c r="A75" s="1889"/>
      <c r="B75" s="1907"/>
      <c r="C75" s="1672"/>
      <c r="D75" s="1672"/>
      <c r="E75" s="1672"/>
      <c r="F75" s="1672"/>
      <c r="G75" s="1672"/>
      <c r="H75" s="1672"/>
      <c r="I75" s="1672"/>
      <c r="J75" s="1672"/>
      <c r="K75" s="1672"/>
      <c r="L75" s="1672"/>
      <c r="M75" s="1672"/>
      <c r="N75" s="1672"/>
      <c r="O75" s="1672"/>
      <c r="P75" s="1672"/>
      <c r="Q75" s="2760"/>
      <c r="S75" s="2761" t="s">
        <v>1002</v>
      </c>
      <c r="T75" s="2762">
        <f>('Cu_Multi Consol'!I102/'CU_Multi Saturasi'!F99)*100</f>
        <v>2.0071184937526425</v>
      </c>
      <c r="U75" s="1672"/>
      <c r="V75" s="1672"/>
      <c r="W75" s="1672"/>
      <c r="X75" s="1672"/>
      <c r="Y75" s="1672"/>
      <c r="Z75" s="1672"/>
      <c r="AA75" s="1672"/>
      <c r="AC75" s="1907"/>
      <c r="AD75" s="1672"/>
      <c r="AE75" s="1672"/>
      <c r="AF75" s="1672"/>
      <c r="AG75" s="1672"/>
      <c r="AH75" s="1672"/>
      <c r="AI75" s="1672"/>
      <c r="AJ75" s="1672"/>
      <c r="AK75" s="1672"/>
      <c r="AL75" s="1672"/>
      <c r="AM75" s="1672"/>
      <c r="AN75" s="1672"/>
      <c r="AO75" s="1672"/>
      <c r="AP75" s="1672"/>
      <c r="AQ75" s="1672"/>
    </row>
    <row r="76" spans="1:43" ht="17.100000000000001" customHeight="1">
      <c r="A76" s="1889"/>
      <c r="C76" s="1661" t="s">
        <v>208</v>
      </c>
      <c r="D76" s="1661" t="s">
        <v>27</v>
      </c>
      <c r="E76" s="1568" t="str">
        <f>'Cu_Multi Consol'!D73</f>
        <v>Morowali Utara</v>
      </c>
      <c r="F76" s="1892"/>
      <c r="L76" s="1661" t="s">
        <v>944</v>
      </c>
      <c r="N76" s="1568" t="s">
        <v>27</v>
      </c>
      <c r="O76" s="1568" t="str">
        <f>'Cu_Multi Consol'!M73</f>
        <v>Undisturbed Sample / UDS</v>
      </c>
      <c r="Q76" s="1901"/>
      <c r="S76" s="2761" t="s">
        <v>1001</v>
      </c>
      <c r="T76" s="2762">
        <f>T75*(1/3)</f>
        <v>0.66903949791754747</v>
      </c>
      <c r="Z76" s="1892"/>
      <c r="AP76" s="1892"/>
    </row>
    <row r="77" spans="1:43" ht="17.100000000000001" customHeight="1">
      <c r="A77" s="1889"/>
      <c r="C77" s="1661" t="s">
        <v>1000</v>
      </c>
      <c r="D77" s="1661" t="s">
        <v>27</v>
      </c>
      <c r="E77" s="1568" t="str">
        <f>'Cu_Multi Consol'!D74</f>
        <v>BH-05_UDS-01</v>
      </c>
      <c r="F77" s="1892"/>
      <c r="G77" s="1892"/>
      <c r="L77" s="1661" t="s">
        <v>942</v>
      </c>
      <c r="N77" s="1568" t="s">
        <v>27</v>
      </c>
      <c r="O77" s="1568" t="str">
        <f>'Cu_Multi Consol'!M74</f>
        <v>silty CLAY with sand</v>
      </c>
      <c r="Q77" s="1901"/>
      <c r="S77" s="2761" t="s">
        <v>999</v>
      </c>
      <c r="T77" s="2762">
        <f>T75*(2/3)</f>
        <v>1.3380789958350949</v>
      </c>
      <c r="AB77" s="1672"/>
      <c r="AC77" s="1672"/>
      <c r="AG77" s="1892"/>
    </row>
    <row r="78" spans="1:43" ht="17.100000000000001" customHeight="1">
      <c r="A78" s="1889"/>
      <c r="C78" s="1661" t="s">
        <v>210</v>
      </c>
      <c r="D78" s="1661" t="s">
        <v>27</v>
      </c>
      <c r="E78" s="1568" t="str">
        <f>'Cu_Multi Consol'!D75</f>
        <v>0,00-0,50</v>
      </c>
      <c r="F78" s="1892"/>
      <c r="G78" s="1892" t="s">
        <v>68</v>
      </c>
      <c r="L78" s="1568" t="s">
        <v>941</v>
      </c>
      <c r="N78" s="1568" t="s">
        <v>27</v>
      </c>
      <c r="O78" s="1568">
        <f>'Cu_Multi Consol'!M75</f>
        <v>0</v>
      </c>
      <c r="Q78" s="1901"/>
      <c r="S78" s="1661"/>
      <c r="T78" s="1661"/>
      <c r="V78" s="1650"/>
      <c r="W78" s="1672"/>
      <c r="X78" s="1672"/>
      <c r="Y78" s="1672"/>
      <c r="AB78" s="1921"/>
      <c r="AC78" s="1921"/>
      <c r="AD78" s="1921"/>
      <c r="AG78" s="1892"/>
      <c r="AL78" s="1568"/>
      <c r="AM78" s="1568"/>
      <c r="AN78" s="1568"/>
    </row>
    <row r="79" spans="1:43" ht="17.100000000000001" customHeight="1">
      <c r="A79" s="1889"/>
      <c r="O79" s="1672"/>
      <c r="P79" s="1672"/>
      <c r="Q79" s="1901"/>
      <c r="S79" s="1661"/>
      <c r="T79" s="1661"/>
      <c r="U79" s="1921"/>
      <c r="V79" s="1935"/>
      <c r="Y79" s="1926"/>
      <c r="AB79" s="1905"/>
      <c r="AC79" s="1905"/>
      <c r="AD79" s="1903"/>
      <c r="AE79" s="1672"/>
      <c r="AM79" s="1672"/>
      <c r="AN79" s="1672"/>
    </row>
    <row r="80" spans="1:43" ht="17.100000000000001" customHeight="1">
      <c r="A80" s="1889"/>
      <c r="C80" s="1661" t="s">
        <v>965</v>
      </c>
      <c r="F80" s="1661" t="s">
        <v>27</v>
      </c>
      <c r="G80" s="1650">
        <f>'Cu_Multi Consol'!F79</f>
        <v>100</v>
      </c>
      <c r="H80" s="1661" t="s">
        <v>908</v>
      </c>
      <c r="L80" s="1661" t="s">
        <v>998</v>
      </c>
      <c r="N80" s="1661" t="s">
        <v>27</v>
      </c>
      <c r="O80" s="2807">
        <f>'CU_Multi Saturasi'!F98*(1-('Cu_Multi Shear'!T77/100))</f>
        <v>1184.328754163703</v>
      </c>
      <c r="P80" s="1568" t="s">
        <v>721</v>
      </c>
      <c r="Q80" s="1901"/>
      <c r="U80" s="1921"/>
      <c r="V80" s="1654"/>
      <c r="Y80" s="1926"/>
      <c r="Z80" s="1673"/>
      <c r="AB80" s="1892"/>
      <c r="AC80" s="1892"/>
      <c r="AD80" s="1933"/>
      <c r="AE80" s="1935"/>
      <c r="AM80" s="1672"/>
      <c r="AN80" s="1672"/>
    </row>
    <row r="81" spans="1:40" ht="17.100000000000001" customHeight="1">
      <c r="A81" s="1889"/>
      <c r="C81" s="1661" t="s">
        <v>915</v>
      </c>
      <c r="F81" s="1661" t="s">
        <v>27</v>
      </c>
      <c r="G81" s="1650">
        <f>'Cu_Multi Consol'!F80</f>
        <v>290</v>
      </c>
      <c r="H81" s="1661" t="s">
        <v>908</v>
      </c>
      <c r="L81" s="1661" t="s">
        <v>997</v>
      </c>
      <c r="N81" s="1661" t="s">
        <v>27</v>
      </c>
      <c r="O81" s="2807">
        <f>'CU_Multi Saturasi'!D96*(1-('Cu_Multi Shear'!T76/100))</f>
        <v>70.087059148556889</v>
      </c>
      <c r="P81" s="1568" t="s">
        <v>2</v>
      </c>
      <c r="Q81" s="1901"/>
      <c r="U81" s="1921"/>
      <c r="V81" s="1673"/>
      <c r="Y81" s="1926"/>
      <c r="Z81" s="1926"/>
      <c r="AD81" s="1892"/>
      <c r="AE81" s="1926"/>
      <c r="AM81" s="1672"/>
      <c r="AN81" s="1672"/>
    </row>
    <row r="82" spans="1:40" ht="17.100000000000001" customHeight="1">
      <c r="A82" s="1889"/>
      <c r="C82" s="1661" t="s">
        <v>914</v>
      </c>
      <c r="F82" s="1661" t="s">
        <v>27</v>
      </c>
      <c r="G82" s="1650">
        <f>'Cu_Multi Consol'!F81</f>
        <v>190</v>
      </c>
      <c r="H82" s="1661" t="s">
        <v>908</v>
      </c>
      <c r="L82" s="1661" t="s">
        <v>996</v>
      </c>
      <c r="N82" s="1661" t="s">
        <v>27</v>
      </c>
      <c r="O82" s="2807">
        <f>'CU_Multi Saturasi'!F99-'Cu_Multi Consol'!I102</f>
        <v>82.998536996765068</v>
      </c>
      <c r="P82" s="1568" t="s">
        <v>615</v>
      </c>
      <c r="Q82" s="1901"/>
      <c r="U82" s="1921"/>
      <c r="V82" s="1654"/>
      <c r="W82" s="1921"/>
      <c r="X82" s="1921"/>
      <c r="Y82" s="1654"/>
      <c r="Z82" s="1650"/>
      <c r="AE82" s="1650"/>
      <c r="AM82" s="1672"/>
      <c r="AN82" s="1672"/>
    </row>
    <row r="83" spans="1:40" ht="17.100000000000001" customHeight="1">
      <c r="A83" s="1889"/>
      <c r="C83" s="1661" t="s">
        <v>973</v>
      </c>
      <c r="F83" s="1661" t="s">
        <v>27</v>
      </c>
      <c r="G83" s="1650">
        <f>'Cu_Multi Consol'!J89</f>
        <v>276</v>
      </c>
      <c r="H83" s="1661" t="s">
        <v>908</v>
      </c>
      <c r="L83" s="1661" t="s">
        <v>995</v>
      </c>
      <c r="N83" s="1661" t="s">
        <v>27</v>
      </c>
      <c r="O83" s="1650"/>
      <c r="P83" s="1672"/>
      <c r="Q83" s="1901"/>
      <c r="S83" s="1661"/>
      <c r="T83" s="1661"/>
      <c r="W83" s="1921"/>
      <c r="X83" s="1921"/>
      <c r="Y83" s="1926"/>
      <c r="Z83" s="1926"/>
      <c r="AD83" s="1673"/>
      <c r="AE83" s="1673"/>
      <c r="AM83" s="1672"/>
      <c r="AN83" s="1672"/>
    </row>
    <row r="84" spans="1:40" ht="17.100000000000001" customHeight="1">
      <c r="A84" s="1889"/>
      <c r="C84" s="1661" t="s">
        <v>963</v>
      </c>
      <c r="F84" s="1661" t="s">
        <v>27</v>
      </c>
      <c r="G84" s="1650">
        <f>G83-G82</f>
        <v>86</v>
      </c>
      <c r="H84" s="1661" t="s">
        <v>908</v>
      </c>
      <c r="L84" s="1661" t="s">
        <v>994</v>
      </c>
      <c r="N84" s="1661" t="s">
        <v>27</v>
      </c>
      <c r="O84" s="2735">
        <f>O17</f>
        <v>1.1830000000000001</v>
      </c>
      <c r="P84" s="1568" t="s">
        <v>595</v>
      </c>
      <c r="Q84" s="1901"/>
      <c r="W84" s="1672"/>
      <c r="X84" s="1672"/>
      <c r="AM84" s="1672"/>
      <c r="AN84" s="1672"/>
    </row>
    <row r="85" spans="1:40" ht="17.100000000000001" customHeight="1">
      <c r="A85" s="1889"/>
      <c r="C85" s="1921" t="str">
        <f>C18</f>
        <v>With</v>
      </c>
      <c r="E85" s="1661" t="str">
        <f>E18</f>
        <v>Side drains</v>
      </c>
      <c r="O85" s="1672"/>
      <c r="Q85" s="1901"/>
      <c r="W85" s="1672"/>
      <c r="X85" s="1672"/>
      <c r="AM85" s="1672"/>
      <c r="AN85" s="1672"/>
    </row>
    <row r="86" spans="1:40" ht="17.100000000000001" customHeight="1">
      <c r="A86" s="1889"/>
      <c r="O86" s="1672"/>
      <c r="Q86" s="1901"/>
      <c r="W86" s="1672"/>
      <c r="X86" s="1672"/>
      <c r="AM86" s="1672"/>
      <c r="AN86" s="1672"/>
    </row>
    <row r="87" spans="1:40" ht="17.100000000000001" customHeight="1">
      <c r="A87" s="1889"/>
      <c r="B87" s="1908" t="s">
        <v>993</v>
      </c>
      <c r="O87" s="1672"/>
      <c r="Q87" s="1901"/>
      <c r="W87" s="1672"/>
      <c r="X87" s="1672"/>
      <c r="AM87" s="1672"/>
      <c r="AN87" s="1672"/>
    </row>
    <row r="88" spans="1:40" ht="17.100000000000001" customHeight="1">
      <c r="A88" s="1889"/>
      <c r="O88" s="1672"/>
      <c r="P88" s="1568"/>
      <c r="Q88" s="2763"/>
      <c r="W88" s="1672"/>
      <c r="X88" s="1672"/>
      <c r="AM88" s="1672"/>
      <c r="AN88" s="1672"/>
    </row>
    <row r="89" spans="1:40" s="1651" customFormat="1" ht="25.5" customHeight="1">
      <c r="A89" s="1944"/>
      <c r="B89" s="4571" t="s">
        <v>992</v>
      </c>
      <c r="C89" s="4571"/>
      <c r="D89" s="1653"/>
      <c r="E89" s="4572" t="s">
        <v>358</v>
      </c>
      <c r="F89" s="1652"/>
      <c r="G89" s="4531" t="s">
        <v>991</v>
      </c>
      <c r="H89" s="4571"/>
      <c r="I89" s="4529" t="s">
        <v>913</v>
      </c>
      <c r="J89" s="4531"/>
      <c r="K89" s="1546" t="s">
        <v>577</v>
      </c>
      <c r="L89" s="4529" t="s">
        <v>990</v>
      </c>
      <c r="M89" s="4530"/>
      <c r="N89" s="4530"/>
      <c r="O89" s="4530"/>
      <c r="P89" s="4531"/>
      <c r="Q89" s="2764"/>
      <c r="S89" s="1948"/>
      <c r="T89" s="1948"/>
      <c r="U89" s="1948"/>
      <c r="V89" s="2765"/>
      <c r="W89" s="1948"/>
      <c r="X89" s="1948"/>
      <c r="Y89" s="1948"/>
      <c r="Z89" s="1948"/>
      <c r="AA89" s="2765"/>
      <c r="AB89" s="2765"/>
      <c r="AC89" s="1947"/>
      <c r="AD89" s="1948"/>
      <c r="AE89" s="2766"/>
      <c r="AM89" s="1948"/>
      <c r="AN89" s="1948"/>
    </row>
    <row r="90" spans="1:40" s="1651" customFormat="1" ht="25.5" customHeight="1">
      <c r="A90" s="1944"/>
      <c r="B90" s="1546" t="s">
        <v>6</v>
      </c>
      <c r="C90" s="1546" t="s">
        <v>989</v>
      </c>
      <c r="E90" s="4573"/>
      <c r="F90" s="1649"/>
      <c r="G90" s="1648" t="s">
        <v>6</v>
      </c>
      <c r="H90" s="1546" t="s">
        <v>174</v>
      </c>
      <c r="I90" s="1546" t="s">
        <v>978</v>
      </c>
      <c r="J90" s="1546" t="s">
        <v>988</v>
      </c>
      <c r="K90" s="1647" t="s">
        <v>987</v>
      </c>
      <c r="L90" s="1546" t="s">
        <v>986</v>
      </c>
      <c r="M90" s="1546" t="s">
        <v>985</v>
      </c>
      <c r="N90" s="1646"/>
      <c r="O90" s="1646" t="s">
        <v>984</v>
      </c>
      <c r="P90" s="1546" t="s">
        <v>983</v>
      </c>
      <c r="Q90" s="2764"/>
      <c r="S90" s="1948"/>
      <c r="T90" s="1948"/>
      <c r="U90" s="1948"/>
      <c r="V90" s="2765"/>
      <c r="W90" s="1948"/>
      <c r="X90" s="1948"/>
      <c r="Y90" s="1948"/>
      <c r="Z90" s="2766"/>
      <c r="AA90" s="2767"/>
      <c r="AB90" s="2767"/>
      <c r="AC90" s="2768"/>
      <c r="AD90" s="2765"/>
      <c r="AE90" s="2767"/>
      <c r="AM90" s="1948"/>
      <c r="AN90" s="1948"/>
    </row>
    <row r="91" spans="1:40" ht="17.100000000000001" customHeight="1">
      <c r="A91" s="1889"/>
      <c r="B91" s="2738"/>
      <c r="C91" s="1543" t="s">
        <v>2</v>
      </c>
      <c r="D91" s="1669"/>
      <c r="E91" s="1540" t="s">
        <v>1</v>
      </c>
      <c r="F91" s="1915"/>
      <c r="G91" s="1544" t="s">
        <v>982</v>
      </c>
      <c r="H91" s="1543" t="s">
        <v>120</v>
      </c>
      <c r="I91" s="1543" t="s">
        <v>908</v>
      </c>
      <c r="J91" s="1543"/>
      <c r="K91" s="1543" t="s">
        <v>908</v>
      </c>
      <c r="L91" s="1543" t="s">
        <v>908</v>
      </c>
      <c r="M91" s="1543" t="s">
        <v>908</v>
      </c>
      <c r="N91" s="1540"/>
      <c r="O91" s="1540" t="s">
        <v>908</v>
      </c>
      <c r="P91" s="2769"/>
      <c r="Q91" s="2763"/>
      <c r="S91" s="1672"/>
      <c r="T91" s="1672"/>
      <c r="U91" s="1672"/>
      <c r="V91" s="1933"/>
      <c r="W91" s="1672"/>
      <c r="X91" s="1672"/>
      <c r="Y91" s="1672"/>
      <c r="Z91" s="1672"/>
      <c r="AA91" s="1650"/>
      <c r="AB91" s="1650"/>
      <c r="AC91" s="1568"/>
      <c r="AD91" s="1672"/>
      <c r="AE91" s="1672"/>
      <c r="AM91" s="1672"/>
      <c r="AN91" s="1672"/>
    </row>
    <row r="92" spans="1:40" ht="17.100000000000001" customHeight="1">
      <c r="A92" s="1889"/>
      <c r="B92" s="1645">
        <f>MAX(B25:B63)-20</f>
        <v>500</v>
      </c>
      <c r="C92" s="1659">
        <f t="shared" ref="C92:C117" si="10">(B92-$B$25)/100</f>
        <v>5</v>
      </c>
      <c r="D92" s="1639"/>
      <c r="E92" s="1643">
        <f>(C92/$O$14)*100</f>
        <v>6.6173342123482399</v>
      </c>
      <c r="F92" s="1642"/>
      <c r="G92" s="1658">
        <v>0</v>
      </c>
      <c r="H92" s="1641">
        <v>0</v>
      </c>
      <c r="I92" s="1641">
        <v>190</v>
      </c>
      <c r="J92" s="1638">
        <v>0</v>
      </c>
      <c r="K92" s="1638">
        <v>0</v>
      </c>
      <c r="L92" s="1640">
        <f t="shared" ref="L92:L117" si="11">$G$81+K92</f>
        <v>290</v>
      </c>
      <c r="M92" s="1640">
        <f t="shared" ref="M92:M117" si="12">L92-I92</f>
        <v>100</v>
      </c>
      <c r="N92" s="1639"/>
      <c r="O92" s="1639">
        <f t="shared" ref="O92:O117" si="13">$G$81-I92</f>
        <v>100</v>
      </c>
      <c r="P92" s="1638">
        <f t="shared" ref="P92:P117" si="14">M92/O92</f>
        <v>1</v>
      </c>
      <c r="Q92" s="2763"/>
      <c r="T92" s="1672"/>
      <c r="U92" s="1672"/>
      <c r="V92" s="1650"/>
      <c r="W92" s="1976"/>
      <c r="X92" s="2777"/>
      <c r="Y92" s="1907"/>
      <c r="Z92" s="1907"/>
      <c r="AA92" s="1650"/>
      <c r="AB92" s="1654"/>
      <c r="AC92" s="1568"/>
      <c r="AD92" s="1671"/>
      <c r="AE92" s="1671"/>
      <c r="AM92" s="1672"/>
      <c r="AN92" s="1672"/>
    </row>
    <row r="93" spans="1:40" ht="17.100000000000001" customHeight="1">
      <c r="A93" s="1889"/>
      <c r="B93" s="1636">
        <f t="shared" ref="B93:B117" si="15">B92+20</f>
        <v>520</v>
      </c>
      <c r="C93" s="1634">
        <f t="shared" si="10"/>
        <v>5.2</v>
      </c>
      <c r="D93" s="1626"/>
      <c r="E93" s="1633">
        <f t="shared" ref="E93:E117" si="16">E92+(C93-C92)/$O$81*100</f>
        <v>6.9026935959914875</v>
      </c>
      <c r="F93" s="1637"/>
      <c r="G93" s="1657">
        <v>47</v>
      </c>
      <c r="H93" s="1631">
        <f t="shared" ref="H93:H117" si="17">G93*$O$84</f>
        <v>55.600999999999999</v>
      </c>
      <c r="I93" s="1635">
        <v>191</v>
      </c>
      <c r="J93" s="1625">
        <f t="shared" ref="J93:J117" si="18">I93-$I$92</f>
        <v>1</v>
      </c>
      <c r="K93" s="1628">
        <f t="shared" ref="K93:K117" si="19">(H93/$O$80)*((1-(E93-$E$92)/100))*1000</f>
        <v>46.813300052188914</v>
      </c>
      <c r="L93" s="1629">
        <f t="shared" si="11"/>
        <v>336.81330005218894</v>
      </c>
      <c r="M93" s="1629">
        <f t="shared" si="12"/>
        <v>145.81330005218894</v>
      </c>
      <c r="N93" s="1626"/>
      <c r="O93" s="1626">
        <f t="shared" si="13"/>
        <v>99</v>
      </c>
      <c r="P93" s="1628">
        <f t="shared" si="14"/>
        <v>1.4728616166887771</v>
      </c>
      <c r="Q93" s="2763"/>
      <c r="R93" s="1667"/>
      <c r="W93" s="1672"/>
      <c r="X93" s="1672"/>
      <c r="AM93" s="1672"/>
      <c r="AN93" s="1672"/>
    </row>
    <row r="94" spans="1:40" ht="17.100000000000001" customHeight="1">
      <c r="A94" s="1889"/>
      <c r="B94" s="1636">
        <f t="shared" si="15"/>
        <v>540</v>
      </c>
      <c r="C94" s="1634">
        <f t="shared" si="10"/>
        <v>5.4</v>
      </c>
      <c r="D94" s="1626"/>
      <c r="E94" s="1633">
        <f t="shared" si="16"/>
        <v>7.188052979634735</v>
      </c>
      <c r="F94" s="1637"/>
      <c r="G94" s="1657">
        <v>60</v>
      </c>
      <c r="H94" s="1631">
        <f t="shared" si="17"/>
        <v>70.98</v>
      </c>
      <c r="I94" s="1635">
        <v>192.5</v>
      </c>
      <c r="J94" s="1625">
        <f t="shared" si="18"/>
        <v>2.5</v>
      </c>
      <c r="K94" s="1628">
        <f t="shared" si="19"/>
        <v>59.590636105779197</v>
      </c>
      <c r="L94" s="1629">
        <f t="shared" si="11"/>
        <v>349.5906361057792</v>
      </c>
      <c r="M94" s="1629">
        <f t="shared" si="12"/>
        <v>157.0906361057792</v>
      </c>
      <c r="N94" s="1626"/>
      <c r="O94" s="1626">
        <f t="shared" si="13"/>
        <v>97.5</v>
      </c>
      <c r="P94" s="1628">
        <f t="shared" si="14"/>
        <v>1.611186011341325</v>
      </c>
      <c r="Q94" s="2763"/>
      <c r="R94" s="1667"/>
      <c r="W94" s="1672"/>
      <c r="X94" s="1672"/>
      <c r="AM94" s="1672"/>
      <c r="AN94" s="1672"/>
    </row>
    <row r="95" spans="1:40" ht="17.100000000000001" customHeight="1">
      <c r="A95" s="1889"/>
      <c r="B95" s="1636">
        <f t="shared" si="15"/>
        <v>560</v>
      </c>
      <c r="C95" s="1634">
        <f t="shared" si="10"/>
        <v>5.6</v>
      </c>
      <c r="D95" s="1626"/>
      <c r="E95" s="1633">
        <f t="shared" si="16"/>
        <v>7.4734123632779808</v>
      </c>
      <c r="F95" s="1637"/>
      <c r="G95" s="1657">
        <v>96</v>
      </c>
      <c r="H95" s="1631">
        <f t="shared" si="17"/>
        <v>113.56800000000001</v>
      </c>
      <c r="I95" s="1635">
        <v>193.9</v>
      </c>
      <c r="J95" s="1625">
        <f t="shared" si="18"/>
        <v>3.9000000000000057</v>
      </c>
      <c r="K95" s="1628">
        <f t="shared" si="19"/>
        <v>95.071380112745842</v>
      </c>
      <c r="L95" s="1629">
        <f t="shared" si="11"/>
        <v>385.07138011274583</v>
      </c>
      <c r="M95" s="1629">
        <f t="shared" si="12"/>
        <v>191.17138011274582</v>
      </c>
      <c r="N95" s="1626"/>
      <c r="O95" s="1626">
        <f t="shared" si="13"/>
        <v>96.1</v>
      </c>
      <c r="P95" s="1628">
        <f t="shared" si="14"/>
        <v>1.9892963591336714</v>
      </c>
      <c r="Q95" s="2763"/>
      <c r="R95" s="1667"/>
      <c r="T95" s="2784"/>
      <c r="W95" s="1672"/>
      <c r="X95" s="1672"/>
      <c r="AM95" s="1672"/>
      <c r="AN95" s="1672"/>
    </row>
    <row r="96" spans="1:40" ht="17.100000000000001" customHeight="1">
      <c r="A96" s="1889"/>
      <c r="B96" s="1636">
        <f t="shared" si="15"/>
        <v>580</v>
      </c>
      <c r="C96" s="1634">
        <f t="shared" si="10"/>
        <v>5.8</v>
      </c>
      <c r="D96" s="1626"/>
      <c r="E96" s="1633">
        <f t="shared" si="16"/>
        <v>7.7587717469212283</v>
      </c>
      <c r="F96" s="1637"/>
      <c r="G96" s="1657">
        <v>134</v>
      </c>
      <c r="H96" s="1631">
        <f t="shared" si="17"/>
        <v>158.52200000000002</v>
      </c>
      <c r="I96" s="1635">
        <v>195.2</v>
      </c>
      <c r="J96" s="1625">
        <f t="shared" si="18"/>
        <v>5.1999999999999886</v>
      </c>
      <c r="K96" s="1628">
        <f t="shared" si="19"/>
        <v>132.32184884517525</v>
      </c>
      <c r="L96" s="1629">
        <f t="shared" si="11"/>
        <v>422.32184884517528</v>
      </c>
      <c r="M96" s="1629">
        <f t="shared" si="12"/>
        <v>227.12184884517529</v>
      </c>
      <c r="N96" s="1626"/>
      <c r="O96" s="1626">
        <f t="shared" si="13"/>
        <v>94.800000000000011</v>
      </c>
      <c r="P96" s="1628">
        <f t="shared" si="14"/>
        <v>2.3958000933035364</v>
      </c>
      <c r="Q96" s="2763"/>
      <c r="R96" s="1667"/>
      <c r="T96" s="1664" t="s">
        <v>573</v>
      </c>
      <c r="U96" s="2785">
        <f>W96</f>
        <v>13.751318803429415</v>
      </c>
      <c r="V96" s="2785"/>
      <c r="W96" s="1943">
        <f>IF($U$97=K93,E93,IF($U$97=K94,E94,IF($U$97=K95,E95,IF($U$97=K96,E96,IF($U$97=K97,E97,IF($U$97=K98,E98,IF($U$97=K99,E99,X96)))))))</f>
        <v>13.751318803429415</v>
      </c>
      <c r="X96" s="1943">
        <f>IF($U$97=K100,E100,IF($U$97=K101,E101,IF($U$97=K102,E102,IF($U$97=K103,E103,IF($U$97=K104,E104,IF($U$97=K105,E105,IF($U$97=K106,E106,Y96)))))))</f>
        <v>13.751318803429415</v>
      </c>
      <c r="Y96" s="1943">
        <f>IF($U$97=K107,E107,IF($U$97=K108,E108,IF($U$97=K109,E109,IF($U$97=K110,E110,IF($U$97=K111,E111,IF($U$97=K112,E112,IF($U$97=K113,E113,Z96)))))))</f>
        <v>13.751318803429415</v>
      </c>
      <c r="Z96" s="1943">
        <f>IF($U$97=K114,E114,IF($U$97=K115,E115,IF($U$97=K116,E116,IF($U$97=K117,E117,IF($U$97=K118,E118,IF($U$97=K119,E119,IF($U$97=K120,E120,AA96)))))))</f>
        <v>13.751318803429415</v>
      </c>
      <c r="AA96" s="1943">
        <f>IF($U$97=K121,E121,IF($U$97=K122,E122,IF($U$97=K123,E123,IF($U$97=K124,E124,IF($U$97=K125,E125,IF($U$97=K126,E126,IF($U$97=K127,E127,AB96)))))))</f>
        <v>0</v>
      </c>
      <c r="AM96" s="1672"/>
      <c r="AN96" s="1672"/>
    </row>
    <row r="97" spans="1:40" ht="17.100000000000001" customHeight="1">
      <c r="A97" s="1889"/>
      <c r="B97" s="1636">
        <f t="shared" si="15"/>
        <v>600</v>
      </c>
      <c r="C97" s="1634">
        <f t="shared" si="10"/>
        <v>6</v>
      </c>
      <c r="D97" s="1626"/>
      <c r="E97" s="1633">
        <f t="shared" si="16"/>
        <v>8.0441311305644749</v>
      </c>
      <c r="F97" s="1637"/>
      <c r="G97" s="1657">
        <v>152</v>
      </c>
      <c r="H97" s="1631">
        <f t="shared" si="17"/>
        <v>179.816</v>
      </c>
      <c r="I97" s="1635">
        <v>198.5</v>
      </c>
      <c r="J97" s="1625">
        <f t="shared" si="18"/>
        <v>8.5</v>
      </c>
      <c r="K97" s="1628">
        <f t="shared" si="19"/>
        <v>149.66316593292811</v>
      </c>
      <c r="L97" s="1629">
        <f t="shared" si="11"/>
        <v>439.66316593292811</v>
      </c>
      <c r="M97" s="1629">
        <f t="shared" si="12"/>
        <v>241.16316593292811</v>
      </c>
      <c r="N97" s="1626"/>
      <c r="O97" s="1626">
        <f t="shared" si="13"/>
        <v>91.5</v>
      </c>
      <c r="P97" s="1628">
        <f t="shared" si="14"/>
        <v>2.6356630156604166</v>
      </c>
      <c r="Q97" s="2763"/>
      <c r="R97" s="1667"/>
      <c r="T97" s="1664" t="s">
        <v>979</v>
      </c>
      <c r="U97" s="2785">
        <f>MAX(K92:K130)</f>
        <v>294.05498415940929</v>
      </c>
      <c r="V97" s="1665"/>
      <c r="W97" s="1976"/>
      <c r="X97" s="1976"/>
      <c r="Y97" s="1665"/>
      <c r="Z97" s="1665"/>
      <c r="AA97" s="1665"/>
      <c r="AM97" s="1672"/>
      <c r="AN97" s="1672"/>
    </row>
    <row r="98" spans="1:40" ht="17.100000000000001" customHeight="1">
      <c r="A98" s="1889"/>
      <c r="B98" s="1636">
        <f t="shared" si="15"/>
        <v>620</v>
      </c>
      <c r="C98" s="1634">
        <f t="shared" si="10"/>
        <v>6.2</v>
      </c>
      <c r="D98" s="1626"/>
      <c r="E98" s="1633">
        <f t="shared" si="16"/>
        <v>8.3294905142077216</v>
      </c>
      <c r="F98" s="1637"/>
      <c r="G98" s="1657">
        <v>171</v>
      </c>
      <c r="H98" s="1631">
        <f t="shared" si="17"/>
        <v>202.29300000000001</v>
      </c>
      <c r="I98" s="1635">
        <v>201.9</v>
      </c>
      <c r="J98" s="1625">
        <f t="shared" si="18"/>
        <v>11.900000000000006</v>
      </c>
      <c r="K98" s="1628">
        <f t="shared" si="19"/>
        <v>167.88364459890192</v>
      </c>
      <c r="L98" s="1629">
        <f t="shared" si="11"/>
        <v>457.88364459890192</v>
      </c>
      <c r="M98" s="1629">
        <f t="shared" si="12"/>
        <v>255.98364459890192</v>
      </c>
      <c r="N98" s="1626"/>
      <c r="O98" s="1626">
        <f t="shared" si="13"/>
        <v>88.1</v>
      </c>
      <c r="P98" s="1628">
        <f t="shared" si="14"/>
        <v>2.9056032304075132</v>
      </c>
      <c r="Q98" s="2763"/>
      <c r="R98" s="1667"/>
      <c r="T98" s="1664" t="s">
        <v>978</v>
      </c>
      <c r="U98" s="1665">
        <f>W98</f>
        <v>221</v>
      </c>
      <c r="V98" s="1665"/>
      <c r="W98" s="1976">
        <f>IF($U$97=K93,I93,IF($U$97=K94,I94,IF($U$97=K95,I95,IF($U$97=K96,I96,IF($U$97=K97,I97,IF($U$97=K98,I98,IF($U$97=K99,I99,X98)))))))</f>
        <v>221</v>
      </c>
      <c r="X98" s="1976">
        <f>IF($U$97=K100,I100,IF($U$97=K101,I101,IF($U$97=K102,I102,IF($U$97=K103,I103,IF($U$97=K104,I104,IF($U$97=K105,I105,IF($U$97=K106,I106,Y98)))))))</f>
        <v>221</v>
      </c>
      <c r="Y98" s="1976">
        <f>IF($U$97=K107,I107,IF($U$97=K108,I108,IF($U$97=K109,I109,IF($U$97=K110,I110,IF($U$97=K111,I111,IF($U$97=K112,I112,IF($U$97=K113,I113,Z98)))))))</f>
        <v>221</v>
      </c>
      <c r="Z98" s="1976">
        <f>IF($U$97=K114,I114,IF($U$97=K115,I115,IF($U$97=K116,I116,IF($U$97=K117,I117,IF($U$97=K118,I118,IF($U$97=K119,I119,IF($U$97=K120,I120,AA98)))))))</f>
        <v>221</v>
      </c>
      <c r="AA98" s="1976">
        <f>IF($U$97=K121,I121,IF($U$97=K122,I122,IF($U$97=K123,I123,IF($U$97=K124,I124,IF($U$97=K125,I125,IF($U$97=K126,I126,IF($U$97=K127,I127,AB98)))))))</f>
        <v>0</v>
      </c>
      <c r="AM98" s="1672"/>
      <c r="AN98" s="1672"/>
    </row>
    <row r="99" spans="1:40" ht="17.100000000000001" customHeight="1">
      <c r="A99" s="1889"/>
      <c r="B99" s="1636">
        <f t="shared" si="15"/>
        <v>640</v>
      </c>
      <c r="C99" s="1634">
        <f t="shared" si="10"/>
        <v>6.4</v>
      </c>
      <c r="D99" s="1626"/>
      <c r="E99" s="1633">
        <f t="shared" si="16"/>
        <v>8.6148498978509682</v>
      </c>
      <c r="F99" s="1637"/>
      <c r="G99" s="1657">
        <v>192</v>
      </c>
      <c r="H99" s="1631">
        <f t="shared" si="17"/>
        <v>227.13600000000002</v>
      </c>
      <c r="I99" s="1635">
        <v>203.9</v>
      </c>
      <c r="J99" s="1625">
        <f t="shared" si="18"/>
        <v>13.900000000000006</v>
      </c>
      <c r="K99" s="1628">
        <f t="shared" si="19"/>
        <v>187.95365897348464</v>
      </c>
      <c r="L99" s="1629">
        <f t="shared" si="11"/>
        <v>477.95365897348461</v>
      </c>
      <c r="M99" s="1629">
        <f t="shared" si="12"/>
        <v>274.05365897348463</v>
      </c>
      <c r="N99" s="1626"/>
      <c r="O99" s="1626">
        <f t="shared" si="13"/>
        <v>86.1</v>
      </c>
      <c r="P99" s="1628">
        <f t="shared" si="14"/>
        <v>3.1829693260567322</v>
      </c>
      <c r="Q99" s="2763"/>
      <c r="R99" s="1667"/>
      <c r="T99" s="1664" t="s">
        <v>977</v>
      </c>
      <c r="U99" s="1665">
        <f>W99</f>
        <v>69</v>
      </c>
      <c r="V99" s="1665"/>
      <c r="W99" s="1976">
        <f>IF($U$97=K93,O93,IF($U$97=K94,O94,IF($U$97=K95,O95,IF($U$97=K96,O96,IF($U$97=K97,O97,IF($U$97=K98,O98,IF($U$97=K99,O99,X99)))))))</f>
        <v>69</v>
      </c>
      <c r="X99" s="1976">
        <f>IF($U$97=K100,O100,IF($U$97=K101,O101,IF($U$97=K102,O102,IF($U$97=K103,O103,IF($U$97=K104,O104,IF($U$97=K105,O105,IF($U$97=K106,O106,Y99)))))))</f>
        <v>69</v>
      </c>
      <c r="Y99" s="1976">
        <f>IF($U$97=K107,O107,IF($U$97=K108,O108,IF($U$97=K109,O109,IF($U$97=K110,O110,IF($U$97=K111,O111,IF($U$97=K112,O112,IF($U$97=K113,O113,Z99)))))))</f>
        <v>69</v>
      </c>
      <c r="Z99" s="1976">
        <f>IF($U$97=K114,O114,IF($U$97=K115,O115,IF($U$97=K116,O116,IF($U$97=K117,O117,IF($U$97=K118,O118,IF($U$97=K119,O119,IF($U$97=K120,O120,AA99)))))))</f>
        <v>69</v>
      </c>
      <c r="AA99" s="1976">
        <f>IF($U$97=K121,O121,IF($U$97=K122,O122,IF($U$97=K123,O123,IF($U$97=K124,O124,IF($U$97=K125,O125,IF($U$97=K126,O126,IF($U$97=K127,O127,AB99)))))))</f>
        <v>0</v>
      </c>
      <c r="AM99" s="1672"/>
      <c r="AN99" s="1672"/>
    </row>
    <row r="100" spans="1:40" ht="17.100000000000001" customHeight="1">
      <c r="A100" s="1889"/>
      <c r="B100" s="1636">
        <f t="shared" si="15"/>
        <v>660</v>
      </c>
      <c r="C100" s="1634">
        <f t="shared" si="10"/>
        <v>6.6</v>
      </c>
      <c r="D100" s="1626"/>
      <c r="E100" s="1633">
        <f t="shared" si="16"/>
        <v>8.9002092814942149</v>
      </c>
      <c r="F100" s="1637"/>
      <c r="G100" s="1657">
        <v>209</v>
      </c>
      <c r="H100" s="1631">
        <f t="shared" si="17"/>
        <v>247.24700000000001</v>
      </c>
      <c r="I100" s="1635">
        <v>205.5</v>
      </c>
      <c r="J100" s="1625">
        <f t="shared" si="18"/>
        <v>15.5</v>
      </c>
      <c r="K100" s="1628">
        <f t="shared" si="19"/>
        <v>203.99965721375477</v>
      </c>
      <c r="L100" s="1629">
        <f t="shared" si="11"/>
        <v>493.99965721375474</v>
      </c>
      <c r="M100" s="1629">
        <f t="shared" si="12"/>
        <v>288.49965721375474</v>
      </c>
      <c r="N100" s="1626"/>
      <c r="O100" s="1626">
        <f t="shared" si="13"/>
        <v>84.5</v>
      </c>
      <c r="P100" s="1628">
        <f t="shared" si="14"/>
        <v>3.4141971267899969</v>
      </c>
      <c r="Q100" s="2763"/>
      <c r="R100" s="1667"/>
      <c r="T100" s="1664" t="s">
        <v>976</v>
      </c>
      <c r="U100" s="1665">
        <f>W100</f>
        <v>363.05498415940929</v>
      </c>
      <c r="V100" s="1665"/>
      <c r="W100" s="1976">
        <f>IF($U$97=K93,M93,IF($U$97=K94,M94,IF($U$97=K95,M95,IF($U$97=K96,M96,IF($U$97=K97,M97,IF($U$97=K98,M98,IF($U$97=K99,M99,X100)))))))</f>
        <v>363.05498415940929</v>
      </c>
      <c r="X100" s="1976">
        <f>IF($U$97=K100,M100,IF($U$97=K101,M101,IF($U$97=K102,M102,IF($U$97=K103,M103,IF($U$97=K104,M104,IF($U$97=K105,M105,IF($U$97=K106,M106,Y100)))))))</f>
        <v>363.05498415940929</v>
      </c>
      <c r="Y100" s="1976">
        <f>IF($U$97=K107,M107,IF($U$97=K108,M108,IF($U$97=K109,M109,IF($U$97=K110,M110,IF($U$97=K111,M111,IF($U$97=K112,M112,IF($U$97=K113,M113,Z100)))))))</f>
        <v>363.05498415940929</v>
      </c>
      <c r="Z100" s="1976">
        <f>IF($U$97=K114,M114,IF($U$97=K115,M115,IF($U$97=K116,M116,IF($U$97=K117,M117,IF($U$97=K118,M118,IF($U$97=K119,M119,IF($U$97=K120,M120,AA100)))))))</f>
        <v>363.05498415940929</v>
      </c>
      <c r="AA100" s="1976">
        <f>IF($U$97=K121,M121,IF($U$97=K122,M122,IF($U$97=K123,M123,IF($U$97=K124,M124,IF($U$97=K125,M125,IF($U$97=K126,M126,IF($U$97=K127,M127,AB100)))))))</f>
        <v>0</v>
      </c>
      <c r="AM100" s="1672"/>
      <c r="AN100" s="1672"/>
    </row>
    <row r="101" spans="1:40" ht="17.100000000000001" customHeight="1">
      <c r="A101" s="1889"/>
      <c r="B101" s="1636">
        <f t="shared" si="15"/>
        <v>680</v>
      </c>
      <c r="C101" s="1634">
        <f t="shared" si="10"/>
        <v>6.8</v>
      </c>
      <c r="D101" s="1626"/>
      <c r="E101" s="1633">
        <f t="shared" si="16"/>
        <v>9.1855686651374615</v>
      </c>
      <c r="F101" s="1637"/>
      <c r="G101" s="1657">
        <v>222</v>
      </c>
      <c r="H101" s="1631">
        <f t="shared" si="17"/>
        <v>262.62600000000003</v>
      </c>
      <c r="I101" s="1635">
        <v>207.4</v>
      </c>
      <c r="J101" s="1625">
        <f t="shared" si="18"/>
        <v>17.400000000000006</v>
      </c>
      <c r="K101" s="1628">
        <f t="shared" si="19"/>
        <v>216.05584402677505</v>
      </c>
      <c r="L101" s="1629">
        <f t="shared" si="11"/>
        <v>506.05584402677505</v>
      </c>
      <c r="M101" s="1629">
        <f t="shared" si="12"/>
        <v>298.65584402677507</v>
      </c>
      <c r="N101" s="1626"/>
      <c r="O101" s="1626">
        <f t="shared" si="13"/>
        <v>82.6</v>
      </c>
      <c r="P101" s="1628">
        <f t="shared" si="14"/>
        <v>3.615688184343524</v>
      </c>
      <c r="Q101" s="2763"/>
      <c r="R101" s="1667"/>
      <c r="T101" s="1664" t="s">
        <v>975</v>
      </c>
      <c r="U101" s="1665">
        <f>W101</f>
        <v>584.05498415940929</v>
      </c>
      <c r="W101" s="1976">
        <f>IF($U$97=K93,L93,IF($U$97=K94,L94,IF($U$97=K95,L95,IF($U$97=K96,L96,IF($U$97=K97,L97,IF($U$97=K98,L98,IF($U$97=K99,L99,X101)))))))</f>
        <v>584.05498415940929</v>
      </c>
      <c r="X101" s="1976">
        <f>IF($U$97=K100,L100,IF($U$97=K101,L101,IF($U$97=K102,L102,IF($U$97=K103,L103,IF($U$97=K104,L104,IF($U$97=K105,L105,IF($U$97=K106,L106,Y101)))))))</f>
        <v>584.05498415940929</v>
      </c>
      <c r="Y101" s="1976">
        <f>IF($U$97=K107,L107,IF($U$97=K108,L108,IF($U$97=K109,L109,IF($U$97=K110,L110,IF($U$97=K111,L111,IF($U$97=K112,L112,IF($U$97=K113,L113,Z101)))))))</f>
        <v>584.05498415940929</v>
      </c>
      <c r="Z101" s="1976">
        <f>IF($U$97=K114,L114,IF($U$97=K115,L115,IF($U$97=K116,L116,IF($U$97=K117,L117,IF($U$97=K118,L118,IF($U$97=K119,L119,IF($U$97=K120,L120,AA101)))))))</f>
        <v>584.05498415940929</v>
      </c>
      <c r="AA101" s="1976">
        <f>IF($U$97=K121,L121,IF($U$97=K122,L122,IF($U$97=K123,L123,IF($U$97=K124,L124,IF($U$97=K125,L125,IF($U$97=K126,L126,IF($U$97=K127,L127,AB101)))))))</f>
        <v>0</v>
      </c>
      <c r="AM101" s="1672"/>
      <c r="AN101" s="1672"/>
    </row>
    <row r="102" spans="1:40" ht="17.100000000000001" customHeight="1">
      <c r="A102" s="1889"/>
      <c r="B102" s="1636">
        <f t="shared" si="15"/>
        <v>700</v>
      </c>
      <c r="C102" s="1634">
        <f t="shared" si="10"/>
        <v>7</v>
      </c>
      <c r="D102" s="1626"/>
      <c r="E102" s="1633">
        <f t="shared" si="16"/>
        <v>9.4709280487807082</v>
      </c>
      <c r="F102" s="1637"/>
      <c r="G102" s="1657">
        <v>235</v>
      </c>
      <c r="H102" s="1631">
        <f t="shared" si="17"/>
        <v>278.005</v>
      </c>
      <c r="I102" s="1635">
        <v>209.1</v>
      </c>
      <c r="J102" s="1625">
        <f t="shared" si="18"/>
        <v>19.099999999999994</v>
      </c>
      <c r="K102" s="1628">
        <f t="shared" si="19"/>
        <v>228.03792064115959</v>
      </c>
      <c r="L102" s="1629">
        <f t="shared" si="11"/>
        <v>518.03792064115964</v>
      </c>
      <c r="M102" s="1629">
        <f t="shared" si="12"/>
        <v>308.93792064115962</v>
      </c>
      <c r="N102" s="1626"/>
      <c r="O102" s="1626">
        <f t="shared" si="13"/>
        <v>80.900000000000006</v>
      </c>
      <c r="P102" s="1628">
        <f t="shared" si="14"/>
        <v>3.8187629251070407</v>
      </c>
      <c r="Q102" s="2763"/>
      <c r="R102" s="1667"/>
      <c r="T102" s="1664" t="s">
        <v>974</v>
      </c>
      <c r="U102" s="2785">
        <f>U101-U97</f>
        <v>290</v>
      </c>
      <c r="W102" s="1672"/>
      <c r="X102" s="1672"/>
      <c r="AM102" s="1672"/>
      <c r="AN102" s="1672"/>
    </row>
    <row r="103" spans="1:40" ht="17.100000000000001" customHeight="1">
      <c r="A103" s="1889"/>
      <c r="B103" s="1636">
        <f t="shared" si="15"/>
        <v>720</v>
      </c>
      <c r="C103" s="1634">
        <f t="shared" si="10"/>
        <v>7.2</v>
      </c>
      <c r="D103" s="1626"/>
      <c r="E103" s="1633">
        <f t="shared" si="16"/>
        <v>9.7562874324239548</v>
      </c>
      <c r="F103" s="1637"/>
      <c r="G103" s="1657">
        <v>238</v>
      </c>
      <c r="H103" s="1631">
        <f t="shared" si="17"/>
        <v>281.55400000000003</v>
      </c>
      <c r="I103" s="1635">
        <v>210.7</v>
      </c>
      <c r="J103" s="1625">
        <f t="shared" si="18"/>
        <v>20.699999999999989</v>
      </c>
      <c r="K103" s="1628">
        <f t="shared" si="19"/>
        <v>230.27064967558161</v>
      </c>
      <c r="L103" s="1629">
        <f t="shared" si="11"/>
        <v>520.27064967558158</v>
      </c>
      <c r="M103" s="1629">
        <f t="shared" si="12"/>
        <v>309.57064967558159</v>
      </c>
      <c r="N103" s="1626"/>
      <c r="O103" s="1626">
        <f t="shared" si="13"/>
        <v>79.300000000000011</v>
      </c>
      <c r="P103" s="1628">
        <f t="shared" si="14"/>
        <v>3.9037912947740421</v>
      </c>
      <c r="Q103" s="2763"/>
      <c r="R103" s="1667"/>
      <c r="W103" s="1672"/>
      <c r="X103" s="1672"/>
      <c r="AM103" s="1672"/>
      <c r="AN103" s="1672"/>
    </row>
    <row r="104" spans="1:40" ht="17.100000000000001" customHeight="1">
      <c r="A104" s="1889"/>
      <c r="B104" s="1636">
        <f t="shared" si="15"/>
        <v>740</v>
      </c>
      <c r="C104" s="1634">
        <f t="shared" si="10"/>
        <v>7.4</v>
      </c>
      <c r="D104" s="1626"/>
      <c r="E104" s="1633">
        <f t="shared" si="16"/>
        <v>10.041646816067201</v>
      </c>
      <c r="F104" s="1637"/>
      <c r="G104" s="1657">
        <v>243</v>
      </c>
      <c r="H104" s="1631">
        <f t="shared" si="17"/>
        <v>287.46899999999999</v>
      </c>
      <c r="I104" s="1635">
        <v>211.5</v>
      </c>
      <c r="J104" s="1625">
        <f t="shared" si="18"/>
        <v>21.5</v>
      </c>
      <c r="K104" s="1628">
        <f t="shared" si="19"/>
        <v>234.41562304822719</v>
      </c>
      <c r="L104" s="1629">
        <f t="shared" si="11"/>
        <v>524.41562304822719</v>
      </c>
      <c r="M104" s="1629">
        <f t="shared" si="12"/>
        <v>312.91562304822719</v>
      </c>
      <c r="N104" s="1626"/>
      <c r="O104" s="1626">
        <f t="shared" si="13"/>
        <v>78.5</v>
      </c>
      <c r="P104" s="1628">
        <f t="shared" si="14"/>
        <v>3.986186280869136</v>
      </c>
      <c r="Q104" s="2763"/>
      <c r="R104" s="1667"/>
      <c r="W104" s="1672"/>
      <c r="X104" s="1672"/>
      <c r="AM104" s="1672"/>
      <c r="AN104" s="1672"/>
    </row>
    <row r="105" spans="1:40" ht="17.100000000000001" customHeight="1">
      <c r="A105" s="1889"/>
      <c r="B105" s="1636">
        <f t="shared" si="15"/>
        <v>760</v>
      </c>
      <c r="C105" s="1634">
        <f t="shared" si="10"/>
        <v>7.6</v>
      </c>
      <c r="D105" s="1626"/>
      <c r="E105" s="1633">
        <f t="shared" si="16"/>
        <v>10.327006199710448</v>
      </c>
      <c r="F105" s="1637"/>
      <c r="G105" s="1657">
        <v>248</v>
      </c>
      <c r="H105" s="1631">
        <f t="shared" si="17"/>
        <v>293.38400000000001</v>
      </c>
      <c r="I105" s="1635">
        <v>211.9</v>
      </c>
      <c r="J105" s="1625">
        <f t="shared" si="18"/>
        <v>21.900000000000006</v>
      </c>
      <c r="K105" s="1628">
        <f t="shared" si="19"/>
        <v>238.53209249832065</v>
      </c>
      <c r="L105" s="1629">
        <f t="shared" si="11"/>
        <v>528.53209249832071</v>
      </c>
      <c r="M105" s="1629">
        <f t="shared" si="12"/>
        <v>316.63209249832073</v>
      </c>
      <c r="N105" s="1626"/>
      <c r="O105" s="1626">
        <f t="shared" si="13"/>
        <v>78.099999999999994</v>
      </c>
      <c r="P105" s="1628">
        <f t="shared" si="14"/>
        <v>4.0541881241782427</v>
      </c>
      <c r="Q105" s="2763"/>
      <c r="R105" s="1667"/>
      <c r="W105" s="1672"/>
      <c r="X105" s="1672"/>
      <c r="AM105" s="1672"/>
      <c r="AN105" s="1672"/>
    </row>
    <row r="106" spans="1:40" ht="17.100000000000001" customHeight="1">
      <c r="A106" s="1889"/>
      <c r="B106" s="1636">
        <f t="shared" si="15"/>
        <v>780</v>
      </c>
      <c r="C106" s="1634">
        <f t="shared" si="10"/>
        <v>7.8</v>
      </c>
      <c r="D106" s="1626"/>
      <c r="E106" s="1633">
        <f t="shared" si="16"/>
        <v>10.612365583353695</v>
      </c>
      <c r="F106" s="1637"/>
      <c r="G106" s="1657">
        <v>255</v>
      </c>
      <c r="H106" s="1631">
        <f t="shared" si="17"/>
        <v>301.66500000000002</v>
      </c>
      <c r="I106" s="1635">
        <v>212.5</v>
      </c>
      <c r="J106" s="1625">
        <f t="shared" si="18"/>
        <v>22.5</v>
      </c>
      <c r="K106" s="1628">
        <f t="shared" si="19"/>
        <v>244.53800314859603</v>
      </c>
      <c r="L106" s="1629">
        <f t="shared" si="11"/>
        <v>534.53800314859609</v>
      </c>
      <c r="M106" s="1629">
        <f t="shared" si="12"/>
        <v>322.03800314859609</v>
      </c>
      <c r="N106" s="1626"/>
      <c r="O106" s="1626">
        <f t="shared" si="13"/>
        <v>77.5</v>
      </c>
      <c r="P106" s="1628">
        <f t="shared" si="14"/>
        <v>4.1553290728851104</v>
      </c>
      <c r="Q106" s="2763"/>
      <c r="R106" s="1667"/>
      <c r="W106" s="1672"/>
      <c r="X106" s="1672"/>
      <c r="AM106" s="1672"/>
      <c r="AN106" s="1672"/>
    </row>
    <row r="107" spans="1:40" ht="17.100000000000001" customHeight="1">
      <c r="A107" s="1889"/>
      <c r="B107" s="1636">
        <f t="shared" si="15"/>
        <v>800</v>
      </c>
      <c r="C107" s="1634">
        <f t="shared" si="10"/>
        <v>8</v>
      </c>
      <c r="D107" s="1626"/>
      <c r="E107" s="1633">
        <f t="shared" si="16"/>
        <v>10.897724966996941</v>
      </c>
      <c r="F107" s="1626"/>
      <c r="G107" s="1635">
        <v>262</v>
      </c>
      <c r="H107" s="1631">
        <f t="shared" si="17"/>
        <v>309.94600000000003</v>
      </c>
      <c r="I107" s="1635">
        <v>213.4</v>
      </c>
      <c r="J107" s="1625">
        <f t="shared" si="18"/>
        <v>23.400000000000006</v>
      </c>
      <c r="K107" s="1628">
        <f t="shared" si="19"/>
        <v>250.50400830729836</v>
      </c>
      <c r="L107" s="1629">
        <f t="shared" si="11"/>
        <v>540.50400830729836</v>
      </c>
      <c r="M107" s="1629">
        <f t="shared" si="12"/>
        <v>327.10400830729839</v>
      </c>
      <c r="N107" s="1626"/>
      <c r="O107" s="1626">
        <f t="shared" si="13"/>
        <v>76.599999999999994</v>
      </c>
      <c r="P107" s="1628">
        <f t="shared" si="14"/>
        <v>4.2702873147166898</v>
      </c>
      <c r="Q107" s="2763"/>
      <c r="R107" s="1667"/>
      <c r="W107" s="1672"/>
      <c r="X107" s="1672"/>
      <c r="AM107" s="1672"/>
      <c r="AN107" s="1672"/>
    </row>
    <row r="108" spans="1:40" ht="17.100000000000001" customHeight="1">
      <c r="A108" s="1889"/>
      <c r="B108" s="1636">
        <f t="shared" si="15"/>
        <v>820</v>
      </c>
      <c r="C108" s="1634">
        <f t="shared" si="10"/>
        <v>8.1999999999999993</v>
      </c>
      <c r="D108" s="1626"/>
      <c r="E108" s="1633">
        <f t="shared" si="16"/>
        <v>11.183084350640188</v>
      </c>
      <c r="F108" s="1626"/>
      <c r="G108" s="1635">
        <v>265</v>
      </c>
      <c r="H108" s="1631">
        <f t="shared" si="17"/>
        <v>313.495</v>
      </c>
      <c r="I108" s="1635">
        <v>214.4</v>
      </c>
      <c r="J108" s="1625">
        <f t="shared" si="18"/>
        <v>24.400000000000006</v>
      </c>
      <c r="K108" s="1628">
        <f t="shared" si="19"/>
        <v>252.61702086700123</v>
      </c>
      <c r="L108" s="1629">
        <f t="shared" si="11"/>
        <v>542.6170208670012</v>
      </c>
      <c r="M108" s="1629">
        <f t="shared" si="12"/>
        <v>328.21702086700122</v>
      </c>
      <c r="N108" s="1626"/>
      <c r="O108" s="1626">
        <f t="shared" si="13"/>
        <v>75.599999999999994</v>
      </c>
      <c r="P108" s="1628">
        <f t="shared" si="14"/>
        <v>4.3414949850132443</v>
      </c>
      <c r="Q108" s="1901"/>
      <c r="R108" s="1667"/>
      <c r="W108" s="1672"/>
      <c r="X108" s="1672"/>
      <c r="AM108" s="1672"/>
      <c r="AN108" s="1672"/>
    </row>
    <row r="109" spans="1:40" ht="17.100000000000001" customHeight="1">
      <c r="A109" s="1889"/>
      <c r="B109" s="1636">
        <f t="shared" si="15"/>
        <v>840</v>
      </c>
      <c r="C109" s="1634">
        <f t="shared" si="10"/>
        <v>8.4</v>
      </c>
      <c r="D109" s="1626"/>
      <c r="E109" s="1633">
        <f t="shared" si="16"/>
        <v>11.468443734283436</v>
      </c>
      <c r="F109" s="1626"/>
      <c r="G109" s="1635">
        <v>271</v>
      </c>
      <c r="H109" s="1631">
        <f t="shared" si="17"/>
        <v>320.59300000000002</v>
      </c>
      <c r="I109" s="1635">
        <v>217.1</v>
      </c>
      <c r="J109" s="1625">
        <f t="shared" si="18"/>
        <v>27.099999999999994</v>
      </c>
      <c r="K109" s="1628">
        <f t="shared" si="19"/>
        <v>257.56419522697689</v>
      </c>
      <c r="L109" s="1629">
        <f t="shared" si="11"/>
        <v>547.56419522697684</v>
      </c>
      <c r="M109" s="1629">
        <f t="shared" si="12"/>
        <v>330.46419522697681</v>
      </c>
      <c r="N109" s="1626"/>
      <c r="O109" s="1626">
        <f t="shared" si="13"/>
        <v>72.900000000000006</v>
      </c>
      <c r="P109" s="1628">
        <f t="shared" si="14"/>
        <v>4.5331165326059919</v>
      </c>
      <c r="Q109" s="1901"/>
      <c r="R109" s="1667"/>
      <c r="W109" s="1672"/>
      <c r="X109" s="1672"/>
      <c r="AM109" s="1672"/>
      <c r="AN109" s="1672"/>
    </row>
    <row r="110" spans="1:40" ht="17.100000000000001" customHeight="1">
      <c r="A110" s="1889"/>
      <c r="B110" s="1636">
        <f t="shared" si="15"/>
        <v>860</v>
      </c>
      <c r="C110" s="1634">
        <f t="shared" si="10"/>
        <v>8.6</v>
      </c>
      <c r="D110" s="1626"/>
      <c r="E110" s="1633">
        <f t="shared" si="16"/>
        <v>11.753803117926683</v>
      </c>
      <c r="F110" s="1626"/>
      <c r="G110" s="1635">
        <v>277</v>
      </c>
      <c r="H110" s="1631">
        <f t="shared" si="17"/>
        <v>327.69100000000003</v>
      </c>
      <c r="I110" s="1635">
        <v>218.1</v>
      </c>
      <c r="J110" s="1625">
        <f t="shared" si="18"/>
        <v>28.099999999999994</v>
      </c>
      <c r="K110" s="1628">
        <f t="shared" si="19"/>
        <v>262.47716487988998</v>
      </c>
      <c r="L110" s="1629">
        <f t="shared" si="11"/>
        <v>552.47716487988998</v>
      </c>
      <c r="M110" s="1629">
        <f t="shared" si="12"/>
        <v>334.37716487988996</v>
      </c>
      <c r="N110" s="1626"/>
      <c r="O110" s="1626">
        <f t="shared" si="13"/>
        <v>71.900000000000006</v>
      </c>
      <c r="P110" s="1628">
        <f t="shared" si="14"/>
        <v>4.6505864378287889</v>
      </c>
      <c r="Q110" s="1901"/>
      <c r="R110" s="1667"/>
    </row>
    <row r="111" spans="1:40" ht="17.100000000000001" customHeight="1">
      <c r="A111" s="1889"/>
      <c r="B111" s="1636">
        <f t="shared" si="15"/>
        <v>880</v>
      </c>
      <c r="C111" s="1634">
        <f t="shared" si="10"/>
        <v>8.8000000000000007</v>
      </c>
      <c r="D111" s="1626"/>
      <c r="E111" s="1633">
        <f t="shared" si="16"/>
        <v>12.039162501569932</v>
      </c>
      <c r="F111" s="1626"/>
      <c r="G111" s="1635">
        <v>282</v>
      </c>
      <c r="H111" s="1631">
        <f t="shared" si="17"/>
        <v>333.60599999999999</v>
      </c>
      <c r="I111" s="1635">
        <v>219.5</v>
      </c>
      <c r="J111" s="1625">
        <f t="shared" si="18"/>
        <v>29.5</v>
      </c>
      <c r="K111" s="1628">
        <f t="shared" si="19"/>
        <v>266.41120922564954</v>
      </c>
      <c r="L111" s="1629">
        <f t="shared" si="11"/>
        <v>556.4112092256496</v>
      </c>
      <c r="M111" s="1629">
        <f t="shared" si="12"/>
        <v>336.9112092256496</v>
      </c>
      <c r="N111" s="1626"/>
      <c r="O111" s="1626">
        <f t="shared" si="13"/>
        <v>70.5</v>
      </c>
      <c r="P111" s="1628">
        <f t="shared" si="14"/>
        <v>4.7788824003638242</v>
      </c>
      <c r="Q111" s="1901"/>
      <c r="R111" s="1667"/>
    </row>
    <row r="112" spans="1:40" ht="17.100000000000001" customHeight="1">
      <c r="A112" s="1889"/>
      <c r="B112" s="1636">
        <f t="shared" si="15"/>
        <v>900</v>
      </c>
      <c r="C112" s="1634">
        <f t="shared" si="10"/>
        <v>9</v>
      </c>
      <c r="D112" s="1626"/>
      <c r="E112" s="1633">
        <f t="shared" si="16"/>
        <v>12.324521885213178</v>
      </c>
      <c r="F112" s="1626"/>
      <c r="G112" s="1635">
        <v>288</v>
      </c>
      <c r="H112" s="1631">
        <f t="shared" si="17"/>
        <v>340.70400000000001</v>
      </c>
      <c r="I112" s="1635">
        <v>220.5</v>
      </c>
      <c r="J112" s="1625">
        <f t="shared" si="18"/>
        <v>30.5</v>
      </c>
      <c r="K112" s="1628">
        <f t="shared" si="19"/>
        <v>271.25861985669258</v>
      </c>
      <c r="L112" s="1629">
        <f t="shared" si="11"/>
        <v>561.25861985669258</v>
      </c>
      <c r="M112" s="1629">
        <f t="shared" si="12"/>
        <v>340.75861985669258</v>
      </c>
      <c r="N112" s="1626"/>
      <c r="O112" s="1626">
        <f t="shared" si="13"/>
        <v>69.5</v>
      </c>
      <c r="P112" s="1628">
        <f t="shared" si="14"/>
        <v>4.9030017245567281</v>
      </c>
      <c r="Q112" s="1901"/>
      <c r="R112" s="1667"/>
    </row>
    <row r="113" spans="1:43" ht="17.100000000000001" customHeight="1">
      <c r="A113" s="1889"/>
      <c r="B113" s="1636">
        <f t="shared" si="15"/>
        <v>920</v>
      </c>
      <c r="C113" s="1634">
        <f t="shared" si="10"/>
        <v>9.1999999999999993</v>
      </c>
      <c r="D113" s="1626"/>
      <c r="E113" s="1633">
        <f t="shared" si="16"/>
        <v>12.609881268856425</v>
      </c>
      <c r="F113" s="1626"/>
      <c r="G113" s="1635">
        <v>294</v>
      </c>
      <c r="H113" s="1631">
        <f t="shared" si="17"/>
        <v>347.80200000000002</v>
      </c>
      <c r="I113" s="1635">
        <v>221</v>
      </c>
      <c r="J113" s="1625">
        <f t="shared" si="18"/>
        <v>31</v>
      </c>
      <c r="K113" s="1628">
        <f t="shared" si="19"/>
        <v>276.07182578067307</v>
      </c>
      <c r="L113" s="1629">
        <f t="shared" si="11"/>
        <v>566.07182578067307</v>
      </c>
      <c r="M113" s="1629">
        <f t="shared" si="12"/>
        <v>345.07182578067307</v>
      </c>
      <c r="N113" s="1626"/>
      <c r="O113" s="1626">
        <f t="shared" si="13"/>
        <v>69</v>
      </c>
      <c r="P113" s="1628">
        <f t="shared" si="14"/>
        <v>5.0010409533430877</v>
      </c>
      <c r="Q113" s="1901"/>
      <c r="R113" s="1667"/>
    </row>
    <row r="114" spans="1:43" ht="17.100000000000001" customHeight="1">
      <c r="A114" s="1889"/>
      <c r="B114" s="1636">
        <f t="shared" si="15"/>
        <v>940</v>
      </c>
      <c r="C114" s="1634">
        <f t="shared" si="10"/>
        <v>9.4</v>
      </c>
      <c r="D114" s="1626"/>
      <c r="E114" s="1633">
        <f t="shared" si="16"/>
        <v>12.895240652499673</v>
      </c>
      <c r="F114" s="1626"/>
      <c r="G114" s="1635">
        <v>300</v>
      </c>
      <c r="H114" s="1631">
        <f t="shared" si="17"/>
        <v>354.90000000000003</v>
      </c>
      <c r="I114" s="1635">
        <v>221</v>
      </c>
      <c r="J114" s="1625">
        <f t="shared" si="18"/>
        <v>31</v>
      </c>
      <c r="K114" s="1628">
        <f t="shared" si="19"/>
        <v>280.85082699759096</v>
      </c>
      <c r="L114" s="1629">
        <f t="shared" si="11"/>
        <v>570.85082699759096</v>
      </c>
      <c r="M114" s="1629">
        <f t="shared" si="12"/>
        <v>349.85082699759096</v>
      </c>
      <c r="N114" s="1626"/>
      <c r="O114" s="1626">
        <f t="shared" si="13"/>
        <v>69</v>
      </c>
      <c r="P114" s="1628">
        <f t="shared" si="14"/>
        <v>5.0703018405447962</v>
      </c>
      <c r="Q114" s="1901"/>
      <c r="R114" s="1667"/>
    </row>
    <row r="115" spans="1:43" ht="17.100000000000001" customHeight="1">
      <c r="A115" s="1889"/>
      <c r="B115" s="1636">
        <f t="shared" si="15"/>
        <v>960</v>
      </c>
      <c r="C115" s="1634">
        <f t="shared" si="10"/>
        <v>9.6</v>
      </c>
      <c r="D115" s="1626"/>
      <c r="E115" s="1633">
        <f t="shared" si="16"/>
        <v>13.18060003614292</v>
      </c>
      <c r="F115" s="1626"/>
      <c r="G115" s="1635">
        <v>306</v>
      </c>
      <c r="H115" s="1631">
        <f t="shared" si="17"/>
        <v>361.99799999999999</v>
      </c>
      <c r="I115" s="1635">
        <v>221</v>
      </c>
      <c r="J115" s="1625">
        <f t="shared" si="18"/>
        <v>31</v>
      </c>
      <c r="K115" s="1628">
        <f t="shared" si="19"/>
        <v>285.59562350744613</v>
      </c>
      <c r="L115" s="1629">
        <f t="shared" si="11"/>
        <v>575.59562350744613</v>
      </c>
      <c r="M115" s="1629">
        <f t="shared" si="12"/>
        <v>354.59562350744613</v>
      </c>
      <c r="N115" s="1626"/>
      <c r="O115" s="1626">
        <f t="shared" si="13"/>
        <v>69</v>
      </c>
      <c r="P115" s="1628">
        <f t="shared" si="14"/>
        <v>5.1390670073542921</v>
      </c>
      <c r="Q115" s="2760"/>
      <c r="R115" s="1667"/>
      <c r="W115" s="1672"/>
      <c r="X115" s="1672"/>
      <c r="Y115" s="1672"/>
      <c r="Z115" s="1672"/>
      <c r="AA115" s="1672"/>
      <c r="AC115" s="1903"/>
      <c r="AD115" s="1672"/>
      <c r="AE115" s="1672"/>
      <c r="AF115" s="1672"/>
      <c r="AG115" s="1672"/>
      <c r="AH115" s="1672"/>
      <c r="AI115" s="1672"/>
      <c r="AJ115" s="1672"/>
      <c r="AK115" s="1672"/>
      <c r="AL115" s="1672"/>
      <c r="AM115" s="1672"/>
      <c r="AN115" s="1672"/>
      <c r="AO115" s="1672"/>
      <c r="AP115" s="1672"/>
      <c r="AQ115" s="1672"/>
    </row>
    <row r="116" spans="1:43" ht="17.100000000000001" customHeight="1">
      <c r="A116" s="1889"/>
      <c r="B116" s="1636">
        <f t="shared" si="15"/>
        <v>980</v>
      </c>
      <c r="C116" s="1634">
        <f t="shared" si="10"/>
        <v>9.8000000000000007</v>
      </c>
      <c r="D116" s="1626"/>
      <c r="E116" s="1633">
        <f t="shared" si="16"/>
        <v>13.465959419786168</v>
      </c>
      <c r="F116" s="1626"/>
      <c r="G116" s="1635">
        <v>311</v>
      </c>
      <c r="H116" s="1631">
        <f t="shared" si="17"/>
        <v>367.91300000000001</v>
      </c>
      <c r="I116" s="1635">
        <v>221</v>
      </c>
      <c r="J116" s="1625">
        <f t="shared" si="18"/>
        <v>31</v>
      </c>
      <c r="K116" s="1628">
        <f t="shared" si="19"/>
        <v>289.37574667142394</v>
      </c>
      <c r="L116" s="1629">
        <f t="shared" si="11"/>
        <v>579.37574667142394</v>
      </c>
      <c r="M116" s="1629">
        <f t="shared" si="12"/>
        <v>358.37574667142394</v>
      </c>
      <c r="N116" s="1626"/>
      <c r="O116" s="1626">
        <f t="shared" si="13"/>
        <v>69</v>
      </c>
      <c r="P116" s="1628">
        <f t="shared" si="14"/>
        <v>5.19385140103513</v>
      </c>
      <c r="Q116" s="2786"/>
      <c r="R116" s="1667"/>
      <c r="W116" s="1671"/>
      <c r="X116" s="1671"/>
      <c r="Y116" s="1671"/>
      <c r="Z116" s="1671"/>
      <c r="AF116" s="1568"/>
      <c r="AG116" s="1568"/>
      <c r="AJ116" s="1921"/>
      <c r="AK116" s="1975"/>
      <c r="AL116" s="1671"/>
      <c r="AM116" s="1671"/>
      <c r="AN116" s="1671"/>
      <c r="AO116" s="1671"/>
      <c r="AP116" s="1671"/>
    </row>
    <row r="117" spans="1:43" ht="17.100000000000001" customHeight="1">
      <c r="A117" s="1889"/>
      <c r="B117" s="1636">
        <f t="shared" si="15"/>
        <v>1000</v>
      </c>
      <c r="C117" s="1634">
        <f t="shared" si="10"/>
        <v>10</v>
      </c>
      <c r="D117" s="1626"/>
      <c r="E117" s="1633">
        <f t="shared" si="16"/>
        <v>13.751318803429415</v>
      </c>
      <c r="F117" s="1626"/>
      <c r="G117" s="1635">
        <v>317</v>
      </c>
      <c r="H117" s="1631">
        <f t="shared" si="17"/>
        <v>375.01100000000002</v>
      </c>
      <c r="I117" s="1635">
        <v>221</v>
      </c>
      <c r="J117" s="1625">
        <f t="shared" si="18"/>
        <v>31</v>
      </c>
      <c r="K117" s="1628">
        <f t="shared" si="19"/>
        <v>294.05498415940929</v>
      </c>
      <c r="L117" s="1629">
        <f t="shared" si="11"/>
        <v>584.05498415940929</v>
      </c>
      <c r="M117" s="1629">
        <f t="shared" si="12"/>
        <v>363.05498415940929</v>
      </c>
      <c r="N117" s="1626"/>
      <c r="O117" s="1626">
        <f t="shared" si="13"/>
        <v>69</v>
      </c>
      <c r="P117" s="1628">
        <f t="shared" si="14"/>
        <v>5.2616664370928881</v>
      </c>
      <c r="Q117" s="2786"/>
      <c r="R117" s="1667"/>
      <c r="W117" s="1675"/>
      <c r="X117" s="1675"/>
      <c r="Y117" s="1671"/>
      <c r="Z117" s="1671"/>
      <c r="AF117" s="1568"/>
      <c r="AG117" s="1568"/>
      <c r="AJ117" s="1921"/>
      <c r="AK117" s="1976"/>
      <c r="AL117" s="1675"/>
      <c r="AM117" s="1675"/>
      <c r="AN117" s="1675"/>
      <c r="AO117" s="1671"/>
      <c r="AP117" s="1671"/>
    </row>
    <row r="118" spans="1:43" ht="17.100000000000001" customHeight="1">
      <c r="A118" s="1889"/>
      <c r="B118" s="1636"/>
      <c r="C118" s="1634"/>
      <c r="D118" s="1626"/>
      <c r="E118" s="1633"/>
      <c r="F118" s="1626"/>
      <c r="G118" s="1635"/>
      <c r="H118" s="1631"/>
      <c r="I118" s="1635"/>
      <c r="J118" s="1625"/>
      <c r="K118" s="1628"/>
      <c r="L118" s="1629"/>
      <c r="M118" s="1629"/>
      <c r="N118" s="1626"/>
      <c r="O118" s="1626"/>
      <c r="P118" s="1628"/>
      <c r="Q118" s="2786"/>
      <c r="R118" s="1667"/>
      <c r="W118" s="1671"/>
      <c r="X118" s="1671"/>
      <c r="Y118" s="1671"/>
      <c r="Z118" s="1671"/>
      <c r="AF118" s="1568"/>
      <c r="AG118" s="1568"/>
      <c r="AJ118" s="1921"/>
      <c r="AK118" s="1976"/>
      <c r="AL118" s="1671"/>
      <c r="AM118" s="1671"/>
      <c r="AN118" s="1671"/>
      <c r="AO118" s="1671"/>
      <c r="AP118" s="1671"/>
    </row>
    <row r="119" spans="1:43" ht="17.100000000000001" customHeight="1">
      <c r="A119" s="1889"/>
      <c r="B119" s="1636"/>
      <c r="C119" s="1634"/>
      <c r="D119" s="1626"/>
      <c r="E119" s="1633"/>
      <c r="F119" s="1626"/>
      <c r="G119" s="1635"/>
      <c r="H119" s="1631"/>
      <c r="I119" s="1635"/>
      <c r="J119" s="1625"/>
      <c r="K119" s="1628"/>
      <c r="L119" s="1629"/>
      <c r="M119" s="1629"/>
      <c r="N119" s="1626"/>
      <c r="O119" s="1626"/>
      <c r="P119" s="1628"/>
      <c r="Q119" s="2786"/>
      <c r="R119" s="1667"/>
      <c r="W119" s="1671"/>
      <c r="X119" s="1671"/>
      <c r="Y119" s="1671"/>
      <c r="Z119" s="1671"/>
      <c r="AF119" s="1568"/>
      <c r="AG119" s="1568"/>
      <c r="AJ119" s="1921"/>
      <c r="AK119" s="1976"/>
      <c r="AL119" s="1671"/>
      <c r="AM119" s="1671"/>
      <c r="AN119" s="1671"/>
      <c r="AO119" s="1671"/>
      <c r="AP119" s="1671"/>
    </row>
    <row r="120" spans="1:43" ht="17.100000000000001" customHeight="1">
      <c r="A120" s="1889"/>
      <c r="B120" s="1636"/>
      <c r="C120" s="1634"/>
      <c r="D120" s="1626"/>
      <c r="E120" s="1633"/>
      <c r="F120" s="1626"/>
      <c r="G120" s="1635"/>
      <c r="H120" s="1631"/>
      <c r="I120" s="1635"/>
      <c r="J120" s="1625"/>
      <c r="K120" s="1628"/>
      <c r="L120" s="1629"/>
      <c r="M120" s="1629"/>
      <c r="N120" s="1626"/>
      <c r="O120" s="1626"/>
      <c r="P120" s="1628"/>
      <c r="Q120" s="2786"/>
      <c r="R120" s="1667"/>
      <c r="W120" s="1671"/>
      <c r="X120" s="1671"/>
      <c r="Y120" s="1671"/>
      <c r="Z120" s="1671"/>
      <c r="AF120" s="1568"/>
      <c r="AG120" s="1568"/>
      <c r="AJ120" s="1921"/>
      <c r="AK120" s="1976"/>
      <c r="AL120" s="1671"/>
      <c r="AM120" s="1671"/>
      <c r="AN120" s="1671"/>
      <c r="AO120" s="1671"/>
      <c r="AP120" s="1671"/>
    </row>
    <row r="121" spans="1:43" ht="17.100000000000001" customHeight="1">
      <c r="A121" s="1889"/>
      <c r="B121" s="1636"/>
      <c r="C121" s="1634"/>
      <c r="D121" s="1626"/>
      <c r="E121" s="1633"/>
      <c r="F121" s="1626"/>
      <c r="G121" s="1635"/>
      <c r="H121" s="1631"/>
      <c r="I121" s="1635"/>
      <c r="J121" s="1625"/>
      <c r="K121" s="1628"/>
      <c r="L121" s="1629"/>
      <c r="M121" s="1629"/>
      <c r="N121" s="1626"/>
      <c r="O121" s="1626"/>
      <c r="P121" s="1628"/>
      <c r="Q121" s="2786"/>
      <c r="R121" s="1667"/>
      <c r="W121" s="1671"/>
      <c r="X121" s="1671"/>
      <c r="Y121" s="1671"/>
      <c r="Z121" s="1671"/>
      <c r="AF121" s="1568"/>
      <c r="AG121" s="1568"/>
      <c r="AJ121" s="1921"/>
      <c r="AK121" s="1976"/>
      <c r="AL121" s="1671"/>
      <c r="AM121" s="1671"/>
      <c r="AN121" s="1671"/>
      <c r="AO121" s="1671"/>
      <c r="AP121" s="1671"/>
    </row>
    <row r="122" spans="1:43" ht="17.100000000000001" customHeight="1">
      <c r="A122" s="1889"/>
      <c r="B122" s="1636"/>
      <c r="C122" s="1634"/>
      <c r="D122" s="1626"/>
      <c r="E122" s="1633"/>
      <c r="F122" s="1626"/>
      <c r="G122" s="1635"/>
      <c r="H122" s="1631"/>
      <c r="I122" s="1635"/>
      <c r="J122" s="1625"/>
      <c r="K122" s="1628"/>
      <c r="L122" s="1629"/>
      <c r="M122" s="1629"/>
      <c r="N122" s="1626"/>
      <c r="O122" s="1626"/>
      <c r="P122" s="1628"/>
      <c r="Q122" s="2786"/>
      <c r="R122" s="1667"/>
      <c r="T122" s="2797"/>
      <c r="W122" s="1671"/>
      <c r="X122" s="1671"/>
      <c r="Y122" s="1671"/>
      <c r="Z122" s="1671"/>
      <c r="AF122" s="1568"/>
      <c r="AG122" s="1568"/>
      <c r="AJ122" s="1921"/>
      <c r="AK122" s="1976"/>
      <c r="AL122" s="1671"/>
      <c r="AM122" s="1671"/>
      <c r="AN122" s="1671"/>
      <c r="AO122" s="1671"/>
      <c r="AP122" s="1671"/>
    </row>
    <row r="123" spans="1:43" ht="17.100000000000001" customHeight="1">
      <c r="A123" s="1889"/>
      <c r="B123" s="1627"/>
      <c r="C123" s="1634"/>
      <c r="D123" s="1626"/>
      <c r="E123" s="1633"/>
      <c r="F123" s="1626"/>
      <c r="G123" s="1630"/>
      <c r="H123" s="1631"/>
      <c r="I123" s="1630"/>
      <c r="J123" s="1625"/>
      <c r="K123" s="1628"/>
      <c r="L123" s="1629"/>
      <c r="M123" s="1629"/>
      <c r="N123" s="1626"/>
      <c r="O123" s="1626"/>
      <c r="P123" s="1628"/>
      <c r="Q123" s="2786"/>
      <c r="R123" s="1667"/>
      <c r="T123" s="2797"/>
      <c r="W123" s="1671"/>
      <c r="X123" s="1671"/>
      <c r="Y123" s="1671"/>
      <c r="Z123" s="1671"/>
      <c r="AF123" s="1568"/>
      <c r="AG123" s="1568"/>
      <c r="AJ123" s="1921"/>
      <c r="AK123" s="1976"/>
      <c r="AL123" s="1671"/>
      <c r="AM123" s="1671"/>
      <c r="AN123" s="1671"/>
      <c r="AO123" s="1671"/>
      <c r="AP123" s="1671"/>
    </row>
    <row r="124" spans="1:43" ht="17.100000000000001" customHeight="1">
      <c r="A124" s="1889"/>
      <c r="B124" s="1627"/>
      <c r="C124" s="1634"/>
      <c r="D124" s="1626"/>
      <c r="E124" s="1633"/>
      <c r="F124" s="1626"/>
      <c r="G124" s="1630"/>
      <c r="H124" s="1631"/>
      <c r="I124" s="1630"/>
      <c r="J124" s="1625"/>
      <c r="K124" s="1628"/>
      <c r="L124" s="1629"/>
      <c r="M124" s="1629"/>
      <c r="N124" s="1626"/>
      <c r="O124" s="1626"/>
      <c r="P124" s="1628"/>
      <c r="Q124" s="2786"/>
      <c r="R124" s="1667"/>
      <c r="T124" s="2797"/>
      <c r="W124" s="1671"/>
      <c r="X124" s="1671"/>
      <c r="Y124" s="1671"/>
      <c r="Z124" s="1671"/>
      <c r="AF124" s="1568"/>
      <c r="AG124" s="1568"/>
      <c r="AJ124" s="1921"/>
      <c r="AK124" s="1976"/>
      <c r="AL124" s="1671"/>
      <c r="AM124" s="1671"/>
      <c r="AN124" s="1671"/>
      <c r="AO124" s="1671"/>
      <c r="AP124" s="1671"/>
    </row>
    <row r="125" spans="1:43" ht="17.100000000000001" customHeight="1">
      <c r="A125" s="1889"/>
      <c r="B125" s="1627"/>
      <c r="C125" s="1634"/>
      <c r="D125" s="1626"/>
      <c r="E125" s="1633"/>
      <c r="F125" s="1626"/>
      <c r="G125" s="1630"/>
      <c r="H125" s="1631"/>
      <c r="I125" s="1630"/>
      <c r="J125" s="1625"/>
      <c r="K125" s="1628"/>
      <c r="L125" s="1629"/>
      <c r="M125" s="1629"/>
      <c r="N125" s="1626"/>
      <c r="O125" s="1626"/>
      <c r="P125" s="1628"/>
      <c r="Q125" s="2786"/>
      <c r="R125" s="1667"/>
      <c r="T125" s="2797"/>
      <c r="W125" s="1671"/>
      <c r="X125" s="1671"/>
      <c r="Y125" s="1671"/>
      <c r="Z125" s="1671"/>
      <c r="AF125" s="1568"/>
      <c r="AG125" s="1568"/>
      <c r="AJ125" s="1921"/>
      <c r="AK125" s="1976"/>
      <c r="AL125" s="1671"/>
      <c r="AM125" s="1671"/>
      <c r="AN125" s="1671"/>
      <c r="AO125" s="1671"/>
      <c r="AP125" s="1671"/>
    </row>
    <row r="126" spans="1:43" ht="17.100000000000001" customHeight="1">
      <c r="A126" s="1889"/>
      <c r="B126" s="1627"/>
      <c r="C126" s="1628"/>
      <c r="D126" s="1626"/>
      <c r="E126" s="1633"/>
      <c r="F126" s="1626"/>
      <c r="G126" s="1630"/>
      <c r="H126" s="1631"/>
      <c r="I126" s="1630"/>
      <c r="J126" s="1625"/>
      <c r="K126" s="1628"/>
      <c r="L126" s="1629"/>
      <c r="M126" s="1629"/>
      <c r="N126" s="1626"/>
      <c r="O126" s="1626"/>
      <c r="P126" s="1628"/>
      <c r="Q126" s="2786"/>
      <c r="R126" s="1667"/>
      <c r="T126" s="2797"/>
      <c r="W126" s="1671"/>
      <c r="X126" s="1671"/>
      <c r="Y126" s="1671"/>
      <c r="Z126" s="1671"/>
      <c r="AF126" s="1568"/>
      <c r="AG126" s="1568"/>
      <c r="AJ126" s="1921"/>
      <c r="AK126" s="1976"/>
      <c r="AL126" s="1671"/>
      <c r="AM126" s="1671"/>
      <c r="AN126" s="1671"/>
      <c r="AO126" s="1671"/>
      <c r="AP126" s="1671"/>
    </row>
    <row r="127" spans="1:43" ht="17.100000000000001" customHeight="1">
      <c r="A127" s="1889"/>
      <c r="B127" s="1627"/>
      <c r="C127" s="1628"/>
      <c r="D127" s="1626"/>
      <c r="E127" s="1633"/>
      <c r="F127" s="1626"/>
      <c r="G127" s="1630"/>
      <c r="H127" s="1631"/>
      <c r="I127" s="1630"/>
      <c r="J127" s="1625"/>
      <c r="K127" s="1628"/>
      <c r="L127" s="1629"/>
      <c r="M127" s="1629"/>
      <c r="N127" s="1626"/>
      <c r="O127" s="1626"/>
      <c r="P127" s="1628"/>
      <c r="Q127" s="2786"/>
      <c r="R127" s="1667"/>
      <c r="T127" s="2797"/>
      <c r="W127" s="1671"/>
      <c r="X127" s="1671"/>
      <c r="Y127" s="1671"/>
      <c r="Z127" s="1671"/>
      <c r="AF127" s="1568"/>
      <c r="AG127" s="1568"/>
      <c r="AJ127" s="1921"/>
      <c r="AK127" s="1976"/>
      <c r="AL127" s="1671"/>
      <c r="AM127" s="1671"/>
      <c r="AN127" s="1671"/>
      <c r="AO127" s="1671"/>
      <c r="AP127" s="1671"/>
    </row>
    <row r="128" spans="1:43" ht="17.100000000000001" customHeight="1">
      <c r="A128" s="1889"/>
      <c r="B128" s="1627"/>
      <c r="C128" s="1625"/>
      <c r="D128" s="1626"/>
      <c r="E128" s="1626"/>
      <c r="F128" s="1626"/>
      <c r="G128" s="1630"/>
      <c r="H128" s="1631"/>
      <c r="I128" s="1630"/>
      <c r="J128" s="1625"/>
      <c r="K128" s="1625"/>
      <c r="L128" s="1625"/>
      <c r="M128" s="1625"/>
      <c r="N128" s="1626"/>
      <c r="O128" s="1626"/>
      <c r="P128" s="1625"/>
      <c r="Q128" s="2786"/>
      <c r="T128" s="2797"/>
      <c r="W128" s="1671"/>
      <c r="X128" s="1671"/>
      <c r="Y128" s="1671"/>
      <c r="Z128" s="1671"/>
      <c r="AF128" s="1568"/>
      <c r="AG128" s="1568"/>
      <c r="AJ128" s="1921"/>
      <c r="AK128" s="1976"/>
      <c r="AL128" s="1671"/>
      <c r="AM128" s="1671"/>
      <c r="AN128" s="1671"/>
      <c r="AO128" s="1671"/>
      <c r="AP128" s="1671"/>
    </row>
    <row r="129" spans="1:43" ht="17.100000000000001" customHeight="1">
      <c r="A129" s="1889"/>
      <c r="B129" s="1627"/>
      <c r="C129" s="1625"/>
      <c r="D129" s="1626"/>
      <c r="E129" s="1626"/>
      <c r="F129" s="1626"/>
      <c r="G129" s="1630"/>
      <c r="H129" s="1631"/>
      <c r="I129" s="1630"/>
      <c r="J129" s="1625"/>
      <c r="K129" s="1625"/>
      <c r="L129" s="1625"/>
      <c r="M129" s="1625"/>
      <c r="N129" s="1626"/>
      <c r="O129" s="1626"/>
      <c r="P129" s="1625"/>
      <c r="Q129" s="2786"/>
      <c r="T129" s="2797"/>
      <c r="W129" s="1671"/>
      <c r="X129" s="1671"/>
      <c r="Y129" s="1671"/>
      <c r="Z129" s="1671"/>
      <c r="AF129" s="1568"/>
      <c r="AG129" s="1568"/>
      <c r="AJ129" s="1921"/>
      <c r="AK129" s="1976"/>
      <c r="AL129" s="1671"/>
      <c r="AM129" s="1671"/>
      <c r="AN129" s="1671"/>
      <c r="AO129" s="1671"/>
      <c r="AP129" s="1671"/>
    </row>
    <row r="130" spans="1:43" ht="17.100000000000001" customHeight="1">
      <c r="A130" s="1889"/>
      <c r="B130" s="1656"/>
      <c r="C130" s="1621"/>
      <c r="D130" s="1622"/>
      <c r="E130" s="1622"/>
      <c r="F130" s="1622"/>
      <c r="G130" s="1623"/>
      <c r="H130" s="1621"/>
      <c r="I130" s="1623"/>
      <c r="J130" s="1621"/>
      <c r="K130" s="1621"/>
      <c r="L130" s="1621"/>
      <c r="M130" s="1621"/>
      <c r="N130" s="1622"/>
      <c r="O130" s="1622"/>
      <c r="P130" s="1621"/>
      <c r="Q130" s="1901"/>
    </row>
    <row r="131" spans="1:43" ht="17.100000000000001" customHeight="1">
      <c r="A131" s="1889"/>
      <c r="B131" s="2806"/>
      <c r="C131" s="1672"/>
      <c r="D131" s="1672"/>
      <c r="E131" s="1672"/>
      <c r="F131" s="1672"/>
      <c r="G131" s="1673"/>
      <c r="H131" s="1672"/>
      <c r="I131" s="1673"/>
      <c r="J131" s="1672"/>
      <c r="K131" s="1672"/>
      <c r="L131" s="1672"/>
      <c r="M131" s="1672"/>
      <c r="N131" s="1672"/>
      <c r="O131" s="1672"/>
      <c r="P131" s="1672"/>
      <c r="Q131" s="1901"/>
    </row>
    <row r="132" spans="1:43" ht="17.100000000000001" customHeight="1">
      <c r="A132" s="1889"/>
      <c r="B132" s="2806"/>
      <c r="C132" s="1672"/>
      <c r="D132" s="1672"/>
      <c r="E132" s="1672"/>
      <c r="F132" s="1672"/>
      <c r="G132" s="1673"/>
      <c r="H132" s="1672"/>
      <c r="I132" s="1673"/>
      <c r="J132" s="1672"/>
      <c r="K132" s="1672"/>
      <c r="L132" s="1672"/>
      <c r="M132" s="1672"/>
      <c r="N132" s="1672"/>
      <c r="O132" s="1672"/>
      <c r="P132" s="1672"/>
      <c r="Q132" s="1901"/>
    </row>
    <row r="133" spans="1:43" ht="17.100000000000001" customHeight="1">
      <c r="A133" s="1914"/>
      <c r="B133" s="1669"/>
      <c r="C133" s="1669"/>
      <c r="D133" s="1669"/>
      <c r="E133" s="1669"/>
      <c r="F133" s="1669"/>
      <c r="G133" s="1540"/>
      <c r="H133" s="1669"/>
      <c r="I133" s="1540"/>
      <c r="J133" s="1669"/>
      <c r="K133" s="1669"/>
      <c r="L133" s="1669"/>
      <c r="M133" s="1669"/>
      <c r="N133" s="1669"/>
      <c r="O133" s="1669"/>
      <c r="P133" s="1669"/>
      <c r="Q133" s="1915"/>
    </row>
    <row r="134" spans="1:43" ht="17.100000000000001" customHeight="1">
      <c r="G134" s="1650"/>
      <c r="I134" s="1650"/>
    </row>
    <row r="136" spans="1:43" ht="17.100000000000001" customHeight="1">
      <c r="A136" s="1885"/>
      <c r="B136" s="1886"/>
      <c r="C136" s="1886"/>
      <c r="D136" s="1886"/>
      <c r="E136" s="1886"/>
      <c r="F136" s="1886"/>
      <c r="G136" s="1886"/>
      <c r="H136" s="1886"/>
      <c r="I136" s="1886"/>
      <c r="J136" s="1887" t="s">
        <v>206</v>
      </c>
      <c r="K136" s="1574">
        <f>'Cu_Multi Consol'!J130</f>
        <v>0</v>
      </c>
      <c r="L136" s="1918"/>
      <c r="M136" s="1918"/>
      <c r="N136" s="1918"/>
      <c r="O136" s="1918"/>
      <c r="P136" s="1918"/>
      <c r="Q136" s="1919"/>
      <c r="U136" s="1888"/>
      <c r="AK136" s="1888"/>
    </row>
    <row r="137" spans="1:43" ht="17.100000000000001" customHeight="1">
      <c r="A137" s="1889"/>
      <c r="J137" s="1890" t="s">
        <v>82</v>
      </c>
      <c r="K137" s="1571">
        <f>'Cu_Multi Consol'!J131</f>
        <v>0</v>
      </c>
      <c r="L137" s="1923"/>
      <c r="M137" s="1923"/>
      <c r="N137" s="1923"/>
      <c r="O137" s="1923"/>
      <c r="P137" s="1923"/>
      <c r="Q137" s="1930"/>
      <c r="U137" s="1888"/>
      <c r="AK137" s="1888"/>
    </row>
    <row r="138" spans="1:43" ht="17.100000000000001" customHeight="1">
      <c r="A138" s="1889"/>
      <c r="J138" s="1890" t="s">
        <v>77</v>
      </c>
      <c r="K138" s="1572">
        <f>'Cu_Multi Consol'!J132</f>
        <v>0</v>
      </c>
      <c r="L138" s="1923"/>
      <c r="M138" s="1923"/>
      <c r="N138" s="1923"/>
      <c r="O138" s="1890" t="s">
        <v>76</v>
      </c>
      <c r="P138" s="1655">
        <f>'Cu_Multi Consol'!N132</f>
        <v>0</v>
      </c>
      <c r="Q138" s="1930"/>
      <c r="U138" s="1892"/>
      <c r="AA138" s="1893"/>
      <c r="AK138" s="1892"/>
      <c r="AQ138" s="1893"/>
    </row>
    <row r="139" spans="1:43" ht="17.100000000000001" customHeight="1">
      <c r="A139" s="1889"/>
      <c r="J139" s="1894" t="s">
        <v>75</v>
      </c>
      <c r="K139" s="1569">
        <f>'Cu_Multi Consol'!J133</f>
        <v>0</v>
      </c>
      <c r="L139" s="1938"/>
      <c r="M139" s="1938"/>
      <c r="N139" s="1938"/>
      <c r="O139" s="1894" t="s">
        <v>74</v>
      </c>
      <c r="P139" s="1569">
        <f>'Cu_Multi Consol'!N133</f>
        <v>0</v>
      </c>
      <c r="Q139" s="1981"/>
      <c r="U139" s="1892"/>
      <c r="AA139" s="1892"/>
      <c r="AK139" s="1892"/>
      <c r="AQ139" s="1892"/>
    </row>
    <row r="140" spans="1:43" ht="17.100000000000001" customHeight="1">
      <c r="A140" s="1885"/>
      <c r="B140" s="1899"/>
      <c r="C140" s="1899"/>
      <c r="D140" s="1899"/>
      <c r="E140" s="1899"/>
      <c r="F140" s="1899"/>
      <c r="G140" s="1899"/>
      <c r="H140" s="1899"/>
      <c r="I140" s="1899"/>
      <c r="J140" s="1899"/>
      <c r="K140" s="1899"/>
      <c r="L140" s="1899"/>
      <c r="M140" s="1899"/>
      <c r="N140" s="1899"/>
      <c r="O140" s="1899"/>
      <c r="P140" s="1899"/>
      <c r="Q140" s="2759"/>
      <c r="U140" s="1568"/>
      <c r="V140" s="1568"/>
      <c r="W140" s="1568"/>
      <c r="X140" s="1568"/>
      <c r="Y140" s="1568"/>
      <c r="Z140" s="1568"/>
      <c r="AA140" s="1568"/>
      <c r="AC140" s="1568"/>
      <c r="AD140" s="1568"/>
      <c r="AE140" s="1568"/>
      <c r="AF140" s="1568"/>
      <c r="AG140" s="1568"/>
      <c r="AH140" s="1568"/>
      <c r="AI140" s="1568"/>
      <c r="AJ140" s="1568"/>
      <c r="AK140" s="1568"/>
      <c r="AL140" s="1568"/>
      <c r="AM140" s="1568"/>
      <c r="AN140" s="1568"/>
      <c r="AO140" s="1568"/>
      <c r="AP140" s="1568"/>
      <c r="AQ140" s="1568"/>
    </row>
    <row r="141" spans="1:43" ht="17.100000000000001" customHeight="1">
      <c r="A141" s="1889"/>
      <c r="B141" s="1903" t="s">
        <v>945</v>
      </c>
      <c r="C141" s="1672"/>
      <c r="D141" s="1672"/>
      <c r="E141" s="1672"/>
      <c r="F141" s="1672"/>
      <c r="G141" s="1672"/>
      <c r="H141" s="1903"/>
      <c r="I141" s="1903"/>
      <c r="J141" s="1672"/>
      <c r="K141" s="1672"/>
      <c r="L141" s="1672"/>
      <c r="M141" s="1672"/>
      <c r="N141" s="1672"/>
      <c r="O141" s="1672"/>
      <c r="P141" s="1672"/>
      <c r="Q141" s="2760"/>
      <c r="S141" s="1905"/>
      <c r="U141" s="1672"/>
      <c r="V141" s="1672"/>
      <c r="W141" s="1672"/>
      <c r="X141" s="1672"/>
      <c r="Y141" s="1672"/>
      <c r="Z141" s="1672"/>
      <c r="AA141" s="1672"/>
      <c r="AC141" s="1903"/>
      <c r="AD141" s="1672"/>
      <c r="AE141" s="1672"/>
      <c r="AF141" s="1672"/>
      <c r="AG141" s="1672"/>
      <c r="AH141" s="1903"/>
      <c r="AI141" s="1903"/>
      <c r="AJ141" s="1672"/>
      <c r="AK141" s="1672"/>
      <c r="AL141" s="1672"/>
      <c r="AM141" s="1672"/>
      <c r="AN141" s="1672"/>
      <c r="AO141" s="1672"/>
      <c r="AP141" s="1672"/>
      <c r="AQ141" s="1672"/>
    </row>
    <row r="142" spans="1:43" ht="17.100000000000001" customHeight="1">
      <c r="A142" s="1889"/>
      <c r="B142" s="1907"/>
      <c r="C142" s="1672"/>
      <c r="D142" s="1672"/>
      <c r="E142" s="1672"/>
      <c r="F142" s="1672"/>
      <c r="G142" s="1672"/>
      <c r="H142" s="1672"/>
      <c r="I142" s="1672"/>
      <c r="J142" s="1672"/>
      <c r="K142" s="1672"/>
      <c r="L142" s="1672"/>
      <c r="M142" s="1672"/>
      <c r="N142" s="1672"/>
      <c r="O142" s="1672"/>
      <c r="P142" s="1672"/>
      <c r="Q142" s="2760"/>
      <c r="S142" s="2761" t="s">
        <v>1002</v>
      </c>
      <c r="T142" s="2762">
        <f>('Cu_Multi Consol'!I166/'CU_Multi Saturasi'!F176)*100</f>
        <v>2.6504069997795883</v>
      </c>
      <c r="U142" s="1672"/>
      <c r="V142" s="1672"/>
      <c r="W142" s="1672"/>
      <c r="X142" s="1672"/>
      <c r="Y142" s="1672"/>
      <c r="Z142" s="1672"/>
      <c r="AA142" s="1672"/>
      <c r="AC142" s="1907"/>
      <c r="AD142" s="1672"/>
      <c r="AE142" s="1672"/>
      <c r="AF142" s="1672"/>
      <c r="AG142" s="1672"/>
      <c r="AH142" s="1672"/>
      <c r="AI142" s="1672"/>
      <c r="AJ142" s="1672"/>
      <c r="AK142" s="1672"/>
      <c r="AL142" s="1672"/>
      <c r="AM142" s="1672"/>
      <c r="AN142" s="1672"/>
      <c r="AO142" s="1672"/>
      <c r="AP142" s="1672"/>
      <c r="AQ142" s="1672"/>
    </row>
    <row r="143" spans="1:43" ht="17.100000000000001" customHeight="1">
      <c r="A143" s="1889"/>
      <c r="C143" s="1661" t="s">
        <v>208</v>
      </c>
      <c r="D143" s="1661" t="s">
        <v>27</v>
      </c>
      <c r="E143" s="1568" t="str">
        <f>E76</f>
        <v>Morowali Utara</v>
      </c>
      <c r="F143" s="1892"/>
      <c r="L143" s="1661" t="s">
        <v>944</v>
      </c>
      <c r="N143" s="1661" t="s">
        <v>27</v>
      </c>
      <c r="O143" s="1568" t="str">
        <f>'Cu_Multi Consol'!M137</f>
        <v>Undisturbed Sample / UDS</v>
      </c>
      <c r="Q143" s="1901"/>
      <c r="S143" s="2761" t="s">
        <v>1001</v>
      </c>
      <c r="T143" s="2762">
        <f>T142*(1/3)</f>
        <v>0.88346899992652939</v>
      </c>
      <c r="Z143" s="1892"/>
      <c r="AP143" s="1892"/>
    </row>
    <row r="144" spans="1:43" ht="17.100000000000001" customHeight="1">
      <c r="A144" s="1889"/>
      <c r="C144" s="1661" t="s">
        <v>1000</v>
      </c>
      <c r="D144" s="1661" t="s">
        <v>27</v>
      </c>
      <c r="E144" s="1568" t="str">
        <f>E77</f>
        <v>BH-05_UDS-01</v>
      </c>
      <c r="F144" s="1892"/>
      <c r="G144" s="1892"/>
      <c r="L144" s="1661" t="s">
        <v>942</v>
      </c>
      <c r="N144" s="1661" t="s">
        <v>27</v>
      </c>
      <c r="O144" s="1568" t="str">
        <f>'Cu_Multi Consol'!M138</f>
        <v>silty CLAY with sand</v>
      </c>
      <c r="Q144" s="1901"/>
      <c r="S144" s="2761" t="s">
        <v>999</v>
      </c>
      <c r="T144" s="2762">
        <f>T142*(2/3)</f>
        <v>1.7669379998530588</v>
      </c>
      <c r="AB144" s="1672"/>
      <c r="AC144" s="1672"/>
      <c r="AG144" s="1892"/>
    </row>
    <row r="145" spans="1:40" ht="17.100000000000001" customHeight="1">
      <c r="A145" s="1889"/>
      <c r="C145" s="1661" t="s">
        <v>210</v>
      </c>
      <c r="D145" s="1661" t="s">
        <v>27</v>
      </c>
      <c r="E145" s="1568" t="str">
        <f>E78</f>
        <v>0,00-0,50</v>
      </c>
      <c r="F145" s="1892"/>
      <c r="G145" s="1892" t="s">
        <v>68</v>
      </c>
      <c r="L145" s="1568" t="s">
        <v>941</v>
      </c>
      <c r="N145" s="1568" t="s">
        <v>27</v>
      </c>
      <c r="O145" s="1568">
        <f>'Cu_Multi Consol'!M139</f>
        <v>0</v>
      </c>
      <c r="Q145" s="1901"/>
      <c r="S145" s="1661"/>
      <c r="T145" s="1661"/>
      <c r="V145" s="1650"/>
      <c r="W145" s="1672"/>
      <c r="X145" s="1672"/>
      <c r="Y145" s="1672"/>
      <c r="AB145" s="1921"/>
      <c r="AC145" s="1921"/>
      <c r="AD145" s="1921"/>
      <c r="AG145" s="1892"/>
      <c r="AL145" s="1568"/>
      <c r="AM145" s="1568"/>
      <c r="AN145" s="1568"/>
    </row>
    <row r="146" spans="1:40" ht="17.100000000000001" customHeight="1">
      <c r="A146" s="1889"/>
      <c r="O146" s="1672"/>
      <c r="P146" s="1672"/>
      <c r="Q146" s="1901"/>
      <c r="S146" s="1661"/>
      <c r="T146" s="1661"/>
      <c r="U146" s="1921"/>
      <c r="V146" s="1935"/>
      <c r="Y146" s="1926"/>
      <c r="AB146" s="1905"/>
      <c r="AC146" s="1905"/>
      <c r="AD146" s="1903"/>
      <c r="AE146" s="1672"/>
      <c r="AM146" s="1672"/>
      <c r="AN146" s="1672"/>
    </row>
    <row r="147" spans="1:40" ht="17.100000000000001" customHeight="1">
      <c r="A147" s="1889"/>
      <c r="C147" s="1661" t="s">
        <v>965</v>
      </c>
      <c r="F147" s="1661" t="s">
        <v>27</v>
      </c>
      <c r="G147" s="1650">
        <f>'Cu_Multi Consol'!F143</f>
        <v>200</v>
      </c>
      <c r="H147" s="1661" t="s">
        <v>908</v>
      </c>
      <c r="L147" s="1661" t="s">
        <v>998</v>
      </c>
      <c r="N147" s="1661" t="s">
        <v>27</v>
      </c>
      <c r="O147" s="2807">
        <f>'CU_Multi Saturasi'!F175*(1-('Cu_Multi Shear'!T144/100))</f>
        <v>1248.9374439765043</v>
      </c>
      <c r="P147" s="1568" t="s">
        <v>721</v>
      </c>
      <c r="Q147" s="1901"/>
      <c r="U147" s="1921"/>
      <c r="V147" s="1654"/>
      <c r="Y147" s="1926"/>
      <c r="Z147" s="1673"/>
      <c r="AB147" s="1892"/>
      <c r="AC147" s="1892"/>
      <c r="AD147" s="1933"/>
      <c r="AE147" s="1935"/>
      <c r="AM147" s="1672"/>
      <c r="AN147" s="1672"/>
    </row>
    <row r="148" spans="1:40" ht="17.100000000000001" customHeight="1">
      <c r="A148" s="1889"/>
      <c r="C148" s="1661" t="s">
        <v>915</v>
      </c>
      <c r="F148" s="1661" t="s">
        <v>27</v>
      </c>
      <c r="G148" s="1650">
        <f>'Cu_Multi Consol'!F144</f>
        <v>390</v>
      </c>
      <c r="H148" s="1661" t="s">
        <v>908</v>
      </c>
      <c r="L148" s="1661" t="s">
        <v>997</v>
      </c>
      <c r="N148" s="1661" t="s">
        <v>27</v>
      </c>
      <c r="O148" s="2807">
        <f>'CU_Multi Saturasi'!D173*(1-('Cu_Multi Shear'!T143/100))</f>
        <v>64.710268220015692</v>
      </c>
      <c r="P148" s="1568" t="s">
        <v>2</v>
      </c>
      <c r="Q148" s="1901"/>
      <c r="U148" s="1921"/>
      <c r="V148" s="1673"/>
      <c r="Y148" s="1926"/>
      <c r="Z148" s="1926"/>
      <c r="AD148" s="1892"/>
      <c r="AE148" s="1926"/>
      <c r="AM148" s="1672"/>
      <c r="AN148" s="1672"/>
    </row>
    <row r="149" spans="1:40" ht="17.100000000000001" customHeight="1">
      <c r="A149" s="1889"/>
      <c r="C149" s="1661" t="s">
        <v>914</v>
      </c>
      <c r="F149" s="1661" t="s">
        <v>27</v>
      </c>
      <c r="G149" s="1650">
        <f>'Cu_Multi Consol'!F145</f>
        <v>190</v>
      </c>
      <c r="H149" s="1661" t="s">
        <v>908</v>
      </c>
      <c r="L149" s="1661" t="s">
        <v>996</v>
      </c>
      <c r="N149" s="1661" t="s">
        <v>27</v>
      </c>
      <c r="O149" s="2807">
        <f>'CU_Multi Saturasi'!F176-'Cu_Multi Consol'!I166</f>
        <v>80.806119444408139</v>
      </c>
      <c r="P149" s="1568" t="s">
        <v>615</v>
      </c>
      <c r="Q149" s="1901"/>
      <c r="U149" s="1921"/>
      <c r="V149" s="1654"/>
      <c r="W149" s="1921"/>
      <c r="X149" s="1921"/>
      <c r="Y149" s="1654"/>
      <c r="Z149" s="1650"/>
      <c r="AE149" s="1650"/>
      <c r="AM149" s="1672"/>
      <c r="AN149" s="1672"/>
    </row>
    <row r="150" spans="1:40" ht="17.100000000000001" customHeight="1">
      <c r="A150" s="1889"/>
      <c r="C150" s="1661" t="s">
        <v>973</v>
      </c>
      <c r="F150" s="1661" t="s">
        <v>27</v>
      </c>
      <c r="G150" s="1650">
        <f>'Cu_Multi Consol'!J153</f>
        <v>374</v>
      </c>
      <c r="H150" s="1661" t="s">
        <v>908</v>
      </c>
      <c r="L150" s="1661" t="s">
        <v>995</v>
      </c>
      <c r="N150" s="1661" t="s">
        <v>27</v>
      </c>
      <c r="O150" s="1650"/>
      <c r="P150" s="1672"/>
      <c r="Q150" s="1901"/>
      <c r="S150" s="1661"/>
      <c r="T150" s="1661"/>
      <c r="W150" s="1921"/>
      <c r="X150" s="1921"/>
      <c r="Y150" s="1926"/>
      <c r="Z150" s="1926"/>
      <c r="AD150" s="1673"/>
      <c r="AE150" s="1673"/>
      <c r="AM150" s="1672"/>
      <c r="AN150" s="1672"/>
    </row>
    <row r="151" spans="1:40" ht="17.100000000000001" customHeight="1">
      <c r="A151" s="1889"/>
      <c r="C151" s="1661" t="s">
        <v>963</v>
      </c>
      <c r="F151" s="1661" t="s">
        <v>27</v>
      </c>
      <c r="G151" s="1650">
        <f>G150-G149</f>
        <v>184</v>
      </c>
      <c r="H151" s="1661" t="s">
        <v>908</v>
      </c>
      <c r="L151" s="1661" t="s">
        <v>994</v>
      </c>
      <c r="N151" s="1661" t="s">
        <v>27</v>
      </c>
      <c r="O151" s="1883">
        <f>O17</f>
        <v>1.1830000000000001</v>
      </c>
      <c r="P151" s="1568" t="s">
        <v>595</v>
      </c>
      <c r="Q151" s="1901"/>
      <c r="W151" s="1672"/>
      <c r="X151" s="1672"/>
      <c r="AM151" s="1672"/>
      <c r="AN151" s="1672"/>
    </row>
    <row r="152" spans="1:40" ht="17.100000000000001" customHeight="1">
      <c r="A152" s="1889"/>
      <c r="C152" s="1661" t="str">
        <f>C85</f>
        <v>With</v>
      </c>
      <c r="E152" s="1661" t="str">
        <f>E85</f>
        <v>Side drains</v>
      </c>
      <c r="O152" s="1672"/>
      <c r="Q152" s="1901"/>
      <c r="W152" s="1672"/>
      <c r="X152" s="1672"/>
      <c r="AM152" s="1672"/>
      <c r="AN152" s="1672"/>
    </row>
    <row r="153" spans="1:40" ht="17.100000000000001" customHeight="1">
      <c r="A153" s="1889"/>
      <c r="O153" s="1672"/>
      <c r="Q153" s="1901"/>
      <c r="W153" s="1672"/>
      <c r="X153" s="1672"/>
      <c r="AM153" s="1672"/>
      <c r="AN153" s="1672"/>
    </row>
    <row r="154" spans="1:40" ht="17.100000000000001" customHeight="1">
      <c r="A154" s="1889"/>
      <c r="B154" s="1908" t="s">
        <v>993</v>
      </c>
      <c r="O154" s="1672"/>
      <c r="Q154" s="1901"/>
      <c r="W154" s="1672"/>
      <c r="X154" s="1672"/>
      <c r="AM154" s="1672"/>
      <c r="AN154" s="1672"/>
    </row>
    <row r="155" spans="1:40" ht="17.100000000000001" customHeight="1">
      <c r="A155" s="1889"/>
      <c r="O155" s="1672"/>
      <c r="P155" s="1568"/>
      <c r="Q155" s="2763"/>
      <c r="W155" s="1672"/>
      <c r="X155" s="1672"/>
      <c r="AM155" s="1672"/>
      <c r="AN155" s="1672"/>
    </row>
    <row r="156" spans="1:40" s="1651" customFormat="1" ht="25.5" customHeight="1">
      <c r="A156" s="1944"/>
      <c r="B156" s="4571" t="s">
        <v>992</v>
      </c>
      <c r="C156" s="4571"/>
      <c r="D156" s="1653"/>
      <c r="E156" s="4572" t="s">
        <v>358</v>
      </c>
      <c r="F156" s="1652"/>
      <c r="G156" s="4531" t="s">
        <v>991</v>
      </c>
      <c r="H156" s="4571"/>
      <c r="I156" s="4529" t="s">
        <v>913</v>
      </c>
      <c r="J156" s="4531"/>
      <c r="K156" s="1546" t="s">
        <v>577</v>
      </c>
      <c r="L156" s="4529" t="s">
        <v>990</v>
      </c>
      <c r="M156" s="4530"/>
      <c r="N156" s="4530"/>
      <c r="O156" s="4530"/>
      <c r="P156" s="4531"/>
      <c r="Q156" s="2764"/>
      <c r="S156" s="1948"/>
      <c r="T156" s="1948"/>
      <c r="U156" s="1948"/>
      <c r="V156" s="2765"/>
      <c r="W156" s="1948"/>
      <c r="X156" s="1948"/>
      <c r="Y156" s="1948"/>
      <c r="Z156" s="1948"/>
      <c r="AA156" s="2765"/>
      <c r="AB156" s="2765"/>
      <c r="AC156" s="1947"/>
      <c r="AD156" s="1948"/>
      <c r="AE156" s="2766"/>
      <c r="AM156" s="1948"/>
      <c r="AN156" s="1948"/>
    </row>
    <row r="157" spans="1:40" s="1651" customFormat="1" ht="25.5" customHeight="1">
      <c r="A157" s="1944"/>
      <c r="B157" s="1546" t="s">
        <v>6</v>
      </c>
      <c r="C157" s="1546" t="s">
        <v>989</v>
      </c>
      <c r="E157" s="4573"/>
      <c r="F157" s="1649"/>
      <c r="G157" s="1648" t="s">
        <v>6</v>
      </c>
      <c r="H157" s="1546" t="s">
        <v>174</v>
      </c>
      <c r="I157" s="1546" t="s">
        <v>978</v>
      </c>
      <c r="J157" s="1546" t="s">
        <v>988</v>
      </c>
      <c r="K157" s="1647" t="s">
        <v>987</v>
      </c>
      <c r="L157" s="1546" t="s">
        <v>986</v>
      </c>
      <c r="M157" s="1546" t="s">
        <v>985</v>
      </c>
      <c r="N157" s="1646"/>
      <c r="O157" s="1646" t="s">
        <v>984</v>
      </c>
      <c r="P157" s="1546" t="s">
        <v>983</v>
      </c>
      <c r="Q157" s="2764"/>
      <c r="S157" s="1948"/>
      <c r="T157" s="1948"/>
      <c r="U157" s="1948"/>
      <c r="V157" s="2765"/>
      <c r="W157" s="1948"/>
      <c r="X157" s="1948"/>
      <c r="Y157" s="1948"/>
      <c r="Z157" s="2766"/>
      <c r="AA157" s="2767"/>
      <c r="AB157" s="2767"/>
      <c r="AC157" s="2768"/>
      <c r="AD157" s="2765"/>
      <c r="AE157" s="2767"/>
      <c r="AM157" s="1948"/>
      <c r="AN157" s="1948"/>
    </row>
    <row r="158" spans="1:40" ht="17.100000000000001" customHeight="1">
      <c r="A158" s="1889"/>
      <c r="B158" s="2738"/>
      <c r="C158" s="1543" t="s">
        <v>2</v>
      </c>
      <c r="D158" s="1669"/>
      <c r="E158" s="1540" t="s">
        <v>1</v>
      </c>
      <c r="F158" s="1915"/>
      <c r="G158" s="1544" t="s">
        <v>982</v>
      </c>
      <c r="H158" s="1543" t="s">
        <v>120</v>
      </c>
      <c r="I158" s="1543" t="s">
        <v>908</v>
      </c>
      <c r="J158" s="1543"/>
      <c r="K158" s="1543" t="s">
        <v>908</v>
      </c>
      <c r="L158" s="1543" t="s">
        <v>908</v>
      </c>
      <c r="M158" s="1543" t="s">
        <v>908</v>
      </c>
      <c r="N158" s="1540"/>
      <c r="O158" s="1540" t="s">
        <v>908</v>
      </c>
      <c r="P158" s="2769"/>
      <c r="Q158" s="2763"/>
      <c r="S158" s="1672"/>
      <c r="T158" s="1672"/>
      <c r="U158" s="1672"/>
      <c r="V158" s="1933"/>
      <c r="W158" s="1672"/>
      <c r="X158" s="1672"/>
      <c r="Y158" s="1672"/>
      <c r="Z158" s="1672"/>
      <c r="AA158" s="1650"/>
      <c r="AB158" s="1650"/>
      <c r="AC158" s="1568"/>
      <c r="AD158" s="1672"/>
      <c r="AE158" s="1672"/>
      <c r="AM158" s="1672"/>
      <c r="AN158" s="1672"/>
    </row>
    <row r="159" spans="1:40" ht="17.100000000000001" customHeight="1">
      <c r="A159" s="1889"/>
      <c r="B159" s="1645">
        <f>MAX(B92:B130)-20</f>
        <v>980</v>
      </c>
      <c r="C159" s="1644">
        <f t="shared" ref="C159:C190" si="20">(B159-$B$25)/100</f>
        <v>9.8000000000000007</v>
      </c>
      <c r="D159" s="1639"/>
      <c r="E159" s="1643">
        <f>MAX(E93:E131)+(C159-MAX(C93:C131))/O81*100</f>
        <v>13.465959419786168</v>
      </c>
      <c r="F159" s="1642"/>
      <c r="G159" s="1636">
        <v>0</v>
      </c>
      <c r="H159" s="1641">
        <v>0</v>
      </c>
      <c r="I159" s="1641">
        <v>190</v>
      </c>
      <c r="J159" s="1638">
        <v>0</v>
      </c>
      <c r="K159" s="1638">
        <v>0</v>
      </c>
      <c r="L159" s="1640">
        <f t="shared" ref="L159:L190" si="21">$G$148+K159</f>
        <v>390</v>
      </c>
      <c r="M159" s="1640">
        <f t="shared" ref="M159:M190" si="22">L159-I159</f>
        <v>200</v>
      </c>
      <c r="N159" s="1639"/>
      <c r="O159" s="1639">
        <f t="shared" ref="O159:O190" si="23">$G$148-I159</f>
        <v>200</v>
      </c>
      <c r="P159" s="1638">
        <f t="shared" ref="P159:P190" si="24">M159/O159</f>
        <v>1</v>
      </c>
      <c r="Q159" s="2763"/>
      <c r="S159" s="1907"/>
      <c r="T159" s="1672"/>
      <c r="U159" s="1672"/>
      <c r="V159" s="1650"/>
      <c r="W159" s="1976"/>
      <c r="X159" s="2777"/>
      <c r="Y159" s="1907"/>
      <c r="Z159" s="1907"/>
      <c r="AA159" s="1650"/>
      <c r="AB159" s="1654"/>
      <c r="AC159" s="1568"/>
      <c r="AD159" s="1671"/>
      <c r="AE159" s="1671"/>
      <c r="AM159" s="1672"/>
      <c r="AN159" s="1672"/>
    </row>
    <row r="160" spans="1:40" ht="17.100000000000001" customHeight="1">
      <c r="A160" s="1889"/>
      <c r="B160" s="1636">
        <f t="shared" ref="B160:B190" si="25">B159+20</f>
        <v>1000</v>
      </c>
      <c r="C160" s="1634">
        <f t="shared" si="20"/>
        <v>10</v>
      </c>
      <c r="D160" s="1626"/>
      <c r="E160" s="1633">
        <f t="shared" ref="E160:E190" si="26">E159+(C160-C159)/$O$148*100</f>
        <v>13.775029379626231</v>
      </c>
      <c r="F160" s="1637"/>
      <c r="G160" s="1636">
        <v>109</v>
      </c>
      <c r="H160" s="1631">
        <f t="shared" ref="H160:H190" si="27">G160*$O$151</f>
        <v>128.947</v>
      </c>
      <c r="I160" s="1635">
        <v>198.5</v>
      </c>
      <c r="J160" s="1625">
        <f t="shared" ref="J160:J190" si="28">I160-$I$159</f>
        <v>8.5</v>
      </c>
      <c r="K160" s="1628">
        <f t="shared" ref="K160:K190" si="29">(H160/$O$147)*((1-(E160-$E$159)/100))*1000</f>
        <v>102.92626278350525</v>
      </c>
      <c r="L160" s="1629">
        <f t="shared" si="21"/>
        <v>492.92626278350525</v>
      </c>
      <c r="M160" s="1629">
        <f t="shared" si="22"/>
        <v>294.42626278350525</v>
      </c>
      <c r="N160" s="1626"/>
      <c r="O160" s="1626">
        <f t="shared" si="23"/>
        <v>191.5</v>
      </c>
      <c r="P160" s="1628">
        <f t="shared" si="24"/>
        <v>1.5374739570940221</v>
      </c>
      <c r="Q160" s="2763"/>
      <c r="R160" s="1667"/>
      <c r="W160" s="1672"/>
      <c r="X160" s="1672"/>
      <c r="AM160" s="1672"/>
      <c r="AN160" s="1672"/>
    </row>
    <row r="161" spans="1:40" ht="17.100000000000001" customHeight="1">
      <c r="A161" s="1889"/>
      <c r="B161" s="1636">
        <f t="shared" si="25"/>
        <v>1020</v>
      </c>
      <c r="C161" s="1634">
        <f t="shared" si="20"/>
        <v>10.199999999999999</v>
      </c>
      <c r="D161" s="1626"/>
      <c r="E161" s="1633">
        <f t="shared" si="26"/>
        <v>14.084099339466293</v>
      </c>
      <c r="F161" s="1637"/>
      <c r="G161" s="1636">
        <v>185</v>
      </c>
      <c r="H161" s="1631">
        <f t="shared" si="27"/>
        <v>218.85500000000002</v>
      </c>
      <c r="I161" s="1635">
        <v>206.4</v>
      </c>
      <c r="J161" s="1625">
        <f t="shared" si="28"/>
        <v>16.400000000000006</v>
      </c>
      <c r="K161" s="1628">
        <f t="shared" si="29"/>
        <v>174.14977101357195</v>
      </c>
      <c r="L161" s="1629">
        <f t="shared" si="21"/>
        <v>564.14977101357192</v>
      </c>
      <c r="M161" s="1629">
        <f t="shared" si="22"/>
        <v>357.74977101357194</v>
      </c>
      <c r="N161" s="1626"/>
      <c r="O161" s="1626">
        <f t="shared" si="23"/>
        <v>183.6</v>
      </c>
      <c r="P161" s="1628">
        <f t="shared" si="24"/>
        <v>1.9485281645619388</v>
      </c>
      <c r="Q161" s="2763"/>
      <c r="R161" s="1667"/>
      <c r="W161" s="1672"/>
      <c r="X161" s="1672"/>
      <c r="AM161" s="1672"/>
      <c r="AN161" s="1672"/>
    </row>
    <row r="162" spans="1:40" ht="17.100000000000001" customHeight="1">
      <c r="A162" s="1889"/>
      <c r="B162" s="1636">
        <f t="shared" si="25"/>
        <v>1040</v>
      </c>
      <c r="C162" s="1634">
        <f t="shared" si="20"/>
        <v>10.4</v>
      </c>
      <c r="D162" s="1626"/>
      <c r="E162" s="1633">
        <f t="shared" si="26"/>
        <v>14.39316929930636</v>
      </c>
      <c r="F162" s="1637"/>
      <c r="G162" s="1636">
        <v>240</v>
      </c>
      <c r="H162" s="1631">
        <f t="shared" si="27"/>
        <v>283.92</v>
      </c>
      <c r="I162" s="1635">
        <v>213.5</v>
      </c>
      <c r="J162" s="1625">
        <f t="shared" si="28"/>
        <v>23.5</v>
      </c>
      <c r="K162" s="1628">
        <f t="shared" si="29"/>
        <v>225.22142086994555</v>
      </c>
      <c r="L162" s="1629">
        <f t="shared" si="21"/>
        <v>615.22142086994552</v>
      </c>
      <c r="M162" s="1629">
        <f t="shared" si="22"/>
        <v>401.72142086994552</v>
      </c>
      <c r="N162" s="1626"/>
      <c r="O162" s="1626">
        <f t="shared" si="23"/>
        <v>176.5</v>
      </c>
      <c r="P162" s="1628">
        <f t="shared" si="24"/>
        <v>2.2760420445889267</v>
      </c>
      <c r="Q162" s="2763"/>
      <c r="R162" s="1667"/>
      <c r="T162" s="2784"/>
      <c r="W162" s="1672"/>
      <c r="X162" s="1672"/>
      <c r="AM162" s="1672"/>
      <c r="AN162" s="1672"/>
    </row>
    <row r="163" spans="1:40" ht="17.100000000000001" customHeight="1">
      <c r="A163" s="1889"/>
      <c r="B163" s="1636">
        <f t="shared" si="25"/>
        <v>1060</v>
      </c>
      <c r="C163" s="1634">
        <f t="shared" si="20"/>
        <v>10.6</v>
      </c>
      <c r="D163" s="1626"/>
      <c r="E163" s="1633">
        <f t="shared" si="26"/>
        <v>14.702239259146422</v>
      </c>
      <c r="F163" s="1637"/>
      <c r="G163" s="1636">
        <v>279</v>
      </c>
      <c r="H163" s="1631">
        <f t="shared" si="27"/>
        <v>330.05700000000002</v>
      </c>
      <c r="I163" s="1635">
        <v>220.9</v>
      </c>
      <c r="J163" s="1625">
        <f t="shared" si="28"/>
        <v>30.900000000000006</v>
      </c>
      <c r="K163" s="1628">
        <f t="shared" si="29"/>
        <v>261.0031218318851</v>
      </c>
      <c r="L163" s="1629">
        <f t="shared" si="21"/>
        <v>651.0031218318851</v>
      </c>
      <c r="M163" s="1629">
        <f t="shared" si="22"/>
        <v>430.10312183188512</v>
      </c>
      <c r="N163" s="1626"/>
      <c r="O163" s="1626">
        <f t="shared" si="23"/>
        <v>169.1</v>
      </c>
      <c r="P163" s="1628">
        <f t="shared" si="24"/>
        <v>2.5434838665398294</v>
      </c>
      <c r="Q163" s="2763"/>
      <c r="R163" s="1667"/>
      <c r="S163" s="1664" t="s">
        <v>981</v>
      </c>
      <c r="T163" s="1664" t="s">
        <v>573</v>
      </c>
      <c r="U163" s="2785">
        <f>W163</f>
        <v>22.119918295307958</v>
      </c>
      <c r="V163" s="2785"/>
      <c r="W163" s="1943">
        <f>IF($U$164=K160,E160,IF($U$164=K161,E161,IF($U$164=K162,E162,IF($U$164=K163,E163,IF($U$164=K164,E164,IF($U$164=K165,E165,IF($U$164=K166,E166,X163)))))))</f>
        <v>22.119918295307958</v>
      </c>
      <c r="X163" s="1943">
        <f>IF($U$164=K167,E167,IF($U$164=K168,E168,IF($U$164=K169,E169,IF($U$164=K170,E170,IF($U$164=K171,E171,IF($U$164=K172,E172,IF($U$164=K173,E173,Y163)))))))</f>
        <v>22.119918295307958</v>
      </c>
      <c r="Y163" s="1943">
        <f>IF($U$164=K174,E174,IF($U$164=K175,E175,IF($U$164=K176,E176,IF($U$164=K177,E177,IF($U$164=K178,E178,IF($U$164=K179,E179,IF($U$164=K180,E180,Z163)))))))</f>
        <v>22.119918295307958</v>
      </c>
      <c r="Z163" s="1943">
        <f>IF($U$164=K181,E181,IF($U$164=K182,E182,IF($U$164=K183,E183,IF($U$164=K184,E184,IF($U$164=K185,E185,IF($U$164=K186,E186,IF($U$164=K187,E187,AA163)))))))</f>
        <v>22.119918295307958</v>
      </c>
      <c r="AA163" s="1943">
        <f>IF($U$164=K188,E188,IF($U$164=K189,E189,IF($U$164=K190,E190,IF($U$164=K191,E191,IF($U$164=K192,E192,IF($U$164=K193,E193,IF($U$164=K194,E194,AB163)))))))</f>
        <v>0</v>
      </c>
      <c r="AM163" s="1672"/>
      <c r="AN163" s="1672"/>
    </row>
    <row r="164" spans="1:40" ht="17.100000000000001" customHeight="1">
      <c r="A164" s="1889"/>
      <c r="B164" s="1636">
        <f t="shared" si="25"/>
        <v>1080</v>
      </c>
      <c r="C164" s="1634">
        <f t="shared" si="20"/>
        <v>10.8</v>
      </c>
      <c r="D164" s="1626"/>
      <c r="E164" s="1633">
        <f t="shared" si="26"/>
        <v>15.011309218986488</v>
      </c>
      <c r="F164" s="1637"/>
      <c r="G164" s="1636">
        <v>320</v>
      </c>
      <c r="H164" s="1631">
        <f t="shared" si="27"/>
        <v>378.56</v>
      </c>
      <c r="I164" s="1635">
        <v>228.4</v>
      </c>
      <c r="J164" s="1625">
        <f t="shared" si="28"/>
        <v>38.400000000000006</v>
      </c>
      <c r="K164" s="1628">
        <f t="shared" si="29"/>
        <v>298.42161078418178</v>
      </c>
      <c r="L164" s="1629">
        <f t="shared" si="21"/>
        <v>688.42161078418178</v>
      </c>
      <c r="M164" s="1629">
        <f t="shared" si="22"/>
        <v>460.0216107841818</v>
      </c>
      <c r="N164" s="1626"/>
      <c r="O164" s="1626">
        <f t="shared" si="23"/>
        <v>161.6</v>
      </c>
      <c r="P164" s="1628">
        <f t="shared" si="24"/>
        <v>2.8466683835654814</v>
      </c>
      <c r="Q164" s="2763"/>
      <c r="R164" s="1667"/>
      <c r="S164" s="1664" t="s">
        <v>980</v>
      </c>
      <c r="T164" s="1664" t="s">
        <v>979</v>
      </c>
      <c r="U164" s="2785">
        <f>MAX(K159:K197)</f>
        <v>501.83596431855062</v>
      </c>
      <c r="V164" s="1665"/>
      <c r="W164" s="1976"/>
      <c r="X164" s="1976"/>
      <c r="Y164" s="1665"/>
      <c r="Z164" s="1665"/>
      <c r="AA164" s="1665"/>
      <c r="AM164" s="1672"/>
      <c r="AN164" s="1672"/>
    </row>
    <row r="165" spans="1:40" ht="17.100000000000001" customHeight="1">
      <c r="A165" s="1889"/>
      <c r="B165" s="1636">
        <f t="shared" si="25"/>
        <v>1100</v>
      </c>
      <c r="C165" s="1634">
        <f t="shared" si="20"/>
        <v>11</v>
      </c>
      <c r="D165" s="1626"/>
      <c r="E165" s="1633">
        <f t="shared" si="26"/>
        <v>15.320379178826551</v>
      </c>
      <c r="F165" s="1637"/>
      <c r="G165" s="1636">
        <v>338</v>
      </c>
      <c r="H165" s="1631">
        <f t="shared" si="27"/>
        <v>399.85400000000004</v>
      </c>
      <c r="I165" s="1635">
        <v>234.4</v>
      </c>
      <c r="J165" s="1625">
        <f t="shared" si="28"/>
        <v>44.400000000000006</v>
      </c>
      <c r="K165" s="1628">
        <f t="shared" si="29"/>
        <v>314.21832239026816</v>
      </c>
      <c r="L165" s="1629">
        <f t="shared" si="21"/>
        <v>704.21832239026821</v>
      </c>
      <c r="M165" s="1629">
        <f t="shared" si="22"/>
        <v>469.81832239026824</v>
      </c>
      <c r="N165" s="1626"/>
      <c r="O165" s="1626">
        <f t="shared" si="23"/>
        <v>155.6</v>
      </c>
      <c r="P165" s="1628">
        <f t="shared" si="24"/>
        <v>3.0193979588063513</v>
      </c>
      <c r="Q165" s="2763"/>
      <c r="R165" s="1667"/>
      <c r="S165" s="1664"/>
      <c r="T165" s="1664" t="s">
        <v>978</v>
      </c>
      <c r="U165" s="1665">
        <f>W165</f>
        <v>253</v>
      </c>
      <c r="V165" s="1665"/>
      <c r="W165" s="1976">
        <f>IF($U$164=K160,I160,IF($U$164=K161,I161,IF($U$164=K162,I162,IF($U$164=K163,I163,IF($U$164=K164,I164,IF($U$164=K165,I165,IF($U$164=K166,I166,X165)))))))</f>
        <v>253</v>
      </c>
      <c r="X165" s="1976">
        <f>IF($U$164=K167,I167,IF($U$164=K168,I168,IF($U$164=K169,I169,IF($U$164=K170,I170,IF($U$164=K171,I171,IF($U$164=K172,I172,IF($U$164=K173,I173,Y165)))))))</f>
        <v>253</v>
      </c>
      <c r="Y165" s="1976">
        <f>IF($U$164=K174,I174,IF($U$164=K175,I175,IF($U$164=K176,I176,IF($U$164=K177,I177,IF($U$164=K178,I178,IF($U$164=K179,I179,IF($U$164=K180,I180,Z165)))))))</f>
        <v>253</v>
      </c>
      <c r="Z165" s="1976">
        <f>IF($U$164=K181,I181,IF($U$164=K182,I182,IF($U$164=K183,I183,IF($U$164=K184,I184,IF($U$164=K185,I185,IF($U$164=K186,I186,IF($U$164=K187,I187,AA165)))))))</f>
        <v>253</v>
      </c>
      <c r="AA165" s="1976">
        <f>IF($U$164=K188,I188,IF($U$164=K189,I189,IF($U$164=K190,I190,IF($U$164=K191,I191,IF($U$164=K192,I192,IF($U$164=K193,I193,IF($U$164=K194,I194,AB165)))))))</f>
        <v>0</v>
      </c>
      <c r="AM165" s="1672"/>
      <c r="AN165" s="1672"/>
    </row>
    <row r="166" spans="1:40" ht="17.100000000000001" customHeight="1">
      <c r="A166" s="1889"/>
      <c r="B166" s="1636">
        <f t="shared" si="25"/>
        <v>1120</v>
      </c>
      <c r="C166" s="1634">
        <f t="shared" si="20"/>
        <v>11.2</v>
      </c>
      <c r="D166" s="1626"/>
      <c r="E166" s="1633">
        <f t="shared" si="26"/>
        <v>15.629449138666613</v>
      </c>
      <c r="F166" s="1637"/>
      <c r="G166" s="1636">
        <v>355</v>
      </c>
      <c r="H166" s="1631">
        <f t="shared" si="27"/>
        <v>419.96500000000003</v>
      </c>
      <c r="I166" s="1635">
        <v>236.9</v>
      </c>
      <c r="J166" s="1625">
        <f t="shared" si="28"/>
        <v>46.900000000000006</v>
      </c>
      <c r="K166" s="1628">
        <f t="shared" si="29"/>
        <v>328.98293055727572</v>
      </c>
      <c r="L166" s="1629">
        <f t="shared" si="21"/>
        <v>718.98293055727572</v>
      </c>
      <c r="M166" s="1629">
        <f t="shared" si="22"/>
        <v>482.08293055727574</v>
      </c>
      <c r="N166" s="1626"/>
      <c r="O166" s="1626">
        <f t="shared" si="23"/>
        <v>153.1</v>
      </c>
      <c r="P166" s="1628">
        <f t="shared" si="24"/>
        <v>3.1488107809097046</v>
      </c>
      <c r="Q166" s="2763"/>
      <c r="R166" s="1667"/>
      <c r="S166" s="1664"/>
      <c r="T166" s="1664" t="s">
        <v>977</v>
      </c>
      <c r="U166" s="1665">
        <f>W166</f>
        <v>137</v>
      </c>
      <c r="V166" s="1665"/>
      <c r="W166" s="1976">
        <f>IF($U$164=K160,O160,IF($U$164=K161,O161,IF($U$164=K162,O162,IF($U$164=K163,O163,IF($U$164=K164,O164,IF($U$164=K165,O165,IF($U$164=K166,O166,X166)))))))</f>
        <v>137</v>
      </c>
      <c r="X166" s="1976">
        <f>IF($U$164=K167,O167,IF($U$164=K168,O168,IF($U$164=K169,O169,IF($U$164=K170,O170,IF($U$164=K171,O171,IF($U$164=K172,O172,IF($U$164=K173,O173,Y166)))))))</f>
        <v>137</v>
      </c>
      <c r="Y166" s="1976">
        <f>IF($U$164=K174,O174,IF($U$164=K175,O175,IF($U$164=K176,O176,IF($U$164=K177,O177,IF($U$164=K178,O178,IF($U$164=K179,O179,IF($U$164=K180,O180,Z166)))))))</f>
        <v>137</v>
      </c>
      <c r="Z166" s="1976">
        <f>IF($U$164=K181,O181,IF($U$164=K182,O182,IF($U$164=K183,O183,IF($U$164=K184,O184,IF($U$164=K185,O185,IF($U$164=K186,O186,IF($U$164=K187,O187,AA166)))))))</f>
        <v>137</v>
      </c>
      <c r="AA166" s="1976">
        <f>IF($U$164=K188,O188,IF($U$164=K189,O189,IF($U$164=K190,O190,IF($U$164=K191,O191,IF($U$164=K192,O192,IF($U$164=K193,O193,IF($U$164=K194,O194,AB166)))))))</f>
        <v>0</v>
      </c>
      <c r="AM166" s="1672"/>
      <c r="AN166" s="1672"/>
    </row>
    <row r="167" spans="1:40" ht="17.100000000000001" customHeight="1">
      <c r="A167" s="1889"/>
      <c r="B167" s="1636">
        <f t="shared" si="25"/>
        <v>1140</v>
      </c>
      <c r="C167" s="1634">
        <f t="shared" si="20"/>
        <v>11.4</v>
      </c>
      <c r="D167" s="1626"/>
      <c r="E167" s="1633">
        <f t="shared" si="26"/>
        <v>15.93851909850668</v>
      </c>
      <c r="F167" s="1637"/>
      <c r="G167" s="1636">
        <v>367</v>
      </c>
      <c r="H167" s="1631">
        <f t="shared" si="27"/>
        <v>434.161</v>
      </c>
      <c r="I167" s="1635">
        <v>238.8</v>
      </c>
      <c r="J167" s="1625">
        <f t="shared" si="28"/>
        <v>48.800000000000011</v>
      </c>
      <c r="K167" s="1628">
        <f t="shared" si="29"/>
        <v>339.02907804983386</v>
      </c>
      <c r="L167" s="1629">
        <f t="shared" si="21"/>
        <v>729.02907804983386</v>
      </c>
      <c r="M167" s="1629">
        <f t="shared" si="22"/>
        <v>490.22907804983384</v>
      </c>
      <c r="N167" s="1626"/>
      <c r="O167" s="1626">
        <f t="shared" si="23"/>
        <v>151.19999999999999</v>
      </c>
      <c r="P167" s="1628">
        <f t="shared" si="24"/>
        <v>3.2422558072078962</v>
      </c>
      <c r="Q167" s="2763"/>
      <c r="R167" s="1667"/>
      <c r="S167" s="1664"/>
      <c r="T167" s="1664" t="s">
        <v>976</v>
      </c>
      <c r="U167" s="1665">
        <f>W167</f>
        <v>638.83596431855062</v>
      </c>
      <c r="V167" s="1665"/>
      <c r="W167" s="1976">
        <f>IF($U$164=K160,M160,IF($U$164=K161,M161,IF($U$164=K162,M162,IF($U$164=K163,M163,IF($U$164=K164,M164,IF($U$164=K165,M165,IF($U$164=K166,M166,X167)))))))</f>
        <v>638.83596431855062</v>
      </c>
      <c r="X167" s="1976">
        <f>IF($U$164=K167,M167,IF($U$164=K168,M168,IF($U$164=K169,M169,IF($U$164=K170,M170,IF($U$164=K171,M171,IF($U$164=K172,M172,IF($U$164=K173,M173,Y167)))))))</f>
        <v>638.83596431855062</v>
      </c>
      <c r="Y167" s="1976">
        <f>IF($U$164=K174,M174,IF($U$164=K175,M175,IF($U$164=K176,M176,IF($U$164=K177,M177,IF($U$164=K178,M178,IF($U$164=K179,M179,IF($U$164=K180,M180,Z167)))))))</f>
        <v>638.83596431855062</v>
      </c>
      <c r="Z167" s="1976">
        <f>IF($U$164=K181,M181,IF($U$164=K182,M182,IF($U$164=K183,M183,IF($U$164=K184,M184,IF($U$164=K185,M185,IF($U$164=K186,M186,IF($U$164=K187,M187,AA167)))))))</f>
        <v>638.83596431855062</v>
      </c>
      <c r="AA167" s="1976">
        <f>IF($U$164=K188,M188,IF($U$164=K189,M189,IF($U$164=K190,M190,IF($U$164=K191,M191,IF($U$164=K192,M192,IF($U$164=K193,M193,IF($U$164=K194,M194,AB167)))))))</f>
        <v>0</v>
      </c>
      <c r="AM167" s="1672"/>
      <c r="AN167" s="1672"/>
    </row>
    <row r="168" spans="1:40" ht="17.100000000000001" customHeight="1">
      <c r="A168" s="1889"/>
      <c r="B168" s="1636">
        <f t="shared" si="25"/>
        <v>1160</v>
      </c>
      <c r="C168" s="1634">
        <f t="shared" si="20"/>
        <v>11.6</v>
      </c>
      <c r="D168" s="1626"/>
      <c r="E168" s="1633">
        <f t="shared" si="26"/>
        <v>16.24758905834674</v>
      </c>
      <c r="F168" s="1637"/>
      <c r="G168" s="1636">
        <v>379</v>
      </c>
      <c r="H168" s="1631">
        <f t="shared" si="27"/>
        <v>448.35700000000003</v>
      </c>
      <c r="I168" s="1635">
        <v>240.7</v>
      </c>
      <c r="J168" s="1625">
        <f t="shared" si="28"/>
        <v>50.699999999999989</v>
      </c>
      <c r="K168" s="1628">
        <f t="shared" si="29"/>
        <v>349.00496490330153</v>
      </c>
      <c r="L168" s="1629">
        <f t="shared" si="21"/>
        <v>739.00496490330147</v>
      </c>
      <c r="M168" s="1629">
        <f t="shared" si="22"/>
        <v>498.30496490330148</v>
      </c>
      <c r="N168" s="1626"/>
      <c r="O168" s="1626">
        <f t="shared" si="23"/>
        <v>149.30000000000001</v>
      </c>
      <c r="P168" s="1628">
        <f t="shared" si="24"/>
        <v>3.3376086061842027</v>
      </c>
      <c r="Q168" s="2763"/>
      <c r="R168" s="1667"/>
      <c r="T168" s="1664" t="s">
        <v>975</v>
      </c>
      <c r="U168" s="1665">
        <f>W168</f>
        <v>891.83596431855062</v>
      </c>
      <c r="W168" s="1976">
        <f>IF($U$164=K160,L160,IF($U$164=K161,L161,IF($U$164=K162,L162,IF($U$164=K163,L163,IF($U$164=K164,L164,IF($U$164=K165,L165,IF($U$164=K166,L166,X168)))))))</f>
        <v>891.83596431855062</v>
      </c>
      <c r="X168" s="1976">
        <f>IF($U$164=K167,L167,IF($U$164=K168,L168,IF($U$164=K169,L169,IF($U$164=K170,L170,IF($U$164=K171,L171,IF($U$164=K172,L172,IF($U$164=K173,L173,Y168)))))))</f>
        <v>891.83596431855062</v>
      </c>
      <c r="Y168" s="1976">
        <f>IF($U$164=K174,L174,IF($U$164=K175,L175,IF($U$164=K176,L176,IF($U$164=K177,L177,IF($U$164=K178,L178,IF($U$164=K179,L179,IF($U$164=K180,L180,Z168)))))))</f>
        <v>891.83596431855062</v>
      </c>
      <c r="Z168" s="1976">
        <f>IF($U$164=K181,L181,IF($U$164=K182,L182,IF($U$164=K183,L183,IF($U$164=K184,L184,IF($U$164=K185,L185,IF($U$164=K186,L186,IF($U$164=K187,L187,AA168)))))))</f>
        <v>891.83596431855062</v>
      </c>
      <c r="AA168" s="1976">
        <f>IF($U$164=K188,L188,IF($U$164=K189,L189,IF($U$164=K190,L190,IF($U$164=K191,L191,IF($U$164=K192,L192,IF($U$164=K193,L193,IF($U$164=K194,L194,AB168)))))))</f>
        <v>0</v>
      </c>
      <c r="AM168" s="1672"/>
      <c r="AN168" s="1672"/>
    </row>
    <row r="169" spans="1:40" ht="17.100000000000001" customHeight="1">
      <c r="A169" s="1889"/>
      <c r="B169" s="1636">
        <f t="shared" si="25"/>
        <v>1180</v>
      </c>
      <c r="C169" s="1634">
        <f t="shared" si="20"/>
        <v>11.8</v>
      </c>
      <c r="D169" s="1626"/>
      <c r="E169" s="1633">
        <f t="shared" si="26"/>
        <v>16.556659018186807</v>
      </c>
      <c r="F169" s="1637"/>
      <c r="G169" s="1636">
        <v>392</v>
      </c>
      <c r="H169" s="1631">
        <f t="shared" si="27"/>
        <v>463.73600000000005</v>
      </c>
      <c r="I169" s="1635">
        <v>242.3</v>
      </c>
      <c r="J169" s="1625">
        <f t="shared" si="28"/>
        <v>52.300000000000011</v>
      </c>
      <c r="K169" s="1628">
        <f t="shared" si="29"/>
        <v>359.82852101823551</v>
      </c>
      <c r="L169" s="1629">
        <f t="shared" si="21"/>
        <v>749.82852101823551</v>
      </c>
      <c r="M169" s="1629">
        <f t="shared" si="22"/>
        <v>507.52852101823549</v>
      </c>
      <c r="N169" s="1626"/>
      <c r="O169" s="1626">
        <f t="shared" si="23"/>
        <v>147.69999999999999</v>
      </c>
      <c r="P169" s="1628">
        <f t="shared" si="24"/>
        <v>3.4362120583495974</v>
      </c>
      <c r="Q169" s="2763"/>
      <c r="R169" s="1667"/>
      <c r="T169" s="1664" t="s">
        <v>974</v>
      </c>
      <c r="U169" s="2785">
        <f>U168-U164</f>
        <v>390</v>
      </c>
      <c r="W169" s="1672"/>
      <c r="X169" s="1672"/>
      <c r="AM169" s="1672"/>
      <c r="AN169" s="1672"/>
    </row>
    <row r="170" spans="1:40" ht="17.100000000000001" customHeight="1">
      <c r="A170" s="1889"/>
      <c r="B170" s="1636">
        <f t="shared" si="25"/>
        <v>1200</v>
      </c>
      <c r="C170" s="1634">
        <f t="shared" si="20"/>
        <v>12</v>
      </c>
      <c r="D170" s="1626"/>
      <c r="E170" s="1633">
        <f t="shared" si="26"/>
        <v>16.865728978026869</v>
      </c>
      <c r="F170" s="1637"/>
      <c r="G170" s="1636">
        <v>410</v>
      </c>
      <c r="H170" s="1631">
        <f t="shared" si="27"/>
        <v>485.03000000000003</v>
      </c>
      <c r="I170" s="1635">
        <v>243.6</v>
      </c>
      <c r="J170" s="1625">
        <f t="shared" si="28"/>
        <v>53.599999999999994</v>
      </c>
      <c r="K170" s="1628">
        <f t="shared" si="29"/>
        <v>375.15097331046115</v>
      </c>
      <c r="L170" s="1629">
        <f t="shared" si="21"/>
        <v>765.15097331046115</v>
      </c>
      <c r="M170" s="1629">
        <f t="shared" si="22"/>
        <v>521.55097331046113</v>
      </c>
      <c r="N170" s="1626"/>
      <c r="O170" s="1626">
        <f t="shared" si="23"/>
        <v>146.4</v>
      </c>
      <c r="P170" s="1628">
        <f t="shared" si="24"/>
        <v>3.5625066482954995</v>
      </c>
      <c r="Q170" s="2763"/>
      <c r="R170" s="1667"/>
      <c r="W170" s="1672"/>
      <c r="X170" s="1672"/>
      <c r="AM170" s="1672"/>
      <c r="AN170" s="1672"/>
    </row>
    <row r="171" spans="1:40" ht="17.100000000000001" customHeight="1">
      <c r="A171" s="1889"/>
      <c r="B171" s="1636">
        <f t="shared" si="25"/>
        <v>1220</v>
      </c>
      <c r="C171" s="1634">
        <f t="shared" si="20"/>
        <v>12.2</v>
      </c>
      <c r="D171" s="1626"/>
      <c r="E171" s="1633">
        <f t="shared" si="26"/>
        <v>17.174798937866932</v>
      </c>
      <c r="F171" s="1637"/>
      <c r="G171" s="1636">
        <v>428</v>
      </c>
      <c r="H171" s="1631">
        <f t="shared" si="27"/>
        <v>506.32400000000001</v>
      </c>
      <c r="I171" s="1635">
        <v>244.8</v>
      </c>
      <c r="J171" s="1625">
        <f t="shared" si="28"/>
        <v>54.800000000000011</v>
      </c>
      <c r="K171" s="1628">
        <f t="shared" si="29"/>
        <v>390.36803464405119</v>
      </c>
      <c r="L171" s="1629">
        <f t="shared" si="21"/>
        <v>780.36803464405125</v>
      </c>
      <c r="M171" s="1629">
        <f t="shared" si="22"/>
        <v>535.56803464405129</v>
      </c>
      <c r="N171" s="1626"/>
      <c r="O171" s="1626">
        <f t="shared" si="23"/>
        <v>145.19999999999999</v>
      </c>
      <c r="P171" s="1628">
        <f t="shared" si="24"/>
        <v>3.6884850870802435</v>
      </c>
      <c r="Q171" s="2763"/>
      <c r="R171" s="1667"/>
      <c r="W171" s="1672"/>
      <c r="X171" s="1672"/>
      <c r="AM171" s="1672"/>
      <c r="AN171" s="1672"/>
    </row>
    <row r="172" spans="1:40" ht="17.100000000000001" customHeight="1">
      <c r="A172" s="1889"/>
      <c r="B172" s="1636">
        <f t="shared" si="25"/>
        <v>1240</v>
      </c>
      <c r="C172" s="1634">
        <f t="shared" si="20"/>
        <v>12.4</v>
      </c>
      <c r="D172" s="1626"/>
      <c r="E172" s="1633">
        <f t="shared" si="26"/>
        <v>17.483868897706998</v>
      </c>
      <c r="F172" s="1637"/>
      <c r="G172" s="1636">
        <v>447</v>
      </c>
      <c r="H172" s="1631">
        <f t="shared" si="27"/>
        <v>528.80100000000004</v>
      </c>
      <c r="I172" s="1635">
        <v>246.4</v>
      </c>
      <c r="J172" s="1625">
        <f t="shared" si="28"/>
        <v>56.400000000000006</v>
      </c>
      <c r="K172" s="1628">
        <f t="shared" si="29"/>
        <v>406.38885233967596</v>
      </c>
      <c r="L172" s="1629">
        <f t="shared" si="21"/>
        <v>796.38885233967596</v>
      </c>
      <c r="M172" s="1629">
        <f t="shared" si="22"/>
        <v>549.98885233967599</v>
      </c>
      <c r="N172" s="1626"/>
      <c r="O172" s="1626">
        <f t="shared" si="23"/>
        <v>143.6</v>
      </c>
      <c r="P172" s="1628">
        <f t="shared" si="24"/>
        <v>3.8300059355130642</v>
      </c>
      <c r="Q172" s="2763"/>
      <c r="R172" s="1667"/>
      <c r="W172" s="1672"/>
      <c r="X172" s="1672"/>
      <c r="AM172" s="1672"/>
      <c r="AN172" s="1672"/>
    </row>
    <row r="173" spans="1:40" ht="17.100000000000001" customHeight="1">
      <c r="A173" s="1889"/>
      <c r="B173" s="1636">
        <f t="shared" si="25"/>
        <v>1260</v>
      </c>
      <c r="C173" s="1634">
        <f t="shared" si="20"/>
        <v>12.6</v>
      </c>
      <c r="D173" s="1626"/>
      <c r="E173" s="1633">
        <f t="shared" si="26"/>
        <v>17.79293885754706</v>
      </c>
      <c r="F173" s="1637"/>
      <c r="G173" s="1636">
        <v>460</v>
      </c>
      <c r="H173" s="1631">
        <f t="shared" si="27"/>
        <v>544.18000000000006</v>
      </c>
      <c r="I173" s="1635">
        <v>247.6</v>
      </c>
      <c r="J173" s="1625">
        <f t="shared" si="28"/>
        <v>57.599999999999994</v>
      </c>
      <c r="K173" s="1628">
        <f t="shared" si="29"/>
        <v>416.86110525915763</v>
      </c>
      <c r="L173" s="1629">
        <f t="shared" si="21"/>
        <v>806.86110525915763</v>
      </c>
      <c r="M173" s="1629">
        <f t="shared" si="22"/>
        <v>559.2611052591576</v>
      </c>
      <c r="N173" s="1626"/>
      <c r="O173" s="1626">
        <f t="shared" si="23"/>
        <v>142.4</v>
      </c>
      <c r="P173" s="1628">
        <f t="shared" si="24"/>
        <v>3.9273954021008257</v>
      </c>
      <c r="Q173" s="2763"/>
      <c r="R173" s="1667"/>
      <c r="W173" s="1672"/>
      <c r="X173" s="1672"/>
      <c r="AM173" s="1672"/>
      <c r="AN173" s="1672"/>
    </row>
    <row r="174" spans="1:40" ht="17.100000000000001" customHeight="1">
      <c r="A174" s="1889"/>
      <c r="B174" s="1636">
        <f t="shared" si="25"/>
        <v>1280</v>
      </c>
      <c r="C174" s="1634">
        <f t="shared" si="20"/>
        <v>12.8</v>
      </c>
      <c r="D174" s="1626"/>
      <c r="E174" s="1633">
        <f t="shared" si="26"/>
        <v>18.102008817387127</v>
      </c>
      <c r="F174" s="1626"/>
      <c r="G174" s="1636">
        <v>469</v>
      </c>
      <c r="H174" s="1631">
        <f t="shared" si="27"/>
        <v>554.827</v>
      </c>
      <c r="I174" s="1635">
        <v>248.9</v>
      </c>
      <c r="J174" s="1625">
        <f t="shared" si="28"/>
        <v>58.900000000000006</v>
      </c>
      <c r="K174" s="1628">
        <f t="shared" si="29"/>
        <v>423.64407341663969</v>
      </c>
      <c r="L174" s="1629">
        <f t="shared" si="21"/>
        <v>813.64407341663969</v>
      </c>
      <c r="M174" s="1629">
        <f t="shared" si="22"/>
        <v>564.74407341663971</v>
      </c>
      <c r="N174" s="1626"/>
      <c r="O174" s="1626">
        <f t="shared" si="23"/>
        <v>141.1</v>
      </c>
      <c r="P174" s="1628">
        <f t="shared" si="24"/>
        <v>4.0024385075594591</v>
      </c>
      <c r="Q174" s="2763"/>
      <c r="R174" s="1667"/>
      <c r="W174" s="1672"/>
      <c r="X174" s="1672"/>
      <c r="AM174" s="1672"/>
      <c r="AN174" s="1672"/>
    </row>
    <row r="175" spans="1:40" ht="17.100000000000001" customHeight="1">
      <c r="A175" s="1889"/>
      <c r="B175" s="1636">
        <f t="shared" si="25"/>
        <v>1300</v>
      </c>
      <c r="C175" s="1634">
        <f t="shared" si="20"/>
        <v>13</v>
      </c>
      <c r="D175" s="1626"/>
      <c r="E175" s="1633">
        <f t="shared" si="26"/>
        <v>18.411078777227189</v>
      </c>
      <c r="F175" s="1626"/>
      <c r="G175" s="1636">
        <v>478</v>
      </c>
      <c r="H175" s="1631">
        <f t="shared" si="27"/>
        <v>565.47400000000005</v>
      </c>
      <c r="I175" s="1635">
        <v>249.9</v>
      </c>
      <c r="J175" s="1625">
        <f t="shared" si="28"/>
        <v>59.900000000000006</v>
      </c>
      <c r="K175" s="1628">
        <f t="shared" si="29"/>
        <v>430.37434609480408</v>
      </c>
      <c r="L175" s="1629">
        <f t="shared" si="21"/>
        <v>820.37434609480408</v>
      </c>
      <c r="M175" s="1629">
        <f t="shared" si="22"/>
        <v>570.4743460948041</v>
      </c>
      <c r="N175" s="1626"/>
      <c r="O175" s="1626">
        <f t="shared" si="23"/>
        <v>140.1</v>
      </c>
      <c r="P175" s="1628">
        <f t="shared" si="24"/>
        <v>4.0719082519257972</v>
      </c>
      <c r="Q175" s="1901"/>
      <c r="R175" s="1667"/>
      <c r="W175" s="1672"/>
      <c r="X175" s="1672"/>
      <c r="AM175" s="1672"/>
      <c r="AN175" s="1672"/>
    </row>
    <row r="176" spans="1:40" ht="17.100000000000001" customHeight="1">
      <c r="A176" s="1889"/>
      <c r="B176" s="1636">
        <f t="shared" si="25"/>
        <v>1320</v>
      </c>
      <c r="C176" s="1634">
        <f t="shared" si="20"/>
        <v>13.2</v>
      </c>
      <c r="D176" s="1626"/>
      <c r="E176" s="1633">
        <f t="shared" si="26"/>
        <v>18.720148737067252</v>
      </c>
      <c r="F176" s="1626"/>
      <c r="G176" s="1636">
        <v>496</v>
      </c>
      <c r="H176" s="1631">
        <f t="shared" si="27"/>
        <v>586.76800000000003</v>
      </c>
      <c r="I176" s="1635">
        <v>251.1</v>
      </c>
      <c r="J176" s="1625">
        <f t="shared" si="28"/>
        <v>61.099999999999994</v>
      </c>
      <c r="K176" s="1628">
        <f t="shared" si="29"/>
        <v>445.12885822104857</v>
      </c>
      <c r="L176" s="1629">
        <f t="shared" si="21"/>
        <v>835.12885822104863</v>
      </c>
      <c r="M176" s="1629">
        <f t="shared" si="22"/>
        <v>584.02885822104861</v>
      </c>
      <c r="N176" s="1626"/>
      <c r="O176" s="1626">
        <f t="shared" si="23"/>
        <v>138.9</v>
      </c>
      <c r="P176" s="1628">
        <f t="shared" si="24"/>
        <v>4.2046714054791119</v>
      </c>
      <c r="Q176" s="1901"/>
      <c r="R176" s="1667"/>
      <c r="W176" s="1672"/>
      <c r="X176" s="1672"/>
      <c r="AM176" s="1672"/>
      <c r="AN176" s="1672"/>
    </row>
    <row r="177" spans="1:43" ht="17.100000000000001" customHeight="1">
      <c r="A177" s="1889"/>
      <c r="B177" s="1636">
        <f t="shared" si="25"/>
        <v>1340</v>
      </c>
      <c r="C177" s="1634">
        <f t="shared" si="20"/>
        <v>13.4</v>
      </c>
      <c r="D177" s="1626"/>
      <c r="E177" s="1633">
        <f t="shared" si="26"/>
        <v>19.029218696907318</v>
      </c>
      <c r="F177" s="1626"/>
      <c r="G177" s="1636">
        <v>508</v>
      </c>
      <c r="H177" s="1631">
        <f t="shared" si="27"/>
        <v>600.96400000000006</v>
      </c>
      <c r="I177" s="1635">
        <v>252.1</v>
      </c>
      <c r="J177" s="1625">
        <f t="shared" si="28"/>
        <v>62.099999999999994</v>
      </c>
      <c r="K177" s="1628">
        <f t="shared" si="29"/>
        <v>454.41092126349804</v>
      </c>
      <c r="L177" s="1629">
        <f t="shared" si="21"/>
        <v>844.41092126349804</v>
      </c>
      <c r="M177" s="1629">
        <f t="shared" si="22"/>
        <v>592.31092126349802</v>
      </c>
      <c r="N177" s="1626"/>
      <c r="O177" s="1626">
        <f t="shared" si="23"/>
        <v>137.9</v>
      </c>
      <c r="P177" s="1628">
        <f t="shared" si="24"/>
        <v>4.2952206037962144</v>
      </c>
      <c r="Q177" s="1901"/>
      <c r="R177" s="1667"/>
    </row>
    <row r="178" spans="1:43" ht="17.100000000000001" customHeight="1">
      <c r="A178" s="1889"/>
      <c r="B178" s="1636">
        <f t="shared" si="25"/>
        <v>1360</v>
      </c>
      <c r="C178" s="1634">
        <f t="shared" si="20"/>
        <v>13.6</v>
      </c>
      <c r="D178" s="1626"/>
      <c r="E178" s="1633">
        <f t="shared" si="26"/>
        <v>19.33828865674738</v>
      </c>
      <c r="F178" s="1626"/>
      <c r="G178" s="1636">
        <v>516</v>
      </c>
      <c r="H178" s="1631">
        <f t="shared" si="27"/>
        <v>610.428</v>
      </c>
      <c r="I178" s="1635">
        <v>252.7</v>
      </c>
      <c r="J178" s="1625">
        <f t="shared" si="28"/>
        <v>62.699999999999989</v>
      </c>
      <c r="K178" s="1628">
        <f t="shared" si="29"/>
        <v>460.05639502326568</v>
      </c>
      <c r="L178" s="1629">
        <f t="shared" si="21"/>
        <v>850.05639502326562</v>
      </c>
      <c r="M178" s="1629">
        <f t="shared" si="22"/>
        <v>597.35639502326558</v>
      </c>
      <c r="N178" s="1626"/>
      <c r="O178" s="1626">
        <f t="shared" si="23"/>
        <v>137.30000000000001</v>
      </c>
      <c r="P178" s="1628">
        <f t="shared" si="24"/>
        <v>4.3507384925219634</v>
      </c>
      <c r="Q178" s="1901"/>
      <c r="R178" s="1667"/>
    </row>
    <row r="179" spans="1:43" ht="17.100000000000001" customHeight="1">
      <c r="A179" s="1889"/>
      <c r="B179" s="1636">
        <f t="shared" si="25"/>
        <v>1380</v>
      </c>
      <c r="C179" s="1634">
        <f t="shared" si="20"/>
        <v>13.8</v>
      </c>
      <c r="D179" s="1626"/>
      <c r="E179" s="1633">
        <f t="shared" si="26"/>
        <v>19.647358616587447</v>
      </c>
      <c r="F179" s="1626"/>
      <c r="G179" s="1636">
        <v>526</v>
      </c>
      <c r="H179" s="1631">
        <f t="shared" si="27"/>
        <v>622.25800000000004</v>
      </c>
      <c r="I179" s="1635">
        <v>253</v>
      </c>
      <c r="J179" s="1625">
        <f t="shared" si="28"/>
        <v>63</v>
      </c>
      <c r="K179" s="1628">
        <f t="shared" si="29"/>
        <v>467.43233762551125</v>
      </c>
      <c r="L179" s="1629">
        <f t="shared" si="21"/>
        <v>857.43233762551131</v>
      </c>
      <c r="M179" s="1629">
        <f t="shared" si="22"/>
        <v>604.43233762551131</v>
      </c>
      <c r="N179" s="1626"/>
      <c r="O179" s="1626">
        <f t="shared" si="23"/>
        <v>137</v>
      </c>
      <c r="P179" s="1628">
        <f t="shared" si="24"/>
        <v>4.4119148731789144</v>
      </c>
      <c r="Q179" s="1901"/>
      <c r="R179" s="1667"/>
    </row>
    <row r="180" spans="1:43" ht="17.100000000000001" customHeight="1">
      <c r="A180" s="1889"/>
      <c r="B180" s="1636">
        <f t="shared" si="25"/>
        <v>1400</v>
      </c>
      <c r="C180" s="1634">
        <f t="shared" si="20"/>
        <v>14</v>
      </c>
      <c r="D180" s="1626"/>
      <c r="E180" s="1633">
        <f t="shared" si="26"/>
        <v>19.956428576427509</v>
      </c>
      <c r="F180" s="1626"/>
      <c r="G180" s="1636">
        <v>533</v>
      </c>
      <c r="H180" s="1631">
        <f t="shared" si="27"/>
        <v>630.53899999999999</v>
      </c>
      <c r="I180" s="1635">
        <v>253</v>
      </c>
      <c r="J180" s="1625">
        <f t="shared" si="28"/>
        <v>63</v>
      </c>
      <c r="K180" s="1628">
        <f t="shared" si="29"/>
        <v>472.09254837226052</v>
      </c>
      <c r="L180" s="1629">
        <f t="shared" si="21"/>
        <v>862.09254837226058</v>
      </c>
      <c r="M180" s="1629">
        <f t="shared" si="22"/>
        <v>609.09254837226058</v>
      </c>
      <c r="N180" s="1626"/>
      <c r="O180" s="1626">
        <f t="shared" si="23"/>
        <v>137</v>
      </c>
      <c r="P180" s="1628">
        <f t="shared" si="24"/>
        <v>4.4459310100165004</v>
      </c>
      <c r="Q180" s="1901"/>
      <c r="R180" s="1667"/>
    </row>
    <row r="181" spans="1:43" ht="17.100000000000001" customHeight="1">
      <c r="A181" s="1889"/>
      <c r="B181" s="1636">
        <f t="shared" si="25"/>
        <v>1420</v>
      </c>
      <c r="C181" s="1634">
        <f t="shared" si="20"/>
        <v>14.2</v>
      </c>
      <c r="D181" s="1626"/>
      <c r="E181" s="1633">
        <f t="shared" si="26"/>
        <v>20.265498536267572</v>
      </c>
      <c r="F181" s="1626"/>
      <c r="G181" s="1636">
        <v>542</v>
      </c>
      <c r="H181" s="1631">
        <f t="shared" si="27"/>
        <v>641.18600000000004</v>
      </c>
      <c r="I181" s="1635">
        <v>253</v>
      </c>
      <c r="J181" s="1625">
        <f t="shared" si="28"/>
        <v>63</v>
      </c>
      <c r="K181" s="1628">
        <f t="shared" si="29"/>
        <v>478.47737290823017</v>
      </c>
      <c r="L181" s="1629">
        <f t="shared" si="21"/>
        <v>868.47737290823011</v>
      </c>
      <c r="M181" s="1629">
        <f t="shared" si="22"/>
        <v>615.47737290823011</v>
      </c>
      <c r="N181" s="1626"/>
      <c r="O181" s="1626">
        <f t="shared" si="23"/>
        <v>137</v>
      </c>
      <c r="P181" s="1628">
        <f t="shared" si="24"/>
        <v>4.4925355686732127</v>
      </c>
      <c r="Q181" s="1901"/>
      <c r="R181" s="1667"/>
    </row>
    <row r="182" spans="1:43" ht="17.100000000000001" customHeight="1">
      <c r="A182" s="1889"/>
      <c r="B182" s="1636">
        <f t="shared" si="25"/>
        <v>1440</v>
      </c>
      <c r="C182" s="1634">
        <f t="shared" si="20"/>
        <v>14.4</v>
      </c>
      <c r="D182" s="1626"/>
      <c r="E182" s="1633">
        <f t="shared" si="26"/>
        <v>20.574568496107638</v>
      </c>
      <c r="F182" s="1626"/>
      <c r="G182" s="1636">
        <v>546</v>
      </c>
      <c r="H182" s="1631">
        <f t="shared" si="27"/>
        <v>645.91800000000001</v>
      </c>
      <c r="I182" s="1635">
        <v>253</v>
      </c>
      <c r="J182" s="1625">
        <f t="shared" si="28"/>
        <v>63</v>
      </c>
      <c r="K182" s="1628">
        <f t="shared" si="29"/>
        <v>480.41014169296818</v>
      </c>
      <c r="L182" s="1629">
        <f t="shared" si="21"/>
        <v>870.41014169296818</v>
      </c>
      <c r="M182" s="1629">
        <f t="shared" si="22"/>
        <v>617.41014169296818</v>
      </c>
      <c r="N182" s="1626"/>
      <c r="O182" s="1626">
        <f t="shared" si="23"/>
        <v>137</v>
      </c>
      <c r="P182" s="1628">
        <f t="shared" si="24"/>
        <v>4.5066433700216653</v>
      </c>
      <c r="Q182" s="2760"/>
      <c r="R182" s="1667"/>
      <c r="W182" s="1672"/>
      <c r="X182" s="1672"/>
      <c r="Y182" s="1672"/>
      <c r="Z182" s="1672"/>
      <c r="AA182" s="1672"/>
      <c r="AC182" s="1903"/>
      <c r="AD182" s="1672"/>
      <c r="AE182" s="1672"/>
      <c r="AF182" s="1672"/>
      <c r="AG182" s="1672"/>
      <c r="AH182" s="1672"/>
      <c r="AI182" s="1672"/>
      <c r="AJ182" s="1672"/>
      <c r="AK182" s="1672"/>
      <c r="AL182" s="1672"/>
      <c r="AM182" s="1672"/>
      <c r="AN182" s="1672"/>
      <c r="AO182" s="1672"/>
      <c r="AP182" s="1672"/>
      <c r="AQ182" s="1672"/>
    </row>
    <row r="183" spans="1:43" ht="17.100000000000001" customHeight="1">
      <c r="A183" s="1889"/>
      <c r="B183" s="1636">
        <f t="shared" si="25"/>
        <v>1460</v>
      </c>
      <c r="C183" s="1634">
        <f t="shared" si="20"/>
        <v>14.6</v>
      </c>
      <c r="D183" s="1626"/>
      <c r="E183" s="1633">
        <f t="shared" si="26"/>
        <v>20.8836384559477</v>
      </c>
      <c r="F183" s="1626"/>
      <c r="G183" s="1636">
        <v>552</v>
      </c>
      <c r="H183" s="1631">
        <f t="shared" si="27"/>
        <v>653.01600000000008</v>
      </c>
      <c r="I183" s="1635">
        <v>253</v>
      </c>
      <c r="J183" s="1625">
        <f t="shared" si="28"/>
        <v>63</v>
      </c>
      <c r="K183" s="1628">
        <f t="shared" si="29"/>
        <v>484.07337932018407</v>
      </c>
      <c r="L183" s="1629">
        <f t="shared" si="21"/>
        <v>874.07337932018413</v>
      </c>
      <c r="M183" s="1629">
        <f t="shared" si="22"/>
        <v>621.07337932018413</v>
      </c>
      <c r="N183" s="1626"/>
      <c r="O183" s="1626">
        <f t="shared" si="23"/>
        <v>137</v>
      </c>
      <c r="P183" s="1628">
        <f t="shared" si="24"/>
        <v>4.5333823308042636</v>
      </c>
      <c r="Q183" s="2786"/>
      <c r="R183" s="1667"/>
      <c r="W183" s="1671"/>
      <c r="X183" s="1671"/>
      <c r="Y183" s="1671"/>
      <c r="Z183" s="1671"/>
      <c r="AF183" s="1568"/>
      <c r="AG183" s="1568"/>
      <c r="AJ183" s="1921"/>
      <c r="AK183" s="1975"/>
      <c r="AL183" s="1671"/>
      <c r="AM183" s="1671"/>
      <c r="AN183" s="1671"/>
      <c r="AO183" s="1671"/>
      <c r="AP183" s="1671"/>
    </row>
    <row r="184" spans="1:43" ht="17.100000000000001" customHeight="1">
      <c r="A184" s="1889"/>
      <c r="B184" s="1636">
        <f t="shared" si="25"/>
        <v>1480</v>
      </c>
      <c r="C184" s="1634">
        <f t="shared" si="20"/>
        <v>14.8</v>
      </c>
      <c r="D184" s="1626"/>
      <c r="E184" s="1633">
        <f t="shared" si="26"/>
        <v>21.192708415787767</v>
      </c>
      <c r="F184" s="1626"/>
      <c r="G184" s="1636">
        <v>560</v>
      </c>
      <c r="H184" s="1631">
        <f t="shared" si="27"/>
        <v>662.48</v>
      </c>
      <c r="I184" s="1635">
        <v>253</v>
      </c>
      <c r="J184" s="1625">
        <f t="shared" si="28"/>
        <v>63</v>
      </c>
      <c r="K184" s="1628">
        <f t="shared" si="29"/>
        <v>489.44952063010498</v>
      </c>
      <c r="L184" s="1629">
        <f t="shared" si="21"/>
        <v>879.44952063010498</v>
      </c>
      <c r="M184" s="1629">
        <f t="shared" si="22"/>
        <v>626.44952063010498</v>
      </c>
      <c r="N184" s="1626"/>
      <c r="O184" s="1626">
        <f t="shared" si="23"/>
        <v>137</v>
      </c>
      <c r="P184" s="1628">
        <f t="shared" si="24"/>
        <v>4.5726242381759485</v>
      </c>
      <c r="Q184" s="2786"/>
      <c r="R184" s="1667"/>
      <c r="W184" s="1675"/>
      <c r="X184" s="1675"/>
      <c r="Y184" s="1671"/>
      <c r="Z184" s="1671"/>
      <c r="AF184" s="1568"/>
      <c r="AG184" s="1568"/>
      <c r="AJ184" s="1921"/>
      <c r="AK184" s="1976"/>
      <c r="AL184" s="1675"/>
      <c r="AM184" s="1675"/>
      <c r="AN184" s="1675"/>
      <c r="AO184" s="1671"/>
      <c r="AP184" s="1671"/>
    </row>
    <row r="185" spans="1:43" ht="17.100000000000001" customHeight="1">
      <c r="A185" s="1889"/>
      <c r="B185" s="1636">
        <f t="shared" si="25"/>
        <v>1500</v>
      </c>
      <c r="C185" s="1634">
        <f t="shared" si="20"/>
        <v>15</v>
      </c>
      <c r="D185" s="1626"/>
      <c r="E185" s="1633">
        <f t="shared" si="26"/>
        <v>21.501778375627829</v>
      </c>
      <c r="F185" s="1626"/>
      <c r="G185" s="1636">
        <v>568</v>
      </c>
      <c r="H185" s="1631">
        <f t="shared" si="27"/>
        <v>671.94400000000007</v>
      </c>
      <c r="I185" s="1635">
        <v>253</v>
      </c>
      <c r="J185" s="1625">
        <f t="shared" si="28"/>
        <v>63</v>
      </c>
      <c r="K185" s="1628">
        <f t="shared" si="29"/>
        <v>494.77882151396568</v>
      </c>
      <c r="L185" s="1629">
        <f t="shared" si="21"/>
        <v>884.77882151396568</v>
      </c>
      <c r="M185" s="1629">
        <f t="shared" si="22"/>
        <v>631.77882151396568</v>
      </c>
      <c r="N185" s="1626"/>
      <c r="O185" s="1626">
        <f t="shared" si="23"/>
        <v>137</v>
      </c>
      <c r="P185" s="1628">
        <f t="shared" si="24"/>
        <v>4.6115242446274864</v>
      </c>
      <c r="Q185" s="2786"/>
      <c r="R185" s="1667"/>
      <c r="W185" s="1671"/>
      <c r="X185" s="1671"/>
      <c r="Y185" s="1671"/>
      <c r="Z185" s="1671"/>
      <c r="AF185" s="1568"/>
      <c r="AG185" s="1568"/>
      <c r="AJ185" s="1921"/>
      <c r="AK185" s="1976"/>
      <c r="AL185" s="1671"/>
      <c r="AM185" s="1671"/>
      <c r="AN185" s="1671"/>
      <c r="AO185" s="1671"/>
      <c r="AP185" s="1671"/>
    </row>
    <row r="186" spans="1:43" ht="17.100000000000001" customHeight="1">
      <c r="A186" s="1889"/>
      <c r="B186" s="1636">
        <f t="shared" si="25"/>
        <v>1520</v>
      </c>
      <c r="C186" s="1634">
        <f t="shared" si="20"/>
        <v>15.2</v>
      </c>
      <c r="D186" s="1626"/>
      <c r="E186" s="1633">
        <f t="shared" si="26"/>
        <v>21.810848335467892</v>
      </c>
      <c r="F186" s="1626"/>
      <c r="G186" s="1636">
        <v>574</v>
      </c>
      <c r="H186" s="1631">
        <f t="shared" si="27"/>
        <v>679.04200000000003</v>
      </c>
      <c r="I186" s="1635">
        <v>253</v>
      </c>
      <c r="J186" s="1625">
        <f t="shared" si="28"/>
        <v>63</v>
      </c>
      <c r="K186" s="1628">
        <f t="shared" si="29"/>
        <v>498.32495807603084</v>
      </c>
      <c r="L186" s="1629">
        <f t="shared" si="21"/>
        <v>888.32495807603084</v>
      </c>
      <c r="M186" s="1629">
        <f t="shared" si="22"/>
        <v>635.32495807603084</v>
      </c>
      <c r="N186" s="1626"/>
      <c r="O186" s="1626">
        <f t="shared" si="23"/>
        <v>137</v>
      </c>
      <c r="P186" s="1628">
        <f t="shared" si="24"/>
        <v>4.6374084531097139</v>
      </c>
      <c r="Q186" s="2786"/>
      <c r="R186" s="1667"/>
      <c r="W186" s="1671"/>
      <c r="X186" s="1671"/>
      <c r="Y186" s="1671"/>
      <c r="Z186" s="1671"/>
      <c r="AF186" s="1568"/>
      <c r="AG186" s="1568"/>
      <c r="AJ186" s="1921"/>
      <c r="AK186" s="1976"/>
      <c r="AL186" s="1671"/>
      <c r="AM186" s="1671"/>
      <c r="AN186" s="1671"/>
      <c r="AO186" s="1671"/>
      <c r="AP186" s="1671"/>
    </row>
    <row r="187" spans="1:43" ht="17.100000000000001" customHeight="1">
      <c r="A187" s="1889"/>
      <c r="B187" s="1636">
        <f t="shared" si="25"/>
        <v>1540</v>
      </c>
      <c r="C187" s="1634">
        <f t="shared" si="20"/>
        <v>15.4</v>
      </c>
      <c r="D187" s="1626"/>
      <c r="E187" s="1633">
        <f t="shared" si="26"/>
        <v>22.119918295307958</v>
      </c>
      <c r="F187" s="1626"/>
      <c r="G187" s="1636">
        <v>580</v>
      </c>
      <c r="H187" s="1631">
        <f t="shared" si="27"/>
        <v>686.14</v>
      </c>
      <c r="I187" s="1635">
        <v>253</v>
      </c>
      <c r="J187" s="1625">
        <f t="shared" si="28"/>
        <v>63</v>
      </c>
      <c r="K187" s="1628">
        <f t="shared" si="29"/>
        <v>501.83596431855062</v>
      </c>
      <c r="L187" s="1629">
        <f t="shared" si="21"/>
        <v>891.83596431855062</v>
      </c>
      <c r="M187" s="1629">
        <f t="shared" si="22"/>
        <v>638.83596431855062</v>
      </c>
      <c r="N187" s="1626"/>
      <c r="O187" s="1626">
        <f t="shared" si="23"/>
        <v>137</v>
      </c>
      <c r="P187" s="1628">
        <f t="shared" si="24"/>
        <v>4.6630362359018296</v>
      </c>
      <c r="Q187" s="2786"/>
      <c r="R187" s="1667"/>
      <c r="W187" s="1671"/>
      <c r="X187" s="1671"/>
      <c r="Y187" s="1671"/>
      <c r="Z187" s="1671"/>
      <c r="AF187" s="1568"/>
      <c r="AG187" s="1568"/>
      <c r="AJ187" s="1921"/>
      <c r="AK187" s="1976"/>
      <c r="AL187" s="1671"/>
      <c r="AM187" s="1671"/>
      <c r="AN187" s="1671"/>
      <c r="AO187" s="1671"/>
      <c r="AP187" s="1671"/>
    </row>
    <row r="188" spans="1:43" ht="17.100000000000001" customHeight="1">
      <c r="A188" s="1889"/>
      <c r="B188" s="1636">
        <f t="shared" si="25"/>
        <v>1560</v>
      </c>
      <c r="C188" s="1634">
        <f t="shared" si="20"/>
        <v>15.6</v>
      </c>
      <c r="D188" s="1626"/>
      <c r="E188" s="1633">
        <f t="shared" si="26"/>
        <v>22.42898825514802</v>
      </c>
      <c r="F188" s="1626"/>
      <c r="G188" s="1636">
        <v>573</v>
      </c>
      <c r="H188" s="1631">
        <f t="shared" si="27"/>
        <v>677.85900000000004</v>
      </c>
      <c r="I188" s="1635">
        <v>253</v>
      </c>
      <c r="J188" s="1625">
        <f t="shared" si="28"/>
        <v>63</v>
      </c>
      <c r="K188" s="1628">
        <f t="shared" si="29"/>
        <v>494.10185061159382</v>
      </c>
      <c r="L188" s="1629">
        <f t="shared" si="21"/>
        <v>884.10185061159382</v>
      </c>
      <c r="M188" s="1629">
        <f t="shared" si="22"/>
        <v>631.10185061159382</v>
      </c>
      <c r="N188" s="1626"/>
      <c r="O188" s="1626">
        <f t="shared" si="23"/>
        <v>137</v>
      </c>
      <c r="P188" s="1628">
        <f t="shared" si="24"/>
        <v>4.6065828511795166</v>
      </c>
      <c r="Q188" s="2786"/>
      <c r="R188" s="1667"/>
      <c r="W188" s="1671"/>
      <c r="X188" s="1671"/>
      <c r="Y188" s="1671"/>
      <c r="Z188" s="1671"/>
      <c r="AF188" s="1568"/>
      <c r="AG188" s="1568"/>
      <c r="AJ188" s="1921"/>
      <c r="AK188" s="1976"/>
      <c r="AL188" s="1671"/>
      <c r="AM188" s="1671"/>
      <c r="AN188" s="1671"/>
      <c r="AO188" s="1671"/>
      <c r="AP188" s="1671"/>
    </row>
    <row r="189" spans="1:43" ht="17.100000000000001" customHeight="1">
      <c r="A189" s="1889"/>
      <c r="B189" s="1636">
        <f t="shared" si="25"/>
        <v>1580</v>
      </c>
      <c r="C189" s="1634">
        <f t="shared" si="20"/>
        <v>15.8</v>
      </c>
      <c r="D189" s="1626"/>
      <c r="E189" s="1633">
        <f t="shared" si="26"/>
        <v>22.738058214988087</v>
      </c>
      <c r="F189" s="1626"/>
      <c r="G189" s="1636">
        <v>567</v>
      </c>
      <c r="H189" s="1631">
        <f t="shared" si="27"/>
        <v>670.76100000000008</v>
      </c>
      <c r="I189" s="1635">
        <v>253</v>
      </c>
      <c r="J189" s="1625">
        <f t="shared" si="28"/>
        <v>63</v>
      </c>
      <c r="K189" s="1628">
        <f t="shared" si="29"/>
        <v>487.26810164542104</v>
      </c>
      <c r="L189" s="1629">
        <f t="shared" si="21"/>
        <v>877.26810164542098</v>
      </c>
      <c r="M189" s="1629">
        <f t="shared" si="22"/>
        <v>624.26810164542098</v>
      </c>
      <c r="N189" s="1626"/>
      <c r="O189" s="1626">
        <f t="shared" si="23"/>
        <v>137</v>
      </c>
      <c r="P189" s="1628">
        <f t="shared" si="24"/>
        <v>4.556701471864387</v>
      </c>
      <c r="Q189" s="2786"/>
      <c r="R189" s="1667"/>
      <c r="T189" s="2797"/>
      <c r="W189" s="1671"/>
      <c r="X189" s="1671"/>
      <c r="Y189" s="1671"/>
      <c r="Z189" s="1671"/>
      <c r="AF189" s="1568"/>
      <c r="AG189" s="1568"/>
      <c r="AJ189" s="1921"/>
      <c r="AK189" s="1976"/>
      <c r="AL189" s="1671"/>
      <c r="AM189" s="1671"/>
      <c r="AN189" s="1671"/>
      <c r="AO189" s="1671"/>
      <c r="AP189" s="1671"/>
    </row>
    <row r="190" spans="1:43" ht="17.100000000000001" customHeight="1">
      <c r="A190" s="1889"/>
      <c r="B190" s="1636">
        <f t="shared" si="25"/>
        <v>1600</v>
      </c>
      <c r="C190" s="1634">
        <f t="shared" si="20"/>
        <v>16</v>
      </c>
      <c r="D190" s="1626"/>
      <c r="E190" s="1633">
        <f t="shared" si="26"/>
        <v>23.047128174828149</v>
      </c>
      <c r="F190" s="1626"/>
      <c r="G190" s="1636">
        <v>557</v>
      </c>
      <c r="H190" s="1631">
        <f t="shared" si="27"/>
        <v>658.93100000000004</v>
      </c>
      <c r="I190" s="1635">
        <v>253</v>
      </c>
      <c r="J190" s="1625">
        <f t="shared" si="28"/>
        <v>63</v>
      </c>
      <c r="K190" s="1628">
        <f t="shared" si="29"/>
        <v>477.04367563338337</v>
      </c>
      <c r="L190" s="1629">
        <f t="shared" si="21"/>
        <v>867.04367563338337</v>
      </c>
      <c r="M190" s="1629">
        <f t="shared" si="22"/>
        <v>614.04367563338337</v>
      </c>
      <c r="N190" s="1626"/>
      <c r="O190" s="1626">
        <f t="shared" si="23"/>
        <v>137</v>
      </c>
      <c r="P190" s="1628">
        <f t="shared" si="24"/>
        <v>4.4820706250611924</v>
      </c>
      <c r="Q190" s="2786"/>
      <c r="R190" s="1667"/>
      <c r="T190" s="2797"/>
      <c r="W190" s="1671"/>
      <c r="X190" s="1671"/>
      <c r="Y190" s="1671"/>
      <c r="Z190" s="1671"/>
      <c r="AF190" s="1568"/>
      <c r="AG190" s="1568"/>
      <c r="AJ190" s="1921"/>
      <c r="AK190" s="1976"/>
      <c r="AL190" s="1671"/>
      <c r="AM190" s="1671"/>
      <c r="AN190" s="1671"/>
      <c r="AO190" s="1671"/>
      <c r="AP190" s="1671"/>
    </row>
    <row r="191" spans="1:43" ht="17.100000000000001" customHeight="1">
      <c r="A191" s="1889"/>
      <c r="B191" s="1636"/>
      <c r="C191" s="1634"/>
      <c r="D191" s="1626"/>
      <c r="E191" s="1633"/>
      <c r="F191" s="1626"/>
      <c r="G191" s="1636"/>
      <c r="H191" s="1631"/>
      <c r="I191" s="1635"/>
      <c r="J191" s="1625"/>
      <c r="K191" s="1628"/>
      <c r="L191" s="1629"/>
      <c r="M191" s="1629"/>
      <c r="N191" s="1626"/>
      <c r="O191" s="1626"/>
      <c r="P191" s="1628"/>
      <c r="Q191" s="2786"/>
      <c r="R191" s="1667"/>
      <c r="T191" s="2797"/>
      <c r="W191" s="1671"/>
      <c r="X191" s="1671"/>
      <c r="Y191" s="1671"/>
      <c r="Z191" s="1671"/>
      <c r="AF191" s="1568"/>
      <c r="AG191" s="1568"/>
      <c r="AJ191" s="1921"/>
      <c r="AK191" s="1976"/>
      <c r="AL191" s="1671"/>
      <c r="AM191" s="1671"/>
      <c r="AN191" s="1671"/>
      <c r="AO191" s="1671"/>
      <c r="AP191" s="1671"/>
    </row>
    <row r="192" spans="1:43" ht="17.100000000000001" customHeight="1">
      <c r="A192" s="1889"/>
      <c r="B192" s="1627"/>
      <c r="C192" s="1634"/>
      <c r="D192" s="1626"/>
      <c r="E192" s="1633"/>
      <c r="F192" s="1626"/>
      <c r="G192" s="1627"/>
      <c r="H192" s="1631"/>
      <c r="I192" s="1630"/>
      <c r="J192" s="1625"/>
      <c r="K192" s="1628"/>
      <c r="L192" s="1629"/>
      <c r="M192" s="1629"/>
      <c r="N192" s="1626"/>
      <c r="O192" s="1626"/>
      <c r="P192" s="1628"/>
      <c r="Q192" s="2786"/>
      <c r="R192" s="1667"/>
      <c r="T192" s="2797"/>
      <c r="W192" s="1671"/>
      <c r="X192" s="1671"/>
      <c r="Y192" s="1671"/>
      <c r="Z192" s="1671"/>
      <c r="AF192" s="1568"/>
      <c r="AG192" s="1568"/>
      <c r="AJ192" s="1921"/>
      <c r="AK192" s="1976"/>
      <c r="AL192" s="1671"/>
      <c r="AM192" s="1671"/>
      <c r="AN192" s="1671"/>
      <c r="AO192" s="1671"/>
      <c r="AP192" s="1671"/>
    </row>
    <row r="193" spans="1:43" ht="17.100000000000001" customHeight="1">
      <c r="A193" s="1889"/>
      <c r="B193" s="1627"/>
      <c r="C193" s="1634"/>
      <c r="D193" s="1626"/>
      <c r="E193" s="1633"/>
      <c r="F193" s="1626"/>
      <c r="G193" s="1627"/>
      <c r="H193" s="1631"/>
      <c r="I193" s="1630"/>
      <c r="J193" s="1625"/>
      <c r="K193" s="1628"/>
      <c r="L193" s="1629"/>
      <c r="M193" s="1629"/>
      <c r="N193" s="1626"/>
      <c r="O193" s="1626"/>
      <c r="P193" s="1628"/>
      <c r="Q193" s="2786"/>
      <c r="R193" s="1667"/>
      <c r="T193" s="2797"/>
      <c r="W193" s="1671"/>
      <c r="X193" s="1671"/>
      <c r="Y193" s="1671"/>
      <c r="Z193" s="1671"/>
      <c r="AF193" s="1568"/>
      <c r="AG193" s="1568"/>
      <c r="AJ193" s="1921"/>
      <c r="AK193" s="1976"/>
      <c r="AL193" s="1671"/>
      <c r="AM193" s="1671"/>
      <c r="AN193" s="1671"/>
      <c r="AO193" s="1671"/>
      <c r="AP193" s="1671"/>
    </row>
    <row r="194" spans="1:43" ht="17.100000000000001" customHeight="1">
      <c r="A194" s="1889"/>
      <c r="B194" s="1627"/>
      <c r="C194" s="1634"/>
      <c r="D194" s="1626"/>
      <c r="E194" s="1633"/>
      <c r="F194" s="1626"/>
      <c r="G194" s="1632"/>
      <c r="H194" s="1631"/>
      <c r="I194" s="1630"/>
      <c r="J194" s="1625"/>
      <c r="K194" s="1628"/>
      <c r="L194" s="1629"/>
      <c r="M194" s="1629"/>
      <c r="N194" s="1626"/>
      <c r="O194" s="1626"/>
      <c r="P194" s="1628"/>
      <c r="Q194" s="2786"/>
      <c r="R194" s="1667"/>
      <c r="T194" s="2797"/>
      <c r="W194" s="1671"/>
      <c r="X194" s="1671"/>
      <c r="Y194" s="1671"/>
      <c r="Z194" s="1671"/>
      <c r="AF194" s="1568"/>
      <c r="AG194" s="1568"/>
      <c r="AJ194" s="1921"/>
      <c r="AK194" s="1976"/>
      <c r="AL194" s="1671"/>
      <c r="AM194" s="1671"/>
      <c r="AN194" s="1671"/>
      <c r="AO194" s="1671"/>
      <c r="AP194" s="1671"/>
    </row>
    <row r="195" spans="1:43" ht="17.100000000000001" customHeight="1">
      <c r="A195" s="1889"/>
      <c r="B195" s="1627"/>
      <c r="C195" s="1634"/>
      <c r="D195" s="1626"/>
      <c r="E195" s="1633"/>
      <c r="F195" s="1626"/>
      <c r="G195" s="1632"/>
      <c r="H195" s="1631"/>
      <c r="I195" s="1630"/>
      <c r="J195" s="1625"/>
      <c r="K195" s="1628"/>
      <c r="L195" s="1629"/>
      <c r="M195" s="1629"/>
      <c r="N195" s="1626"/>
      <c r="O195" s="1626"/>
      <c r="P195" s="1628"/>
      <c r="Q195" s="2786"/>
      <c r="T195" s="2797"/>
      <c r="W195" s="1671"/>
      <c r="X195" s="1671"/>
      <c r="Y195" s="1671"/>
      <c r="Z195" s="1671"/>
      <c r="AF195" s="1568"/>
      <c r="AG195" s="1568"/>
      <c r="AJ195" s="1921"/>
      <c r="AK195" s="1976"/>
      <c r="AL195" s="1671"/>
      <c r="AM195" s="1671"/>
      <c r="AN195" s="1671"/>
      <c r="AO195" s="1671"/>
      <c r="AP195" s="1671"/>
    </row>
    <row r="196" spans="1:43" ht="17.100000000000001" customHeight="1">
      <c r="A196" s="1889"/>
      <c r="B196" s="1627"/>
      <c r="C196" s="1625"/>
      <c r="D196" s="1626"/>
      <c r="E196" s="1626"/>
      <c r="F196" s="1626"/>
      <c r="G196" s="1627"/>
      <c r="H196" s="1625"/>
      <c r="I196" s="1627"/>
      <c r="J196" s="1625"/>
      <c r="K196" s="1625"/>
      <c r="L196" s="1625"/>
      <c r="M196" s="1625"/>
      <c r="N196" s="1626"/>
      <c r="O196" s="1626"/>
      <c r="P196" s="1625"/>
      <c r="Q196" s="2786"/>
      <c r="T196" s="2797"/>
      <c r="W196" s="1671"/>
      <c r="X196" s="1671"/>
      <c r="Y196" s="1671"/>
      <c r="Z196" s="1671"/>
      <c r="AF196" s="1568"/>
      <c r="AG196" s="1568"/>
      <c r="AJ196" s="1921"/>
      <c r="AK196" s="1976"/>
      <c r="AL196" s="1671"/>
      <c r="AM196" s="1671"/>
      <c r="AN196" s="1671"/>
      <c r="AO196" s="1671"/>
      <c r="AP196" s="1671"/>
    </row>
    <row r="197" spans="1:43" ht="17.100000000000001" customHeight="1">
      <c r="A197" s="1889"/>
      <c r="B197" s="1624"/>
      <c r="C197" s="1621"/>
      <c r="D197" s="1622"/>
      <c r="E197" s="1622"/>
      <c r="F197" s="1622"/>
      <c r="G197" s="1623"/>
      <c r="H197" s="1621"/>
      <c r="I197" s="1623"/>
      <c r="J197" s="1621"/>
      <c r="K197" s="1621"/>
      <c r="L197" s="1621"/>
      <c r="M197" s="1621"/>
      <c r="N197" s="1622"/>
      <c r="O197" s="1622"/>
      <c r="P197" s="1621"/>
      <c r="Q197" s="1901"/>
      <c r="W197" s="2803"/>
      <c r="X197" s="2803"/>
      <c r="AA197" s="2804"/>
      <c r="AC197" s="1908"/>
      <c r="AM197" s="2803"/>
      <c r="AN197" s="2803"/>
      <c r="AQ197" s="2804"/>
    </row>
    <row r="198" spans="1:43" ht="17.100000000000001" customHeight="1">
      <c r="A198" s="1889"/>
      <c r="B198" s="2806"/>
      <c r="C198" s="1672"/>
      <c r="D198" s="1672"/>
      <c r="E198" s="1672"/>
      <c r="F198" s="1672"/>
      <c r="G198" s="1673"/>
      <c r="H198" s="1672"/>
      <c r="I198" s="1673"/>
      <c r="J198" s="1672"/>
      <c r="K198" s="1672"/>
      <c r="L198" s="1672"/>
      <c r="M198" s="1672"/>
      <c r="N198" s="1672"/>
      <c r="O198" s="1672"/>
      <c r="P198" s="1672"/>
      <c r="Q198" s="1901"/>
    </row>
    <row r="199" spans="1:43" ht="17.100000000000001" customHeight="1">
      <c r="A199" s="1889"/>
      <c r="B199" s="2806"/>
      <c r="C199" s="1672"/>
      <c r="D199" s="1672"/>
      <c r="E199" s="1672"/>
      <c r="F199" s="1672"/>
      <c r="G199" s="1673"/>
      <c r="H199" s="1672"/>
      <c r="I199" s="1673"/>
      <c r="J199" s="1672"/>
      <c r="K199" s="1672"/>
      <c r="L199" s="1672"/>
      <c r="M199" s="1672"/>
      <c r="N199" s="1672"/>
      <c r="O199" s="1672"/>
      <c r="P199" s="1672"/>
      <c r="Q199" s="1901"/>
    </row>
    <row r="200" spans="1:43" ht="17.100000000000001" customHeight="1">
      <c r="A200" s="1914"/>
      <c r="B200" s="1669"/>
      <c r="C200" s="1669"/>
      <c r="D200" s="1669"/>
      <c r="E200" s="1669"/>
      <c r="F200" s="1669"/>
      <c r="G200" s="1540"/>
      <c r="H200" s="1669"/>
      <c r="I200" s="1540"/>
      <c r="J200" s="1669"/>
      <c r="K200" s="1669"/>
      <c r="L200" s="1669"/>
      <c r="M200" s="1669"/>
      <c r="N200" s="1669"/>
      <c r="O200" s="1669"/>
      <c r="P200" s="1669"/>
      <c r="Q200" s="1915"/>
    </row>
  </sheetData>
  <mergeCells count="15">
    <mergeCell ref="B22:C22"/>
    <mergeCell ref="E22:E23"/>
    <mergeCell ref="G22:H22"/>
    <mergeCell ref="I22:J22"/>
    <mergeCell ref="L22:P22"/>
    <mergeCell ref="B156:C156"/>
    <mergeCell ref="E156:E157"/>
    <mergeCell ref="G156:H156"/>
    <mergeCell ref="I156:J156"/>
    <mergeCell ref="L156:P156"/>
    <mergeCell ref="B89:C89"/>
    <mergeCell ref="E89:E90"/>
    <mergeCell ref="G89:H89"/>
    <mergeCell ref="I89:J89"/>
    <mergeCell ref="L89:P89"/>
  </mergeCells>
  <printOptions horizontalCentered="1" verticalCentered="1"/>
  <pageMargins left="0.55118110236220474" right="0.35433070866141736" top="0.59055118110236227" bottom="0.78740157480314965" header="0.23622047244094491" footer="0.59055118110236227"/>
  <pageSetup paperSize="9" scale="66" fitToHeight="3" orientation="portrait" r:id="rId1"/>
  <headerFooter alignWithMargins="0">
    <oddFooter>&amp;L&amp;8C/LAB DATA/2001/IMK001/BATCH240701/TRIAXIAL/&amp;F/&amp;A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6FAA5-0C97-4120-8433-3F43C016DAE7}">
  <sheetPr>
    <tabColor theme="1"/>
    <pageSetUpPr fitToPage="1"/>
  </sheetPr>
  <dimension ref="C1:AV129"/>
  <sheetViews>
    <sheetView showGridLines="0" zoomScaleNormal="100" zoomScaleSheetLayoutView="100" workbookViewId="0">
      <selection activeCell="S13" sqref="S13"/>
    </sheetView>
  </sheetViews>
  <sheetFormatPr defaultColWidth="8" defaultRowHeight="13.5"/>
  <cols>
    <col min="1" max="1" width="8" style="1661"/>
    <col min="2" max="2" width="1" style="1661" customWidth="1"/>
    <col min="3" max="3" width="0.875" style="1661" customWidth="1"/>
    <col min="4" max="4" width="1.875" style="1661" customWidth="1"/>
    <col min="5" max="5" width="17.625" style="1661" customWidth="1"/>
    <col min="6" max="6" width="1.125" style="1661" customWidth="1"/>
    <col min="7" max="7" width="1.25" style="1661" customWidth="1"/>
    <col min="8" max="8" width="11.75" style="1661" customWidth="1"/>
    <col min="9" max="9" width="9" style="1661" customWidth="1"/>
    <col min="10" max="10" width="4.75" style="1661" customWidth="1"/>
    <col min="11" max="11" width="8.875" style="1661" customWidth="1"/>
    <col min="12" max="12" width="7.375" style="1661" customWidth="1"/>
    <col min="13" max="13" width="8.875" style="1661" customWidth="1"/>
    <col min="14" max="14" width="16.625" style="1568" customWidth="1"/>
    <col min="15" max="15" width="1.625" style="1568" customWidth="1"/>
    <col min="16" max="16" width="14.625" style="1568" customWidth="1"/>
    <col min="17" max="17" width="5.375" style="1661" customWidth="1"/>
    <col min="18" max="20" width="7.375" style="1661" customWidth="1"/>
    <col min="21" max="21" width="1.5" style="1661" customWidth="1"/>
    <col min="22" max="23" width="1.25" style="1661" customWidth="1"/>
    <col min="24" max="24" width="9" style="1661" customWidth="1"/>
    <col min="25" max="25" width="10.875" style="1661" bestFit="1" customWidth="1"/>
    <col min="26" max="26" width="10.5" style="1661" bestFit="1" customWidth="1"/>
    <col min="27" max="27" width="10.875" style="1661" customWidth="1"/>
    <col min="28" max="28" width="10.5" style="1661" customWidth="1"/>
    <col min="29" max="29" width="10.875" style="1661" customWidth="1"/>
    <col min="30" max="30" width="10.5" style="1661" customWidth="1"/>
    <col min="31" max="261" width="8" style="1661"/>
    <col min="262" max="262" width="1.5" style="1661" customWidth="1"/>
    <col min="263" max="264" width="9" style="1661" customWidth="1"/>
    <col min="265" max="265" width="1.125" style="1661" customWidth="1"/>
    <col min="266" max="266" width="11.125" style="1661" customWidth="1"/>
    <col min="267" max="267" width="1.125" style="1661" customWidth="1"/>
    <col min="268" max="272" width="9" style="1661" customWidth="1"/>
    <col min="273" max="273" width="15.875" style="1661" customWidth="1"/>
    <col min="274" max="274" width="15.5" style="1661" customWidth="1"/>
    <col min="275" max="275" width="7.625" style="1661" customWidth="1"/>
    <col min="276" max="276" width="10.25" style="1661" customWidth="1"/>
    <col min="277" max="278" width="9" style="1661" customWidth="1"/>
    <col min="279" max="279" width="1.5" style="1661" customWidth="1"/>
    <col min="280" max="280" width="9" style="1661" customWidth="1"/>
    <col min="281" max="281" width="10.875" style="1661" bestFit="1" customWidth="1"/>
    <col min="282" max="282" width="10.5" style="1661" bestFit="1" customWidth="1"/>
    <col min="283" max="283" width="10.875" style="1661" customWidth="1"/>
    <col min="284" max="284" width="10.5" style="1661" customWidth="1"/>
    <col min="285" max="285" width="10.875" style="1661" customWidth="1"/>
    <col min="286" max="286" width="10.5" style="1661" customWidth="1"/>
    <col min="287" max="517" width="8" style="1661"/>
    <col min="518" max="518" width="1.5" style="1661" customWidth="1"/>
    <col min="519" max="520" width="9" style="1661" customWidth="1"/>
    <col min="521" max="521" width="1.125" style="1661" customWidth="1"/>
    <col min="522" max="522" width="11.125" style="1661" customWidth="1"/>
    <col min="523" max="523" width="1.125" style="1661" customWidth="1"/>
    <col min="524" max="528" width="9" style="1661" customWidth="1"/>
    <col min="529" max="529" width="15.875" style="1661" customWidth="1"/>
    <col min="530" max="530" width="15.5" style="1661" customWidth="1"/>
    <col min="531" max="531" width="7.625" style="1661" customWidth="1"/>
    <col min="532" max="532" width="10.25" style="1661" customWidth="1"/>
    <col min="533" max="534" width="9" style="1661" customWidth="1"/>
    <col min="535" max="535" width="1.5" style="1661" customWidth="1"/>
    <col min="536" max="536" width="9" style="1661" customWidth="1"/>
    <col min="537" max="537" width="10.875" style="1661" bestFit="1" customWidth="1"/>
    <col min="538" max="538" width="10.5" style="1661" bestFit="1" customWidth="1"/>
    <col min="539" max="539" width="10.875" style="1661" customWidth="1"/>
    <col min="540" max="540" width="10.5" style="1661" customWidth="1"/>
    <col min="541" max="541" width="10.875" style="1661" customWidth="1"/>
    <col min="542" max="542" width="10.5" style="1661" customWidth="1"/>
    <col min="543" max="773" width="8" style="1661"/>
    <col min="774" max="774" width="1.5" style="1661" customWidth="1"/>
    <col min="775" max="776" width="9" style="1661" customWidth="1"/>
    <col min="777" max="777" width="1.125" style="1661" customWidth="1"/>
    <col min="778" max="778" width="11.125" style="1661" customWidth="1"/>
    <col min="779" max="779" width="1.125" style="1661" customWidth="1"/>
    <col min="780" max="784" width="9" style="1661" customWidth="1"/>
    <col min="785" max="785" width="15.875" style="1661" customWidth="1"/>
    <col min="786" max="786" width="15.5" style="1661" customWidth="1"/>
    <col min="787" max="787" width="7.625" style="1661" customWidth="1"/>
    <col min="788" max="788" width="10.25" style="1661" customWidth="1"/>
    <col min="789" max="790" width="9" style="1661" customWidth="1"/>
    <col min="791" max="791" width="1.5" style="1661" customWidth="1"/>
    <col min="792" max="792" width="9" style="1661" customWidth="1"/>
    <col min="793" max="793" width="10.875" style="1661" bestFit="1" customWidth="1"/>
    <col min="794" max="794" width="10.5" style="1661" bestFit="1" customWidth="1"/>
    <col min="795" max="795" width="10.875" style="1661" customWidth="1"/>
    <col min="796" max="796" width="10.5" style="1661" customWidth="1"/>
    <col min="797" max="797" width="10.875" style="1661" customWidth="1"/>
    <col min="798" max="798" width="10.5" style="1661" customWidth="1"/>
    <col min="799" max="1029" width="8" style="1661"/>
    <col min="1030" max="1030" width="1.5" style="1661" customWidth="1"/>
    <col min="1031" max="1032" width="9" style="1661" customWidth="1"/>
    <col min="1033" max="1033" width="1.125" style="1661" customWidth="1"/>
    <col min="1034" max="1034" width="11.125" style="1661" customWidth="1"/>
    <col min="1035" max="1035" width="1.125" style="1661" customWidth="1"/>
    <col min="1036" max="1040" width="9" style="1661" customWidth="1"/>
    <col min="1041" max="1041" width="15.875" style="1661" customWidth="1"/>
    <col min="1042" max="1042" width="15.5" style="1661" customWidth="1"/>
    <col min="1043" max="1043" width="7.625" style="1661" customWidth="1"/>
    <col min="1044" max="1044" width="10.25" style="1661" customWidth="1"/>
    <col min="1045" max="1046" width="9" style="1661" customWidth="1"/>
    <col min="1047" max="1047" width="1.5" style="1661" customWidth="1"/>
    <col min="1048" max="1048" width="9" style="1661" customWidth="1"/>
    <col min="1049" max="1049" width="10.875" style="1661" bestFit="1" customWidth="1"/>
    <col min="1050" max="1050" width="10.5" style="1661" bestFit="1" customWidth="1"/>
    <col min="1051" max="1051" width="10.875" style="1661" customWidth="1"/>
    <col min="1052" max="1052" width="10.5" style="1661" customWidth="1"/>
    <col min="1053" max="1053" width="10.875" style="1661" customWidth="1"/>
    <col min="1054" max="1054" width="10.5" style="1661" customWidth="1"/>
    <col min="1055" max="1285" width="8" style="1661"/>
    <col min="1286" max="1286" width="1.5" style="1661" customWidth="1"/>
    <col min="1287" max="1288" width="9" style="1661" customWidth="1"/>
    <col min="1289" max="1289" width="1.125" style="1661" customWidth="1"/>
    <col min="1290" max="1290" width="11.125" style="1661" customWidth="1"/>
    <col min="1291" max="1291" width="1.125" style="1661" customWidth="1"/>
    <col min="1292" max="1296" width="9" style="1661" customWidth="1"/>
    <col min="1297" max="1297" width="15.875" style="1661" customWidth="1"/>
    <col min="1298" max="1298" width="15.5" style="1661" customWidth="1"/>
    <col min="1299" max="1299" width="7.625" style="1661" customWidth="1"/>
    <col min="1300" max="1300" width="10.25" style="1661" customWidth="1"/>
    <col min="1301" max="1302" width="9" style="1661" customWidth="1"/>
    <col min="1303" max="1303" width="1.5" style="1661" customWidth="1"/>
    <col min="1304" max="1304" width="9" style="1661" customWidth="1"/>
    <col min="1305" max="1305" width="10.875" style="1661" bestFit="1" customWidth="1"/>
    <col min="1306" max="1306" width="10.5" style="1661" bestFit="1" customWidth="1"/>
    <col min="1307" max="1307" width="10.875" style="1661" customWidth="1"/>
    <col min="1308" max="1308" width="10.5" style="1661" customWidth="1"/>
    <col min="1309" max="1309" width="10.875" style="1661" customWidth="1"/>
    <col min="1310" max="1310" width="10.5" style="1661" customWidth="1"/>
    <col min="1311" max="1541" width="8" style="1661"/>
    <col min="1542" max="1542" width="1.5" style="1661" customWidth="1"/>
    <col min="1543" max="1544" width="9" style="1661" customWidth="1"/>
    <col min="1545" max="1545" width="1.125" style="1661" customWidth="1"/>
    <col min="1546" max="1546" width="11.125" style="1661" customWidth="1"/>
    <col min="1547" max="1547" width="1.125" style="1661" customWidth="1"/>
    <col min="1548" max="1552" width="9" style="1661" customWidth="1"/>
    <col min="1553" max="1553" width="15.875" style="1661" customWidth="1"/>
    <col min="1554" max="1554" width="15.5" style="1661" customWidth="1"/>
    <col min="1555" max="1555" width="7.625" style="1661" customWidth="1"/>
    <col min="1556" max="1556" width="10.25" style="1661" customWidth="1"/>
    <col min="1557" max="1558" width="9" style="1661" customWidth="1"/>
    <col min="1559" max="1559" width="1.5" style="1661" customWidth="1"/>
    <col min="1560" max="1560" width="9" style="1661" customWidth="1"/>
    <col min="1561" max="1561" width="10.875" style="1661" bestFit="1" customWidth="1"/>
    <col min="1562" max="1562" width="10.5" style="1661" bestFit="1" customWidth="1"/>
    <col min="1563" max="1563" width="10.875" style="1661" customWidth="1"/>
    <col min="1564" max="1564" width="10.5" style="1661" customWidth="1"/>
    <col min="1565" max="1565" width="10.875" style="1661" customWidth="1"/>
    <col min="1566" max="1566" width="10.5" style="1661" customWidth="1"/>
    <col min="1567" max="1797" width="8" style="1661"/>
    <col min="1798" max="1798" width="1.5" style="1661" customWidth="1"/>
    <col min="1799" max="1800" width="9" style="1661" customWidth="1"/>
    <col min="1801" max="1801" width="1.125" style="1661" customWidth="1"/>
    <col min="1802" max="1802" width="11.125" style="1661" customWidth="1"/>
    <col min="1803" max="1803" width="1.125" style="1661" customWidth="1"/>
    <col min="1804" max="1808" width="9" style="1661" customWidth="1"/>
    <col min="1809" max="1809" width="15.875" style="1661" customWidth="1"/>
    <col min="1810" max="1810" width="15.5" style="1661" customWidth="1"/>
    <col min="1811" max="1811" width="7.625" style="1661" customWidth="1"/>
    <col min="1812" max="1812" width="10.25" style="1661" customWidth="1"/>
    <col min="1813" max="1814" width="9" style="1661" customWidth="1"/>
    <col min="1815" max="1815" width="1.5" style="1661" customWidth="1"/>
    <col min="1816" max="1816" width="9" style="1661" customWidth="1"/>
    <col min="1817" max="1817" width="10.875" style="1661" bestFit="1" customWidth="1"/>
    <col min="1818" max="1818" width="10.5" style="1661" bestFit="1" customWidth="1"/>
    <col min="1819" max="1819" width="10.875" style="1661" customWidth="1"/>
    <col min="1820" max="1820" width="10.5" style="1661" customWidth="1"/>
    <col min="1821" max="1821" width="10.875" style="1661" customWidth="1"/>
    <col min="1822" max="1822" width="10.5" style="1661" customWidth="1"/>
    <col min="1823" max="2053" width="8" style="1661"/>
    <col min="2054" max="2054" width="1.5" style="1661" customWidth="1"/>
    <col min="2055" max="2056" width="9" style="1661" customWidth="1"/>
    <col min="2057" max="2057" width="1.125" style="1661" customWidth="1"/>
    <col min="2058" max="2058" width="11.125" style="1661" customWidth="1"/>
    <col min="2059" max="2059" width="1.125" style="1661" customWidth="1"/>
    <col min="2060" max="2064" width="9" style="1661" customWidth="1"/>
    <col min="2065" max="2065" width="15.875" style="1661" customWidth="1"/>
    <col min="2066" max="2066" width="15.5" style="1661" customWidth="1"/>
    <col min="2067" max="2067" width="7.625" style="1661" customWidth="1"/>
    <col min="2068" max="2068" width="10.25" style="1661" customWidth="1"/>
    <col min="2069" max="2070" width="9" style="1661" customWidth="1"/>
    <col min="2071" max="2071" width="1.5" style="1661" customWidth="1"/>
    <col min="2072" max="2072" width="9" style="1661" customWidth="1"/>
    <col min="2073" max="2073" width="10.875" style="1661" bestFit="1" customWidth="1"/>
    <col min="2074" max="2074" width="10.5" style="1661" bestFit="1" customWidth="1"/>
    <col min="2075" max="2075" width="10.875" style="1661" customWidth="1"/>
    <col min="2076" max="2076" width="10.5" style="1661" customWidth="1"/>
    <col min="2077" max="2077" width="10.875" style="1661" customWidth="1"/>
    <col min="2078" max="2078" width="10.5" style="1661" customWidth="1"/>
    <col min="2079" max="2309" width="8" style="1661"/>
    <col min="2310" max="2310" width="1.5" style="1661" customWidth="1"/>
    <col min="2311" max="2312" width="9" style="1661" customWidth="1"/>
    <col min="2313" max="2313" width="1.125" style="1661" customWidth="1"/>
    <col min="2314" max="2314" width="11.125" style="1661" customWidth="1"/>
    <col min="2315" max="2315" width="1.125" style="1661" customWidth="1"/>
    <col min="2316" max="2320" width="9" style="1661" customWidth="1"/>
    <col min="2321" max="2321" width="15.875" style="1661" customWidth="1"/>
    <col min="2322" max="2322" width="15.5" style="1661" customWidth="1"/>
    <col min="2323" max="2323" width="7.625" style="1661" customWidth="1"/>
    <col min="2324" max="2324" width="10.25" style="1661" customWidth="1"/>
    <col min="2325" max="2326" width="9" style="1661" customWidth="1"/>
    <col min="2327" max="2327" width="1.5" style="1661" customWidth="1"/>
    <col min="2328" max="2328" width="9" style="1661" customWidth="1"/>
    <col min="2329" max="2329" width="10.875" style="1661" bestFit="1" customWidth="1"/>
    <col min="2330" max="2330" width="10.5" style="1661" bestFit="1" customWidth="1"/>
    <col min="2331" max="2331" width="10.875" style="1661" customWidth="1"/>
    <col min="2332" max="2332" width="10.5" style="1661" customWidth="1"/>
    <col min="2333" max="2333" width="10.875" style="1661" customWidth="1"/>
    <col min="2334" max="2334" width="10.5" style="1661" customWidth="1"/>
    <col min="2335" max="2565" width="8" style="1661"/>
    <col min="2566" max="2566" width="1.5" style="1661" customWidth="1"/>
    <col min="2567" max="2568" width="9" style="1661" customWidth="1"/>
    <col min="2569" max="2569" width="1.125" style="1661" customWidth="1"/>
    <col min="2570" max="2570" width="11.125" style="1661" customWidth="1"/>
    <col min="2571" max="2571" width="1.125" style="1661" customWidth="1"/>
    <col min="2572" max="2576" width="9" style="1661" customWidth="1"/>
    <col min="2577" max="2577" width="15.875" style="1661" customWidth="1"/>
    <col min="2578" max="2578" width="15.5" style="1661" customWidth="1"/>
    <col min="2579" max="2579" width="7.625" style="1661" customWidth="1"/>
    <col min="2580" max="2580" width="10.25" style="1661" customWidth="1"/>
    <col min="2581" max="2582" width="9" style="1661" customWidth="1"/>
    <col min="2583" max="2583" width="1.5" style="1661" customWidth="1"/>
    <col min="2584" max="2584" width="9" style="1661" customWidth="1"/>
    <col min="2585" max="2585" width="10.875" style="1661" bestFit="1" customWidth="1"/>
    <col min="2586" max="2586" width="10.5" style="1661" bestFit="1" customWidth="1"/>
    <col min="2587" max="2587" width="10.875" style="1661" customWidth="1"/>
    <col min="2588" max="2588" width="10.5" style="1661" customWidth="1"/>
    <col min="2589" max="2589" width="10.875" style="1661" customWidth="1"/>
    <col min="2590" max="2590" width="10.5" style="1661" customWidth="1"/>
    <col min="2591" max="2821" width="8" style="1661"/>
    <col min="2822" max="2822" width="1.5" style="1661" customWidth="1"/>
    <col min="2823" max="2824" width="9" style="1661" customWidth="1"/>
    <col min="2825" max="2825" width="1.125" style="1661" customWidth="1"/>
    <col min="2826" max="2826" width="11.125" style="1661" customWidth="1"/>
    <col min="2827" max="2827" width="1.125" style="1661" customWidth="1"/>
    <col min="2828" max="2832" width="9" style="1661" customWidth="1"/>
    <col min="2833" max="2833" width="15.875" style="1661" customWidth="1"/>
    <col min="2834" max="2834" width="15.5" style="1661" customWidth="1"/>
    <col min="2835" max="2835" width="7.625" style="1661" customWidth="1"/>
    <col min="2836" max="2836" width="10.25" style="1661" customWidth="1"/>
    <col min="2837" max="2838" width="9" style="1661" customWidth="1"/>
    <col min="2839" max="2839" width="1.5" style="1661" customWidth="1"/>
    <col min="2840" max="2840" width="9" style="1661" customWidth="1"/>
    <col min="2841" max="2841" width="10.875" style="1661" bestFit="1" customWidth="1"/>
    <col min="2842" max="2842" width="10.5" style="1661" bestFit="1" customWidth="1"/>
    <col min="2843" max="2843" width="10.875" style="1661" customWidth="1"/>
    <col min="2844" max="2844" width="10.5" style="1661" customWidth="1"/>
    <col min="2845" max="2845" width="10.875" style="1661" customWidth="1"/>
    <col min="2846" max="2846" width="10.5" style="1661" customWidth="1"/>
    <col min="2847" max="3077" width="8" style="1661"/>
    <col min="3078" max="3078" width="1.5" style="1661" customWidth="1"/>
    <col min="3079" max="3080" width="9" style="1661" customWidth="1"/>
    <col min="3081" max="3081" width="1.125" style="1661" customWidth="1"/>
    <col min="3082" max="3082" width="11.125" style="1661" customWidth="1"/>
    <col min="3083" max="3083" width="1.125" style="1661" customWidth="1"/>
    <col min="3084" max="3088" width="9" style="1661" customWidth="1"/>
    <col min="3089" max="3089" width="15.875" style="1661" customWidth="1"/>
    <col min="3090" max="3090" width="15.5" style="1661" customWidth="1"/>
    <col min="3091" max="3091" width="7.625" style="1661" customWidth="1"/>
    <col min="3092" max="3092" width="10.25" style="1661" customWidth="1"/>
    <col min="3093" max="3094" width="9" style="1661" customWidth="1"/>
    <col min="3095" max="3095" width="1.5" style="1661" customWidth="1"/>
    <col min="3096" max="3096" width="9" style="1661" customWidth="1"/>
    <col min="3097" max="3097" width="10.875" style="1661" bestFit="1" customWidth="1"/>
    <col min="3098" max="3098" width="10.5" style="1661" bestFit="1" customWidth="1"/>
    <col min="3099" max="3099" width="10.875" style="1661" customWidth="1"/>
    <col min="3100" max="3100" width="10.5" style="1661" customWidth="1"/>
    <col min="3101" max="3101" width="10.875" style="1661" customWidth="1"/>
    <col min="3102" max="3102" width="10.5" style="1661" customWidth="1"/>
    <col min="3103" max="3333" width="8" style="1661"/>
    <col min="3334" max="3334" width="1.5" style="1661" customWidth="1"/>
    <col min="3335" max="3336" width="9" style="1661" customWidth="1"/>
    <col min="3337" max="3337" width="1.125" style="1661" customWidth="1"/>
    <col min="3338" max="3338" width="11.125" style="1661" customWidth="1"/>
    <col min="3339" max="3339" width="1.125" style="1661" customWidth="1"/>
    <col min="3340" max="3344" width="9" style="1661" customWidth="1"/>
    <col min="3345" max="3345" width="15.875" style="1661" customWidth="1"/>
    <col min="3346" max="3346" width="15.5" style="1661" customWidth="1"/>
    <col min="3347" max="3347" width="7.625" style="1661" customWidth="1"/>
    <col min="3348" max="3348" width="10.25" style="1661" customWidth="1"/>
    <col min="3349" max="3350" width="9" style="1661" customWidth="1"/>
    <col min="3351" max="3351" width="1.5" style="1661" customWidth="1"/>
    <col min="3352" max="3352" width="9" style="1661" customWidth="1"/>
    <col min="3353" max="3353" width="10.875" style="1661" bestFit="1" customWidth="1"/>
    <col min="3354" max="3354" width="10.5" style="1661" bestFit="1" customWidth="1"/>
    <col min="3355" max="3355" width="10.875" style="1661" customWidth="1"/>
    <col min="3356" max="3356" width="10.5" style="1661" customWidth="1"/>
    <col min="3357" max="3357" width="10.875" style="1661" customWidth="1"/>
    <col min="3358" max="3358" width="10.5" style="1661" customWidth="1"/>
    <col min="3359" max="3589" width="8" style="1661"/>
    <col min="3590" max="3590" width="1.5" style="1661" customWidth="1"/>
    <col min="3591" max="3592" width="9" style="1661" customWidth="1"/>
    <col min="3593" max="3593" width="1.125" style="1661" customWidth="1"/>
    <col min="3594" max="3594" width="11.125" style="1661" customWidth="1"/>
    <col min="3595" max="3595" width="1.125" style="1661" customWidth="1"/>
    <col min="3596" max="3600" width="9" style="1661" customWidth="1"/>
    <col min="3601" max="3601" width="15.875" style="1661" customWidth="1"/>
    <col min="3602" max="3602" width="15.5" style="1661" customWidth="1"/>
    <col min="3603" max="3603" width="7.625" style="1661" customWidth="1"/>
    <col min="3604" max="3604" width="10.25" style="1661" customWidth="1"/>
    <col min="3605" max="3606" width="9" style="1661" customWidth="1"/>
    <col min="3607" max="3607" width="1.5" style="1661" customWidth="1"/>
    <col min="3608" max="3608" width="9" style="1661" customWidth="1"/>
    <col min="3609" max="3609" width="10.875" style="1661" bestFit="1" customWidth="1"/>
    <col min="3610" max="3610" width="10.5" style="1661" bestFit="1" customWidth="1"/>
    <col min="3611" max="3611" width="10.875" style="1661" customWidth="1"/>
    <col min="3612" max="3612" width="10.5" style="1661" customWidth="1"/>
    <col min="3613" max="3613" width="10.875" style="1661" customWidth="1"/>
    <col min="3614" max="3614" width="10.5" style="1661" customWidth="1"/>
    <col min="3615" max="3845" width="8" style="1661"/>
    <col min="3846" max="3846" width="1.5" style="1661" customWidth="1"/>
    <col min="3847" max="3848" width="9" style="1661" customWidth="1"/>
    <col min="3849" max="3849" width="1.125" style="1661" customWidth="1"/>
    <col min="3850" max="3850" width="11.125" style="1661" customWidth="1"/>
    <col min="3851" max="3851" width="1.125" style="1661" customWidth="1"/>
    <col min="3852" max="3856" width="9" style="1661" customWidth="1"/>
    <col min="3857" max="3857" width="15.875" style="1661" customWidth="1"/>
    <col min="3858" max="3858" width="15.5" style="1661" customWidth="1"/>
    <col min="3859" max="3859" width="7.625" style="1661" customWidth="1"/>
    <col min="3860" max="3860" width="10.25" style="1661" customWidth="1"/>
    <col min="3861" max="3862" width="9" style="1661" customWidth="1"/>
    <col min="3863" max="3863" width="1.5" style="1661" customWidth="1"/>
    <col min="3864" max="3864" width="9" style="1661" customWidth="1"/>
    <col min="3865" max="3865" width="10.875" style="1661" bestFit="1" customWidth="1"/>
    <col min="3866" max="3866" width="10.5" style="1661" bestFit="1" customWidth="1"/>
    <col min="3867" max="3867" width="10.875" style="1661" customWidth="1"/>
    <col min="3868" max="3868" width="10.5" style="1661" customWidth="1"/>
    <col min="3869" max="3869" width="10.875" style="1661" customWidth="1"/>
    <col min="3870" max="3870" width="10.5" style="1661" customWidth="1"/>
    <col min="3871" max="4101" width="8" style="1661"/>
    <col min="4102" max="4102" width="1.5" style="1661" customWidth="1"/>
    <col min="4103" max="4104" width="9" style="1661" customWidth="1"/>
    <col min="4105" max="4105" width="1.125" style="1661" customWidth="1"/>
    <col min="4106" max="4106" width="11.125" style="1661" customWidth="1"/>
    <col min="4107" max="4107" width="1.125" style="1661" customWidth="1"/>
    <col min="4108" max="4112" width="9" style="1661" customWidth="1"/>
    <col min="4113" max="4113" width="15.875" style="1661" customWidth="1"/>
    <col min="4114" max="4114" width="15.5" style="1661" customWidth="1"/>
    <col min="4115" max="4115" width="7.625" style="1661" customWidth="1"/>
    <col min="4116" max="4116" width="10.25" style="1661" customWidth="1"/>
    <col min="4117" max="4118" width="9" style="1661" customWidth="1"/>
    <col min="4119" max="4119" width="1.5" style="1661" customWidth="1"/>
    <col min="4120" max="4120" width="9" style="1661" customWidth="1"/>
    <col min="4121" max="4121" width="10.875" style="1661" bestFit="1" customWidth="1"/>
    <col min="4122" max="4122" width="10.5" style="1661" bestFit="1" customWidth="1"/>
    <col min="4123" max="4123" width="10.875" style="1661" customWidth="1"/>
    <col min="4124" max="4124" width="10.5" style="1661" customWidth="1"/>
    <col min="4125" max="4125" width="10.875" style="1661" customWidth="1"/>
    <col min="4126" max="4126" width="10.5" style="1661" customWidth="1"/>
    <col min="4127" max="4357" width="8" style="1661"/>
    <col min="4358" max="4358" width="1.5" style="1661" customWidth="1"/>
    <col min="4359" max="4360" width="9" style="1661" customWidth="1"/>
    <col min="4361" max="4361" width="1.125" style="1661" customWidth="1"/>
    <col min="4362" max="4362" width="11.125" style="1661" customWidth="1"/>
    <col min="4363" max="4363" width="1.125" style="1661" customWidth="1"/>
    <col min="4364" max="4368" width="9" style="1661" customWidth="1"/>
    <col min="4369" max="4369" width="15.875" style="1661" customWidth="1"/>
    <col min="4370" max="4370" width="15.5" style="1661" customWidth="1"/>
    <col min="4371" max="4371" width="7.625" style="1661" customWidth="1"/>
    <col min="4372" max="4372" width="10.25" style="1661" customWidth="1"/>
    <col min="4373" max="4374" width="9" style="1661" customWidth="1"/>
    <col min="4375" max="4375" width="1.5" style="1661" customWidth="1"/>
    <col min="4376" max="4376" width="9" style="1661" customWidth="1"/>
    <col min="4377" max="4377" width="10.875" style="1661" bestFit="1" customWidth="1"/>
    <col min="4378" max="4378" width="10.5" style="1661" bestFit="1" customWidth="1"/>
    <col min="4379" max="4379" width="10.875" style="1661" customWidth="1"/>
    <col min="4380" max="4380" width="10.5" style="1661" customWidth="1"/>
    <col min="4381" max="4381" width="10.875" style="1661" customWidth="1"/>
    <col min="4382" max="4382" width="10.5" style="1661" customWidth="1"/>
    <col min="4383" max="4613" width="8" style="1661"/>
    <col min="4614" max="4614" width="1.5" style="1661" customWidth="1"/>
    <col min="4615" max="4616" width="9" style="1661" customWidth="1"/>
    <col min="4617" max="4617" width="1.125" style="1661" customWidth="1"/>
    <col min="4618" max="4618" width="11.125" style="1661" customWidth="1"/>
    <col min="4619" max="4619" width="1.125" style="1661" customWidth="1"/>
    <col min="4620" max="4624" width="9" style="1661" customWidth="1"/>
    <col min="4625" max="4625" width="15.875" style="1661" customWidth="1"/>
    <col min="4626" max="4626" width="15.5" style="1661" customWidth="1"/>
    <col min="4627" max="4627" width="7.625" style="1661" customWidth="1"/>
    <col min="4628" max="4628" width="10.25" style="1661" customWidth="1"/>
    <col min="4629" max="4630" width="9" style="1661" customWidth="1"/>
    <col min="4631" max="4631" width="1.5" style="1661" customWidth="1"/>
    <col min="4632" max="4632" width="9" style="1661" customWidth="1"/>
    <col min="4633" max="4633" width="10.875" style="1661" bestFit="1" customWidth="1"/>
    <col min="4634" max="4634" width="10.5" style="1661" bestFit="1" customWidth="1"/>
    <col min="4635" max="4635" width="10.875" style="1661" customWidth="1"/>
    <col min="4636" max="4636" width="10.5" style="1661" customWidth="1"/>
    <col min="4637" max="4637" width="10.875" style="1661" customWidth="1"/>
    <col min="4638" max="4638" width="10.5" style="1661" customWidth="1"/>
    <col min="4639" max="4869" width="8" style="1661"/>
    <col min="4870" max="4870" width="1.5" style="1661" customWidth="1"/>
    <col min="4871" max="4872" width="9" style="1661" customWidth="1"/>
    <col min="4873" max="4873" width="1.125" style="1661" customWidth="1"/>
    <col min="4874" max="4874" width="11.125" style="1661" customWidth="1"/>
    <col min="4875" max="4875" width="1.125" style="1661" customWidth="1"/>
    <col min="4876" max="4880" width="9" style="1661" customWidth="1"/>
    <col min="4881" max="4881" width="15.875" style="1661" customWidth="1"/>
    <col min="4882" max="4882" width="15.5" style="1661" customWidth="1"/>
    <col min="4883" max="4883" width="7.625" style="1661" customWidth="1"/>
    <col min="4884" max="4884" width="10.25" style="1661" customWidth="1"/>
    <col min="4885" max="4886" width="9" style="1661" customWidth="1"/>
    <col min="4887" max="4887" width="1.5" style="1661" customWidth="1"/>
    <col min="4888" max="4888" width="9" style="1661" customWidth="1"/>
    <col min="4889" max="4889" width="10.875" style="1661" bestFit="1" customWidth="1"/>
    <col min="4890" max="4890" width="10.5" style="1661" bestFit="1" customWidth="1"/>
    <col min="4891" max="4891" width="10.875" style="1661" customWidth="1"/>
    <col min="4892" max="4892" width="10.5" style="1661" customWidth="1"/>
    <col min="4893" max="4893" width="10.875" style="1661" customWidth="1"/>
    <col min="4894" max="4894" width="10.5" style="1661" customWidth="1"/>
    <col min="4895" max="5125" width="8" style="1661"/>
    <col min="5126" max="5126" width="1.5" style="1661" customWidth="1"/>
    <col min="5127" max="5128" width="9" style="1661" customWidth="1"/>
    <col min="5129" max="5129" width="1.125" style="1661" customWidth="1"/>
    <col min="5130" max="5130" width="11.125" style="1661" customWidth="1"/>
    <col min="5131" max="5131" width="1.125" style="1661" customWidth="1"/>
    <col min="5132" max="5136" width="9" style="1661" customWidth="1"/>
    <col min="5137" max="5137" width="15.875" style="1661" customWidth="1"/>
    <col min="5138" max="5138" width="15.5" style="1661" customWidth="1"/>
    <col min="5139" max="5139" width="7.625" style="1661" customWidth="1"/>
    <col min="5140" max="5140" width="10.25" style="1661" customWidth="1"/>
    <col min="5141" max="5142" width="9" style="1661" customWidth="1"/>
    <col min="5143" max="5143" width="1.5" style="1661" customWidth="1"/>
    <col min="5144" max="5144" width="9" style="1661" customWidth="1"/>
    <col min="5145" max="5145" width="10.875" style="1661" bestFit="1" customWidth="1"/>
    <col min="5146" max="5146" width="10.5" style="1661" bestFit="1" customWidth="1"/>
    <col min="5147" max="5147" width="10.875" style="1661" customWidth="1"/>
    <col min="5148" max="5148" width="10.5" style="1661" customWidth="1"/>
    <col min="5149" max="5149" width="10.875" style="1661" customWidth="1"/>
    <col min="5150" max="5150" width="10.5" style="1661" customWidth="1"/>
    <col min="5151" max="5381" width="8" style="1661"/>
    <col min="5382" max="5382" width="1.5" style="1661" customWidth="1"/>
    <col min="5383" max="5384" width="9" style="1661" customWidth="1"/>
    <col min="5385" max="5385" width="1.125" style="1661" customWidth="1"/>
    <col min="5386" max="5386" width="11.125" style="1661" customWidth="1"/>
    <col min="5387" max="5387" width="1.125" style="1661" customWidth="1"/>
    <col min="5388" max="5392" width="9" style="1661" customWidth="1"/>
    <col min="5393" max="5393" width="15.875" style="1661" customWidth="1"/>
    <col min="5394" max="5394" width="15.5" style="1661" customWidth="1"/>
    <col min="5395" max="5395" width="7.625" style="1661" customWidth="1"/>
    <col min="5396" max="5396" width="10.25" style="1661" customWidth="1"/>
    <col min="5397" max="5398" width="9" style="1661" customWidth="1"/>
    <col min="5399" max="5399" width="1.5" style="1661" customWidth="1"/>
    <col min="5400" max="5400" width="9" style="1661" customWidth="1"/>
    <col min="5401" max="5401" width="10.875" style="1661" bestFit="1" customWidth="1"/>
    <col min="5402" max="5402" width="10.5" style="1661" bestFit="1" customWidth="1"/>
    <col min="5403" max="5403" width="10.875" style="1661" customWidth="1"/>
    <col min="5404" max="5404" width="10.5" style="1661" customWidth="1"/>
    <col min="5405" max="5405" width="10.875" style="1661" customWidth="1"/>
    <col min="5406" max="5406" width="10.5" style="1661" customWidth="1"/>
    <col min="5407" max="5637" width="8" style="1661"/>
    <col min="5638" max="5638" width="1.5" style="1661" customWidth="1"/>
    <col min="5639" max="5640" width="9" style="1661" customWidth="1"/>
    <col min="5641" max="5641" width="1.125" style="1661" customWidth="1"/>
    <col min="5642" max="5642" width="11.125" style="1661" customWidth="1"/>
    <col min="5643" max="5643" width="1.125" style="1661" customWidth="1"/>
    <col min="5644" max="5648" width="9" style="1661" customWidth="1"/>
    <col min="5649" max="5649" width="15.875" style="1661" customWidth="1"/>
    <col min="5650" max="5650" width="15.5" style="1661" customWidth="1"/>
    <col min="5651" max="5651" width="7.625" style="1661" customWidth="1"/>
    <col min="5652" max="5652" width="10.25" style="1661" customWidth="1"/>
    <col min="5653" max="5654" width="9" style="1661" customWidth="1"/>
    <col min="5655" max="5655" width="1.5" style="1661" customWidth="1"/>
    <col min="5656" max="5656" width="9" style="1661" customWidth="1"/>
    <col min="5657" max="5657" width="10.875" style="1661" bestFit="1" customWidth="1"/>
    <col min="5658" max="5658" width="10.5" style="1661" bestFit="1" customWidth="1"/>
    <col min="5659" max="5659" width="10.875" style="1661" customWidth="1"/>
    <col min="5660" max="5660" width="10.5" style="1661" customWidth="1"/>
    <col min="5661" max="5661" width="10.875" style="1661" customWidth="1"/>
    <col min="5662" max="5662" width="10.5" style="1661" customWidth="1"/>
    <col min="5663" max="5893" width="8" style="1661"/>
    <col min="5894" max="5894" width="1.5" style="1661" customWidth="1"/>
    <col min="5895" max="5896" width="9" style="1661" customWidth="1"/>
    <col min="5897" max="5897" width="1.125" style="1661" customWidth="1"/>
    <col min="5898" max="5898" width="11.125" style="1661" customWidth="1"/>
    <col min="5899" max="5899" width="1.125" style="1661" customWidth="1"/>
    <col min="5900" max="5904" width="9" style="1661" customWidth="1"/>
    <col min="5905" max="5905" width="15.875" style="1661" customWidth="1"/>
    <col min="5906" max="5906" width="15.5" style="1661" customWidth="1"/>
    <col min="5907" max="5907" width="7.625" style="1661" customWidth="1"/>
    <col min="5908" max="5908" width="10.25" style="1661" customWidth="1"/>
    <col min="5909" max="5910" width="9" style="1661" customWidth="1"/>
    <col min="5911" max="5911" width="1.5" style="1661" customWidth="1"/>
    <col min="5912" max="5912" width="9" style="1661" customWidth="1"/>
    <col min="5913" max="5913" width="10.875" style="1661" bestFit="1" customWidth="1"/>
    <col min="5914" max="5914" width="10.5" style="1661" bestFit="1" customWidth="1"/>
    <col min="5915" max="5915" width="10.875" style="1661" customWidth="1"/>
    <col min="5916" max="5916" width="10.5" style="1661" customWidth="1"/>
    <col min="5917" max="5917" width="10.875" style="1661" customWidth="1"/>
    <col min="5918" max="5918" width="10.5" style="1661" customWidth="1"/>
    <col min="5919" max="6149" width="8" style="1661"/>
    <col min="6150" max="6150" width="1.5" style="1661" customWidth="1"/>
    <col min="6151" max="6152" width="9" style="1661" customWidth="1"/>
    <col min="6153" max="6153" width="1.125" style="1661" customWidth="1"/>
    <col min="6154" max="6154" width="11.125" style="1661" customWidth="1"/>
    <col min="6155" max="6155" width="1.125" style="1661" customWidth="1"/>
    <col min="6156" max="6160" width="9" style="1661" customWidth="1"/>
    <col min="6161" max="6161" width="15.875" style="1661" customWidth="1"/>
    <col min="6162" max="6162" width="15.5" style="1661" customWidth="1"/>
    <col min="6163" max="6163" width="7.625" style="1661" customWidth="1"/>
    <col min="6164" max="6164" width="10.25" style="1661" customWidth="1"/>
    <col min="6165" max="6166" width="9" style="1661" customWidth="1"/>
    <col min="6167" max="6167" width="1.5" style="1661" customWidth="1"/>
    <col min="6168" max="6168" width="9" style="1661" customWidth="1"/>
    <col min="6169" max="6169" width="10.875" style="1661" bestFit="1" customWidth="1"/>
    <col min="6170" max="6170" width="10.5" style="1661" bestFit="1" customWidth="1"/>
    <col min="6171" max="6171" width="10.875" style="1661" customWidth="1"/>
    <col min="6172" max="6172" width="10.5" style="1661" customWidth="1"/>
    <col min="6173" max="6173" width="10.875" style="1661" customWidth="1"/>
    <col min="6174" max="6174" width="10.5" style="1661" customWidth="1"/>
    <col min="6175" max="6405" width="8" style="1661"/>
    <col min="6406" max="6406" width="1.5" style="1661" customWidth="1"/>
    <col min="6407" max="6408" width="9" style="1661" customWidth="1"/>
    <col min="6409" max="6409" width="1.125" style="1661" customWidth="1"/>
    <col min="6410" max="6410" width="11.125" style="1661" customWidth="1"/>
    <col min="6411" max="6411" width="1.125" style="1661" customWidth="1"/>
    <col min="6412" max="6416" width="9" style="1661" customWidth="1"/>
    <col min="6417" max="6417" width="15.875" style="1661" customWidth="1"/>
    <col min="6418" max="6418" width="15.5" style="1661" customWidth="1"/>
    <col min="6419" max="6419" width="7.625" style="1661" customWidth="1"/>
    <col min="6420" max="6420" width="10.25" style="1661" customWidth="1"/>
    <col min="6421" max="6422" width="9" style="1661" customWidth="1"/>
    <col min="6423" max="6423" width="1.5" style="1661" customWidth="1"/>
    <col min="6424" max="6424" width="9" style="1661" customWidth="1"/>
    <col min="6425" max="6425" width="10.875" style="1661" bestFit="1" customWidth="1"/>
    <col min="6426" max="6426" width="10.5" style="1661" bestFit="1" customWidth="1"/>
    <col min="6427" max="6427" width="10.875" style="1661" customWidth="1"/>
    <col min="6428" max="6428" width="10.5" style="1661" customWidth="1"/>
    <col min="6429" max="6429" width="10.875" style="1661" customWidth="1"/>
    <col min="6430" max="6430" width="10.5" style="1661" customWidth="1"/>
    <col min="6431" max="6661" width="8" style="1661"/>
    <col min="6662" max="6662" width="1.5" style="1661" customWidth="1"/>
    <col min="6663" max="6664" width="9" style="1661" customWidth="1"/>
    <col min="6665" max="6665" width="1.125" style="1661" customWidth="1"/>
    <col min="6666" max="6666" width="11.125" style="1661" customWidth="1"/>
    <col min="6667" max="6667" width="1.125" style="1661" customWidth="1"/>
    <col min="6668" max="6672" width="9" style="1661" customWidth="1"/>
    <col min="6673" max="6673" width="15.875" style="1661" customWidth="1"/>
    <col min="6674" max="6674" width="15.5" style="1661" customWidth="1"/>
    <col min="6675" max="6675" width="7.625" style="1661" customWidth="1"/>
    <col min="6676" max="6676" width="10.25" style="1661" customWidth="1"/>
    <col min="6677" max="6678" width="9" style="1661" customWidth="1"/>
    <col min="6679" max="6679" width="1.5" style="1661" customWidth="1"/>
    <col min="6680" max="6680" width="9" style="1661" customWidth="1"/>
    <col min="6681" max="6681" width="10.875" style="1661" bestFit="1" customWidth="1"/>
    <col min="6682" max="6682" width="10.5" style="1661" bestFit="1" customWidth="1"/>
    <col min="6683" max="6683" width="10.875" style="1661" customWidth="1"/>
    <col min="6684" max="6684" width="10.5" style="1661" customWidth="1"/>
    <col min="6685" max="6685" width="10.875" style="1661" customWidth="1"/>
    <col min="6686" max="6686" width="10.5" style="1661" customWidth="1"/>
    <col min="6687" max="6917" width="8" style="1661"/>
    <col min="6918" max="6918" width="1.5" style="1661" customWidth="1"/>
    <col min="6919" max="6920" width="9" style="1661" customWidth="1"/>
    <col min="6921" max="6921" width="1.125" style="1661" customWidth="1"/>
    <col min="6922" max="6922" width="11.125" style="1661" customWidth="1"/>
    <col min="6923" max="6923" width="1.125" style="1661" customWidth="1"/>
    <col min="6924" max="6928" width="9" style="1661" customWidth="1"/>
    <col min="6929" max="6929" width="15.875" style="1661" customWidth="1"/>
    <col min="6930" max="6930" width="15.5" style="1661" customWidth="1"/>
    <col min="6931" max="6931" width="7.625" style="1661" customWidth="1"/>
    <col min="6932" max="6932" width="10.25" style="1661" customWidth="1"/>
    <col min="6933" max="6934" width="9" style="1661" customWidth="1"/>
    <col min="6935" max="6935" width="1.5" style="1661" customWidth="1"/>
    <col min="6936" max="6936" width="9" style="1661" customWidth="1"/>
    <col min="6937" max="6937" width="10.875" style="1661" bestFit="1" customWidth="1"/>
    <col min="6938" max="6938" width="10.5" style="1661" bestFit="1" customWidth="1"/>
    <col min="6939" max="6939" width="10.875" style="1661" customWidth="1"/>
    <col min="6940" max="6940" width="10.5" style="1661" customWidth="1"/>
    <col min="6941" max="6941" width="10.875" style="1661" customWidth="1"/>
    <col min="6942" max="6942" width="10.5" style="1661" customWidth="1"/>
    <col min="6943" max="7173" width="8" style="1661"/>
    <col min="7174" max="7174" width="1.5" style="1661" customWidth="1"/>
    <col min="7175" max="7176" width="9" style="1661" customWidth="1"/>
    <col min="7177" max="7177" width="1.125" style="1661" customWidth="1"/>
    <col min="7178" max="7178" width="11.125" style="1661" customWidth="1"/>
    <col min="7179" max="7179" width="1.125" style="1661" customWidth="1"/>
    <col min="7180" max="7184" width="9" style="1661" customWidth="1"/>
    <col min="7185" max="7185" width="15.875" style="1661" customWidth="1"/>
    <col min="7186" max="7186" width="15.5" style="1661" customWidth="1"/>
    <col min="7187" max="7187" width="7.625" style="1661" customWidth="1"/>
    <col min="7188" max="7188" width="10.25" style="1661" customWidth="1"/>
    <col min="7189" max="7190" width="9" style="1661" customWidth="1"/>
    <col min="7191" max="7191" width="1.5" style="1661" customWidth="1"/>
    <col min="7192" max="7192" width="9" style="1661" customWidth="1"/>
    <col min="7193" max="7193" width="10.875" style="1661" bestFit="1" customWidth="1"/>
    <col min="7194" max="7194" width="10.5" style="1661" bestFit="1" customWidth="1"/>
    <col min="7195" max="7195" width="10.875" style="1661" customWidth="1"/>
    <col min="7196" max="7196" width="10.5" style="1661" customWidth="1"/>
    <col min="7197" max="7197" width="10.875" style="1661" customWidth="1"/>
    <col min="7198" max="7198" width="10.5" style="1661" customWidth="1"/>
    <col min="7199" max="7429" width="8" style="1661"/>
    <col min="7430" max="7430" width="1.5" style="1661" customWidth="1"/>
    <col min="7431" max="7432" width="9" style="1661" customWidth="1"/>
    <col min="7433" max="7433" width="1.125" style="1661" customWidth="1"/>
    <col min="7434" max="7434" width="11.125" style="1661" customWidth="1"/>
    <col min="7435" max="7435" width="1.125" style="1661" customWidth="1"/>
    <col min="7436" max="7440" width="9" style="1661" customWidth="1"/>
    <col min="7441" max="7441" width="15.875" style="1661" customWidth="1"/>
    <col min="7442" max="7442" width="15.5" style="1661" customWidth="1"/>
    <col min="7443" max="7443" width="7.625" style="1661" customWidth="1"/>
    <col min="7444" max="7444" width="10.25" style="1661" customWidth="1"/>
    <col min="7445" max="7446" width="9" style="1661" customWidth="1"/>
    <col min="7447" max="7447" width="1.5" style="1661" customWidth="1"/>
    <col min="7448" max="7448" width="9" style="1661" customWidth="1"/>
    <col min="7449" max="7449" width="10.875" style="1661" bestFit="1" customWidth="1"/>
    <col min="7450" max="7450" width="10.5" style="1661" bestFit="1" customWidth="1"/>
    <col min="7451" max="7451" width="10.875" style="1661" customWidth="1"/>
    <col min="7452" max="7452" width="10.5" style="1661" customWidth="1"/>
    <col min="7453" max="7453" width="10.875" style="1661" customWidth="1"/>
    <col min="7454" max="7454" width="10.5" style="1661" customWidth="1"/>
    <col min="7455" max="7685" width="8" style="1661"/>
    <col min="7686" max="7686" width="1.5" style="1661" customWidth="1"/>
    <col min="7687" max="7688" width="9" style="1661" customWidth="1"/>
    <col min="7689" max="7689" width="1.125" style="1661" customWidth="1"/>
    <col min="7690" max="7690" width="11.125" style="1661" customWidth="1"/>
    <col min="7691" max="7691" width="1.125" style="1661" customWidth="1"/>
    <col min="7692" max="7696" width="9" style="1661" customWidth="1"/>
    <col min="7697" max="7697" width="15.875" style="1661" customWidth="1"/>
    <col min="7698" max="7698" width="15.5" style="1661" customWidth="1"/>
    <col min="7699" max="7699" width="7.625" style="1661" customWidth="1"/>
    <col min="7700" max="7700" width="10.25" style="1661" customWidth="1"/>
    <col min="7701" max="7702" width="9" style="1661" customWidth="1"/>
    <col min="7703" max="7703" width="1.5" style="1661" customWidth="1"/>
    <col min="7704" max="7704" width="9" style="1661" customWidth="1"/>
    <col min="7705" max="7705" width="10.875" style="1661" bestFit="1" customWidth="1"/>
    <col min="7706" max="7706" width="10.5" style="1661" bestFit="1" customWidth="1"/>
    <col min="7707" max="7707" width="10.875" style="1661" customWidth="1"/>
    <col min="7708" max="7708" width="10.5" style="1661" customWidth="1"/>
    <col min="7709" max="7709" width="10.875" style="1661" customWidth="1"/>
    <col min="7710" max="7710" width="10.5" style="1661" customWidth="1"/>
    <col min="7711" max="7941" width="8" style="1661"/>
    <col min="7942" max="7942" width="1.5" style="1661" customWidth="1"/>
    <col min="7943" max="7944" width="9" style="1661" customWidth="1"/>
    <col min="7945" max="7945" width="1.125" style="1661" customWidth="1"/>
    <col min="7946" max="7946" width="11.125" style="1661" customWidth="1"/>
    <col min="7947" max="7947" width="1.125" style="1661" customWidth="1"/>
    <col min="7948" max="7952" width="9" style="1661" customWidth="1"/>
    <col min="7953" max="7953" width="15.875" style="1661" customWidth="1"/>
    <col min="7954" max="7954" width="15.5" style="1661" customWidth="1"/>
    <col min="7955" max="7955" width="7.625" style="1661" customWidth="1"/>
    <col min="7956" max="7956" width="10.25" style="1661" customWidth="1"/>
    <col min="7957" max="7958" width="9" style="1661" customWidth="1"/>
    <col min="7959" max="7959" width="1.5" style="1661" customWidth="1"/>
    <col min="7960" max="7960" width="9" style="1661" customWidth="1"/>
    <col min="7961" max="7961" width="10.875" style="1661" bestFit="1" customWidth="1"/>
    <col min="7962" max="7962" width="10.5" style="1661" bestFit="1" customWidth="1"/>
    <col min="7963" max="7963" width="10.875" style="1661" customWidth="1"/>
    <col min="7964" max="7964" width="10.5" style="1661" customWidth="1"/>
    <col min="7965" max="7965" width="10.875" style="1661" customWidth="1"/>
    <col min="7966" max="7966" width="10.5" style="1661" customWidth="1"/>
    <col min="7967" max="8197" width="8" style="1661"/>
    <col min="8198" max="8198" width="1.5" style="1661" customWidth="1"/>
    <col min="8199" max="8200" width="9" style="1661" customWidth="1"/>
    <col min="8201" max="8201" width="1.125" style="1661" customWidth="1"/>
    <col min="8202" max="8202" width="11.125" style="1661" customWidth="1"/>
    <col min="8203" max="8203" width="1.125" style="1661" customWidth="1"/>
    <col min="8204" max="8208" width="9" style="1661" customWidth="1"/>
    <col min="8209" max="8209" width="15.875" style="1661" customWidth="1"/>
    <col min="8210" max="8210" width="15.5" style="1661" customWidth="1"/>
    <col min="8211" max="8211" width="7.625" style="1661" customWidth="1"/>
    <col min="8212" max="8212" width="10.25" style="1661" customWidth="1"/>
    <col min="8213" max="8214" width="9" style="1661" customWidth="1"/>
    <col min="8215" max="8215" width="1.5" style="1661" customWidth="1"/>
    <col min="8216" max="8216" width="9" style="1661" customWidth="1"/>
    <col min="8217" max="8217" width="10.875" style="1661" bestFit="1" customWidth="1"/>
    <col min="8218" max="8218" width="10.5" style="1661" bestFit="1" customWidth="1"/>
    <col min="8219" max="8219" width="10.875" style="1661" customWidth="1"/>
    <col min="8220" max="8220" width="10.5" style="1661" customWidth="1"/>
    <col min="8221" max="8221" width="10.875" style="1661" customWidth="1"/>
    <col min="8222" max="8222" width="10.5" style="1661" customWidth="1"/>
    <col min="8223" max="8453" width="8" style="1661"/>
    <col min="8454" max="8454" width="1.5" style="1661" customWidth="1"/>
    <col min="8455" max="8456" width="9" style="1661" customWidth="1"/>
    <col min="8457" max="8457" width="1.125" style="1661" customWidth="1"/>
    <col min="8458" max="8458" width="11.125" style="1661" customWidth="1"/>
    <col min="8459" max="8459" width="1.125" style="1661" customWidth="1"/>
    <col min="8460" max="8464" width="9" style="1661" customWidth="1"/>
    <col min="8465" max="8465" width="15.875" style="1661" customWidth="1"/>
    <col min="8466" max="8466" width="15.5" style="1661" customWidth="1"/>
    <col min="8467" max="8467" width="7.625" style="1661" customWidth="1"/>
    <col min="8468" max="8468" width="10.25" style="1661" customWidth="1"/>
    <col min="8469" max="8470" width="9" style="1661" customWidth="1"/>
    <col min="8471" max="8471" width="1.5" style="1661" customWidth="1"/>
    <col min="8472" max="8472" width="9" style="1661" customWidth="1"/>
    <col min="8473" max="8473" width="10.875" style="1661" bestFit="1" customWidth="1"/>
    <col min="8474" max="8474" width="10.5" style="1661" bestFit="1" customWidth="1"/>
    <col min="8475" max="8475" width="10.875" style="1661" customWidth="1"/>
    <col min="8476" max="8476" width="10.5" style="1661" customWidth="1"/>
    <col min="8477" max="8477" width="10.875" style="1661" customWidth="1"/>
    <col min="8478" max="8478" width="10.5" style="1661" customWidth="1"/>
    <col min="8479" max="8709" width="8" style="1661"/>
    <col min="8710" max="8710" width="1.5" style="1661" customWidth="1"/>
    <col min="8711" max="8712" width="9" style="1661" customWidth="1"/>
    <col min="8713" max="8713" width="1.125" style="1661" customWidth="1"/>
    <col min="8714" max="8714" width="11.125" style="1661" customWidth="1"/>
    <col min="8715" max="8715" width="1.125" style="1661" customWidth="1"/>
    <col min="8716" max="8720" width="9" style="1661" customWidth="1"/>
    <col min="8721" max="8721" width="15.875" style="1661" customWidth="1"/>
    <col min="8722" max="8722" width="15.5" style="1661" customWidth="1"/>
    <col min="8723" max="8723" width="7.625" style="1661" customWidth="1"/>
    <col min="8724" max="8724" width="10.25" style="1661" customWidth="1"/>
    <col min="8725" max="8726" width="9" style="1661" customWidth="1"/>
    <col min="8727" max="8727" width="1.5" style="1661" customWidth="1"/>
    <col min="8728" max="8728" width="9" style="1661" customWidth="1"/>
    <col min="8729" max="8729" width="10.875" style="1661" bestFit="1" customWidth="1"/>
    <col min="8730" max="8730" width="10.5" style="1661" bestFit="1" customWidth="1"/>
    <col min="8731" max="8731" width="10.875" style="1661" customWidth="1"/>
    <col min="8732" max="8732" width="10.5" style="1661" customWidth="1"/>
    <col min="8733" max="8733" width="10.875" style="1661" customWidth="1"/>
    <col min="8734" max="8734" width="10.5" style="1661" customWidth="1"/>
    <col min="8735" max="8965" width="8" style="1661"/>
    <col min="8966" max="8966" width="1.5" style="1661" customWidth="1"/>
    <col min="8967" max="8968" width="9" style="1661" customWidth="1"/>
    <col min="8969" max="8969" width="1.125" style="1661" customWidth="1"/>
    <col min="8970" max="8970" width="11.125" style="1661" customWidth="1"/>
    <col min="8971" max="8971" width="1.125" style="1661" customWidth="1"/>
    <col min="8972" max="8976" width="9" style="1661" customWidth="1"/>
    <col min="8977" max="8977" width="15.875" style="1661" customWidth="1"/>
    <col min="8978" max="8978" width="15.5" style="1661" customWidth="1"/>
    <col min="8979" max="8979" width="7.625" style="1661" customWidth="1"/>
    <col min="8980" max="8980" width="10.25" style="1661" customWidth="1"/>
    <col min="8981" max="8982" width="9" style="1661" customWidth="1"/>
    <col min="8983" max="8983" width="1.5" style="1661" customWidth="1"/>
    <col min="8984" max="8984" width="9" style="1661" customWidth="1"/>
    <col min="8985" max="8985" width="10.875" style="1661" bestFit="1" customWidth="1"/>
    <col min="8986" max="8986" width="10.5" style="1661" bestFit="1" customWidth="1"/>
    <col min="8987" max="8987" width="10.875" style="1661" customWidth="1"/>
    <col min="8988" max="8988" width="10.5" style="1661" customWidth="1"/>
    <col min="8989" max="8989" width="10.875" style="1661" customWidth="1"/>
    <col min="8990" max="8990" width="10.5" style="1661" customWidth="1"/>
    <col min="8991" max="9221" width="8" style="1661"/>
    <col min="9222" max="9222" width="1.5" style="1661" customWidth="1"/>
    <col min="9223" max="9224" width="9" style="1661" customWidth="1"/>
    <col min="9225" max="9225" width="1.125" style="1661" customWidth="1"/>
    <col min="9226" max="9226" width="11.125" style="1661" customWidth="1"/>
    <col min="9227" max="9227" width="1.125" style="1661" customWidth="1"/>
    <col min="9228" max="9232" width="9" style="1661" customWidth="1"/>
    <col min="9233" max="9233" width="15.875" style="1661" customWidth="1"/>
    <col min="9234" max="9234" width="15.5" style="1661" customWidth="1"/>
    <col min="9235" max="9235" width="7.625" style="1661" customWidth="1"/>
    <col min="9236" max="9236" width="10.25" style="1661" customWidth="1"/>
    <col min="9237" max="9238" width="9" style="1661" customWidth="1"/>
    <col min="9239" max="9239" width="1.5" style="1661" customWidth="1"/>
    <col min="9240" max="9240" width="9" style="1661" customWidth="1"/>
    <col min="9241" max="9241" width="10.875" style="1661" bestFit="1" customWidth="1"/>
    <col min="9242" max="9242" width="10.5" style="1661" bestFit="1" customWidth="1"/>
    <col min="9243" max="9243" width="10.875" style="1661" customWidth="1"/>
    <col min="9244" max="9244" width="10.5" style="1661" customWidth="1"/>
    <col min="9245" max="9245" width="10.875" style="1661" customWidth="1"/>
    <col min="9246" max="9246" width="10.5" style="1661" customWidth="1"/>
    <col min="9247" max="9477" width="8" style="1661"/>
    <col min="9478" max="9478" width="1.5" style="1661" customWidth="1"/>
    <col min="9479" max="9480" width="9" style="1661" customWidth="1"/>
    <col min="9481" max="9481" width="1.125" style="1661" customWidth="1"/>
    <col min="9482" max="9482" width="11.125" style="1661" customWidth="1"/>
    <col min="9483" max="9483" width="1.125" style="1661" customWidth="1"/>
    <col min="9484" max="9488" width="9" style="1661" customWidth="1"/>
    <col min="9489" max="9489" width="15.875" style="1661" customWidth="1"/>
    <col min="9490" max="9490" width="15.5" style="1661" customWidth="1"/>
    <col min="9491" max="9491" width="7.625" style="1661" customWidth="1"/>
    <col min="9492" max="9492" width="10.25" style="1661" customWidth="1"/>
    <col min="9493" max="9494" width="9" style="1661" customWidth="1"/>
    <col min="9495" max="9495" width="1.5" style="1661" customWidth="1"/>
    <col min="9496" max="9496" width="9" style="1661" customWidth="1"/>
    <col min="9497" max="9497" width="10.875" style="1661" bestFit="1" customWidth="1"/>
    <col min="9498" max="9498" width="10.5" style="1661" bestFit="1" customWidth="1"/>
    <col min="9499" max="9499" width="10.875" style="1661" customWidth="1"/>
    <col min="9500" max="9500" width="10.5" style="1661" customWidth="1"/>
    <col min="9501" max="9501" width="10.875" style="1661" customWidth="1"/>
    <col min="9502" max="9502" width="10.5" style="1661" customWidth="1"/>
    <col min="9503" max="9733" width="8" style="1661"/>
    <col min="9734" max="9734" width="1.5" style="1661" customWidth="1"/>
    <col min="9735" max="9736" width="9" style="1661" customWidth="1"/>
    <col min="9737" max="9737" width="1.125" style="1661" customWidth="1"/>
    <col min="9738" max="9738" width="11.125" style="1661" customWidth="1"/>
    <col min="9739" max="9739" width="1.125" style="1661" customWidth="1"/>
    <col min="9740" max="9744" width="9" style="1661" customWidth="1"/>
    <col min="9745" max="9745" width="15.875" style="1661" customWidth="1"/>
    <col min="9746" max="9746" width="15.5" style="1661" customWidth="1"/>
    <col min="9747" max="9747" width="7.625" style="1661" customWidth="1"/>
    <col min="9748" max="9748" width="10.25" style="1661" customWidth="1"/>
    <col min="9749" max="9750" width="9" style="1661" customWidth="1"/>
    <col min="9751" max="9751" width="1.5" style="1661" customWidth="1"/>
    <col min="9752" max="9752" width="9" style="1661" customWidth="1"/>
    <col min="9753" max="9753" width="10.875" style="1661" bestFit="1" customWidth="1"/>
    <col min="9754" max="9754" width="10.5" style="1661" bestFit="1" customWidth="1"/>
    <col min="9755" max="9755" width="10.875" style="1661" customWidth="1"/>
    <col min="9756" max="9756" width="10.5" style="1661" customWidth="1"/>
    <col min="9757" max="9757" width="10.875" style="1661" customWidth="1"/>
    <col min="9758" max="9758" width="10.5" style="1661" customWidth="1"/>
    <col min="9759" max="9989" width="8" style="1661"/>
    <col min="9990" max="9990" width="1.5" style="1661" customWidth="1"/>
    <col min="9991" max="9992" width="9" style="1661" customWidth="1"/>
    <col min="9993" max="9993" width="1.125" style="1661" customWidth="1"/>
    <col min="9994" max="9994" width="11.125" style="1661" customWidth="1"/>
    <col min="9995" max="9995" width="1.125" style="1661" customWidth="1"/>
    <col min="9996" max="10000" width="9" style="1661" customWidth="1"/>
    <col min="10001" max="10001" width="15.875" style="1661" customWidth="1"/>
    <col min="10002" max="10002" width="15.5" style="1661" customWidth="1"/>
    <col min="10003" max="10003" width="7.625" style="1661" customWidth="1"/>
    <col min="10004" max="10004" width="10.25" style="1661" customWidth="1"/>
    <col min="10005" max="10006" width="9" style="1661" customWidth="1"/>
    <col min="10007" max="10007" width="1.5" style="1661" customWidth="1"/>
    <col min="10008" max="10008" width="9" style="1661" customWidth="1"/>
    <col min="10009" max="10009" width="10.875" style="1661" bestFit="1" customWidth="1"/>
    <col min="10010" max="10010" width="10.5" style="1661" bestFit="1" customWidth="1"/>
    <col min="10011" max="10011" width="10.875" style="1661" customWidth="1"/>
    <col min="10012" max="10012" width="10.5" style="1661" customWidth="1"/>
    <col min="10013" max="10013" width="10.875" style="1661" customWidth="1"/>
    <col min="10014" max="10014" width="10.5" style="1661" customWidth="1"/>
    <col min="10015" max="10245" width="8" style="1661"/>
    <col min="10246" max="10246" width="1.5" style="1661" customWidth="1"/>
    <col min="10247" max="10248" width="9" style="1661" customWidth="1"/>
    <col min="10249" max="10249" width="1.125" style="1661" customWidth="1"/>
    <col min="10250" max="10250" width="11.125" style="1661" customWidth="1"/>
    <col min="10251" max="10251" width="1.125" style="1661" customWidth="1"/>
    <col min="10252" max="10256" width="9" style="1661" customWidth="1"/>
    <col min="10257" max="10257" width="15.875" style="1661" customWidth="1"/>
    <col min="10258" max="10258" width="15.5" style="1661" customWidth="1"/>
    <col min="10259" max="10259" width="7.625" style="1661" customWidth="1"/>
    <col min="10260" max="10260" width="10.25" style="1661" customWidth="1"/>
    <col min="10261" max="10262" width="9" style="1661" customWidth="1"/>
    <col min="10263" max="10263" width="1.5" style="1661" customWidth="1"/>
    <col min="10264" max="10264" width="9" style="1661" customWidth="1"/>
    <col min="10265" max="10265" width="10.875" style="1661" bestFit="1" customWidth="1"/>
    <col min="10266" max="10266" width="10.5" style="1661" bestFit="1" customWidth="1"/>
    <col min="10267" max="10267" width="10.875" style="1661" customWidth="1"/>
    <col min="10268" max="10268" width="10.5" style="1661" customWidth="1"/>
    <col min="10269" max="10269" width="10.875" style="1661" customWidth="1"/>
    <col min="10270" max="10270" width="10.5" style="1661" customWidth="1"/>
    <col min="10271" max="10501" width="8" style="1661"/>
    <col min="10502" max="10502" width="1.5" style="1661" customWidth="1"/>
    <col min="10503" max="10504" width="9" style="1661" customWidth="1"/>
    <col min="10505" max="10505" width="1.125" style="1661" customWidth="1"/>
    <col min="10506" max="10506" width="11.125" style="1661" customWidth="1"/>
    <col min="10507" max="10507" width="1.125" style="1661" customWidth="1"/>
    <col min="10508" max="10512" width="9" style="1661" customWidth="1"/>
    <col min="10513" max="10513" width="15.875" style="1661" customWidth="1"/>
    <col min="10514" max="10514" width="15.5" style="1661" customWidth="1"/>
    <col min="10515" max="10515" width="7.625" style="1661" customWidth="1"/>
    <col min="10516" max="10516" width="10.25" style="1661" customWidth="1"/>
    <col min="10517" max="10518" width="9" style="1661" customWidth="1"/>
    <col min="10519" max="10519" width="1.5" style="1661" customWidth="1"/>
    <col min="10520" max="10520" width="9" style="1661" customWidth="1"/>
    <col min="10521" max="10521" width="10.875" style="1661" bestFit="1" customWidth="1"/>
    <col min="10522" max="10522" width="10.5" style="1661" bestFit="1" customWidth="1"/>
    <col min="10523" max="10523" width="10.875" style="1661" customWidth="1"/>
    <col min="10524" max="10524" width="10.5" style="1661" customWidth="1"/>
    <col min="10525" max="10525" width="10.875" style="1661" customWidth="1"/>
    <col min="10526" max="10526" width="10.5" style="1661" customWidth="1"/>
    <col min="10527" max="10757" width="8" style="1661"/>
    <col min="10758" max="10758" width="1.5" style="1661" customWidth="1"/>
    <col min="10759" max="10760" width="9" style="1661" customWidth="1"/>
    <col min="10761" max="10761" width="1.125" style="1661" customWidth="1"/>
    <col min="10762" max="10762" width="11.125" style="1661" customWidth="1"/>
    <col min="10763" max="10763" width="1.125" style="1661" customWidth="1"/>
    <col min="10764" max="10768" width="9" style="1661" customWidth="1"/>
    <col min="10769" max="10769" width="15.875" style="1661" customWidth="1"/>
    <col min="10770" max="10770" width="15.5" style="1661" customWidth="1"/>
    <col min="10771" max="10771" width="7.625" style="1661" customWidth="1"/>
    <col min="10772" max="10772" width="10.25" style="1661" customWidth="1"/>
    <col min="10773" max="10774" width="9" style="1661" customWidth="1"/>
    <col min="10775" max="10775" width="1.5" style="1661" customWidth="1"/>
    <col min="10776" max="10776" width="9" style="1661" customWidth="1"/>
    <col min="10777" max="10777" width="10.875" style="1661" bestFit="1" customWidth="1"/>
    <col min="10778" max="10778" width="10.5" style="1661" bestFit="1" customWidth="1"/>
    <col min="10779" max="10779" width="10.875" style="1661" customWidth="1"/>
    <col min="10780" max="10780" width="10.5" style="1661" customWidth="1"/>
    <col min="10781" max="10781" width="10.875" style="1661" customWidth="1"/>
    <col min="10782" max="10782" width="10.5" style="1661" customWidth="1"/>
    <col min="10783" max="11013" width="8" style="1661"/>
    <col min="11014" max="11014" width="1.5" style="1661" customWidth="1"/>
    <col min="11015" max="11016" width="9" style="1661" customWidth="1"/>
    <col min="11017" max="11017" width="1.125" style="1661" customWidth="1"/>
    <col min="11018" max="11018" width="11.125" style="1661" customWidth="1"/>
    <col min="11019" max="11019" width="1.125" style="1661" customWidth="1"/>
    <col min="11020" max="11024" width="9" style="1661" customWidth="1"/>
    <col min="11025" max="11025" width="15.875" style="1661" customWidth="1"/>
    <col min="11026" max="11026" width="15.5" style="1661" customWidth="1"/>
    <col min="11027" max="11027" width="7.625" style="1661" customWidth="1"/>
    <col min="11028" max="11028" width="10.25" style="1661" customWidth="1"/>
    <col min="11029" max="11030" width="9" style="1661" customWidth="1"/>
    <col min="11031" max="11031" width="1.5" style="1661" customWidth="1"/>
    <col min="11032" max="11032" width="9" style="1661" customWidth="1"/>
    <col min="11033" max="11033" width="10.875" style="1661" bestFit="1" customWidth="1"/>
    <col min="11034" max="11034" width="10.5" style="1661" bestFit="1" customWidth="1"/>
    <col min="11035" max="11035" width="10.875" style="1661" customWidth="1"/>
    <col min="11036" max="11036" width="10.5" style="1661" customWidth="1"/>
    <col min="11037" max="11037" width="10.875" style="1661" customWidth="1"/>
    <col min="11038" max="11038" width="10.5" style="1661" customWidth="1"/>
    <col min="11039" max="11269" width="8" style="1661"/>
    <col min="11270" max="11270" width="1.5" style="1661" customWidth="1"/>
    <col min="11271" max="11272" width="9" style="1661" customWidth="1"/>
    <col min="11273" max="11273" width="1.125" style="1661" customWidth="1"/>
    <col min="11274" max="11274" width="11.125" style="1661" customWidth="1"/>
    <col min="11275" max="11275" width="1.125" style="1661" customWidth="1"/>
    <col min="11276" max="11280" width="9" style="1661" customWidth="1"/>
    <col min="11281" max="11281" width="15.875" style="1661" customWidth="1"/>
    <col min="11282" max="11282" width="15.5" style="1661" customWidth="1"/>
    <col min="11283" max="11283" width="7.625" style="1661" customWidth="1"/>
    <col min="11284" max="11284" width="10.25" style="1661" customWidth="1"/>
    <col min="11285" max="11286" width="9" style="1661" customWidth="1"/>
    <col min="11287" max="11287" width="1.5" style="1661" customWidth="1"/>
    <col min="11288" max="11288" width="9" style="1661" customWidth="1"/>
    <col min="11289" max="11289" width="10.875" style="1661" bestFit="1" customWidth="1"/>
    <col min="11290" max="11290" width="10.5" style="1661" bestFit="1" customWidth="1"/>
    <col min="11291" max="11291" width="10.875" style="1661" customWidth="1"/>
    <col min="11292" max="11292" width="10.5" style="1661" customWidth="1"/>
    <col min="11293" max="11293" width="10.875" style="1661" customWidth="1"/>
    <col min="11294" max="11294" width="10.5" style="1661" customWidth="1"/>
    <col min="11295" max="11525" width="8" style="1661"/>
    <col min="11526" max="11526" width="1.5" style="1661" customWidth="1"/>
    <col min="11527" max="11528" width="9" style="1661" customWidth="1"/>
    <col min="11529" max="11529" width="1.125" style="1661" customWidth="1"/>
    <col min="11530" max="11530" width="11.125" style="1661" customWidth="1"/>
    <col min="11531" max="11531" width="1.125" style="1661" customWidth="1"/>
    <col min="11532" max="11536" width="9" style="1661" customWidth="1"/>
    <col min="11537" max="11537" width="15.875" style="1661" customWidth="1"/>
    <col min="11538" max="11538" width="15.5" style="1661" customWidth="1"/>
    <col min="11539" max="11539" width="7.625" style="1661" customWidth="1"/>
    <col min="11540" max="11540" width="10.25" style="1661" customWidth="1"/>
    <col min="11541" max="11542" width="9" style="1661" customWidth="1"/>
    <col min="11543" max="11543" width="1.5" style="1661" customWidth="1"/>
    <col min="11544" max="11544" width="9" style="1661" customWidth="1"/>
    <col min="11545" max="11545" width="10.875" style="1661" bestFit="1" customWidth="1"/>
    <col min="11546" max="11546" width="10.5" style="1661" bestFit="1" customWidth="1"/>
    <col min="11547" max="11547" width="10.875" style="1661" customWidth="1"/>
    <col min="11548" max="11548" width="10.5" style="1661" customWidth="1"/>
    <col min="11549" max="11549" width="10.875" style="1661" customWidth="1"/>
    <col min="11550" max="11550" width="10.5" style="1661" customWidth="1"/>
    <col min="11551" max="11781" width="8" style="1661"/>
    <col min="11782" max="11782" width="1.5" style="1661" customWidth="1"/>
    <col min="11783" max="11784" width="9" style="1661" customWidth="1"/>
    <col min="11785" max="11785" width="1.125" style="1661" customWidth="1"/>
    <col min="11786" max="11786" width="11.125" style="1661" customWidth="1"/>
    <col min="11787" max="11787" width="1.125" style="1661" customWidth="1"/>
    <col min="11788" max="11792" width="9" style="1661" customWidth="1"/>
    <col min="11793" max="11793" width="15.875" style="1661" customWidth="1"/>
    <col min="11794" max="11794" width="15.5" style="1661" customWidth="1"/>
    <col min="11795" max="11795" width="7.625" style="1661" customWidth="1"/>
    <col min="11796" max="11796" width="10.25" style="1661" customWidth="1"/>
    <col min="11797" max="11798" width="9" style="1661" customWidth="1"/>
    <col min="11799" max="11799" width="1.5" style="1661" customWidth="1"/>
    <col min="11800" max="11800" width="9" style="1661" customWidth="1"/>
    <col min="11801" max="11801" width="10.875" style="1661" bestFit="1" customWidth="1"/>
    <col min="11802" max="11802" width="10.5" style="1661" bestFit="1" customWidth="1"/>
    <col min="11803" max="11803" width="10.875" style="1661" customWidth="1"/>
    <col min="11804" max="11804" width="10.5" style="1661" customWidth="1"/>
    <col min="11805" max="11805" width="10.875" style="1661" customWidth="1"/>
    <col min="11806" max="11806" width="10.5" style="1661" customWidth="1"/>
    <col min="11807" max="12037" width="8" style="1661"/>
    <col min="12038" max="12038" width="1.5" style="1661" customWidth="1"/>
    <col min="12039" max="12040" width="9" style="1661" customWidth="1"/>
    <col min="12041" max="12041" width="1.125" style="1661" customWidth="1"/>
    <col min="12042" max="12042" width="11.125" style="1661" customWidth="1"/>
    <col min="12043" max="12043" width="1.125" style="1661" customWidth="1"/>
    <col min="12044" max="12048" width="9" style="1661" customWidth="1"/>
    <col min="12049" max="12049" width="15.875" style="1661" customWidth="1"/>
    <col min="12050" max="12050" width="15.5" style="1661" customWidth="1"/>
    <col min="12051" max="12051" width="7.625" style="1661" customWidth="1"/>
    <col min="12052" max="12052" width="10.25" style="1661" customWidth="1"/>
    <col min="12053" max="12054" width="9" style="1661" customWidth="1"/>
    <col min="12055" max="12055" width="1.5" style="1661" customWidth="1"/>
    <col min="12056" max="12056" width="9" style="1661" customWidth="1"/>
    <col min="12057" max="12057" width="10.875" style="1661" bestFit="1" customWidth="1"/>
    <col min="12058" max="12058" width="10.5" style="1661" bestFit="1" customWidth="1"/>
    <col min="12059" max="12059" width="10.875" style="1661" customWidth="1"/>
    <col min="12060" max="12060" width="10.5" style="1661" customWidth="1"/>
    <col min="12061" max="12061" width="10.875" style="1661" customWidth="1"/>
    <col min="12062" max="12062" width="10.5" style="1661" customWidth="1"/>
    <col min="12063" max="12293" width="8" style="1661"/>
    <col min="12294" max="12294" width="1.5" style="1661" customWidth="1"/>
    <col min="12295" max="12296" width="9" style="1661" customWidth="1"/>
    <col min="12297" max="12297" width="1.125" style="1661" customWidth="1"/>
    <col min="12298" max="12298" width="11.125" style="1661" customWidth="1"/>
    <col min="12299" max="12299" width="1.125" style="1661" customWidth="1"/>
    <col min="12300" max="12304" width="9" style="1661" customWidth="1"/>
    <col min="12305" max="12305" width="15.875" style="1661" customWidth="1"/>
    <col min="12306" max="12306" width="15.5" style="1661" customWidth="1"/>
    <col min="12307" max="12307" width="7.625" style="1661" customWidth="1"/>
    <col min="12308" max="12308" width="10.25" style="1661" customWidth="1"/>
    <col min="12309" max="12310" width="9" style="1661" customWidth="1"/>
    <col min="12311" max="12311" width="1.5" style="1661" customWidth="1"/>
    <col min="12312" max="12312" width="9" style="1661" customWidth="1"/>
    <col min="12313" max="12313" width="10.875" style="1661" bestFit="1" customWidth="1"/>
    <col min="12314" max="12314" width="10.5" style="1661" bestFit="1" customWidth="1"/>
    <col min="12315" max="12315" width="10.875" style="1661" customWidth="1"/>
    <col min="12316" max="12316" width="10.5" style="1661" customWidth="1"/>
    <col min="12317" max="12317" width="10.875" style="1661" customWidth="1"/>
    <col min="12318" max="12318" width="10.5" style="1661" customWidth="1"/>
    <col min="12319" max="12549" width="8" style="1661"/>
    <col min="12550" max="12550" width="1.5" style="1661" customWidth="1"/>
    <col min="12551" max="12552" width="9" style="1661" customWidth="1"/>
    <col min="12553" max="12553" width="1.125" style="1661" customWidth="1"/>
    <col min="12554" max="12554" width="11.125" style="1661" customWidth="1"/>
    <col min="12555" max="12555" width="1.125" style="1661" customWidth="1"/>
    <col min="12556" max="12560" width="9" style="1661" customWidth="1"/>
    <col min="12561" max="12561" width="15.875" style="1661" customWidth="1"/>
    <col min="12562" max="12562" width="15.5" style="1661" customWidth="1"/>
    <col min="12563" max="12563" width="7.625" style="1661" customWidth="1"/>
    <col min="12564" max="12564" width="10.25" style="1661" customWidth="1"/>
    <col min="12565" max="12566" width="9" style="1661" customWidth="1"/>
    <col min="12567" max="12567" width="1.5" style="1661" customWidth="1"/>
    <col min="12568" max="12568" width="9" style="1661" customWidth="1"/>
    <col min="12569" max="12569" width="10.875" style="1661" bestFit="1" customWidth="1"/>
    <col min="12570" max="12570" width="10.5" style="1661" bestFit="1" customWidth="1"/>
    <col min="12571" max="12571" width="10.875" style="1661" customWidth="1"/>
    <col min="12572" max="12572" width="10.5" style="1661" customWidth="1"/>
    <col min="12573" max="12573" width="10.875" style="1661" customWidth="1"/>
    <col min="12574" max="12574" width="10.5" style="1661" customWidth="1"/>
    <col min="12575" max="12805" width="8" style="1661"/>
    <col min="12806" max="12806" width="1.5" style="1661" customWidth="1"/>
    <col min="12807" max="12808" width="9" style="1661" customWidth="1"/>
    <col min="12809" max="12809" width="1.125" style="1661" customWidth="1"/>
    <col min="12810" max="12810" width="11.125" style="1661" customWidth="1"/>
    <col min="12811" max="12811" width="1.125" style="1661" customWidth="1"/>
    <col min="12812" max="12816" width="9" style="1661" customWidth="1"/>
    <col min="12817" max="12817" width="15.875" style="1661" customWidth="1"/>
    <col min="12818" max="12818" width="15.5" style="1661" customWidth="1"/>
    <col min="12819" max="12819" width="7.625" style="1661" customWidth="1"/>
    <col min="12820" max="12820" width="10.25" style="1661" customWidth="1"/>
    <col min="12821" max="12822" width="9" style="1661" customWidth="1"/>
    <col min="12823" max="12823" width="1.5" style="1661" customWidth="1"/>
    <col min="12824" max="12824" width="9" style="1661" customWidth="1"/>
    <col min="12825" max="12825" width="10.875" style="1661" bestFit="1" customWidth="1"/>
    <col min="12826" max="12826" width="10.5" style="1661" bestFit="1" customWidth="1"/>
    <col min="12827" max="12827" width="10.875" style="1661" customWidth="1"/>
    <col min="12828" max="12828" width="10.5" style="1661" customWidth="1"/>
    <col min="12829" max="12829" width="10.875" style="1661" customWidth="1"/>
    <col min="12830" max="12830" width="10.5" style="1661" customWidth="1"/>
    <col min="12831" max="13061" width="8" style="1661"/>
    <col min="13062" max="13062" width="1.5" style="1661" customWidth="1"/>
    <col min="13063" max="13064" width="9" style="1661" customWidth="1"/>
    <col min="13065" max="13065" width="1.125" style="1661" customWidth="1"/>
    <col min="13066" max="13066" width="11.125" style="1661" customWidth="1"/>
    <col min="13067" max="13067" width="1.125" style="1661" customWidth="1"/>
    <col min="13068" max="13072" width="9" style="1661" customWidth="1"/>
    <col min="13073" max="13073" width="15.875" style="1661" customWidth="1"/>
    <col min="13074" max="13074" width="15.5" style="1661" customWidth="1"/>
    <col min="13075" max="13075" width="7.625" style="1661" customWidth="1"/>
    <col min="13076" max="13076" width="10.25" style="1661" customWidth="1"/>
    <col min="13077" max="13078" width="9" style="1661" customWidth="1"/>
    <col min="13079" max="13079" width="1.5" style="1661" customWidth="1"/>
    <col min="13080" max="13080" width="9" style="1661" customWidth="1"/>
    <col min="13081" max="13081" width="10.875" style="1661" bestFit="1" customWidth="1"/>
    <col min="13082" max="13082" width="10.5" style="1661" bestFit="1" customWidth="1"/>
    <col min="13083" max="13083" width="10.875" style="1661" customWidth="1"/>
    <col min="13084" max="13084" width="10.5" style="1661" customWidth="1"/>
    <col min="13085" max="13085" width="10.875" style="1661" customWidth="1"/>
    <col min="13086" max="13086" width="10.5" style="1661" customWidth="1"/>
    <col min="13087" max="13317" width="8" style="1661"/>
    <col min="13318" max="13318" width="1.5" style="1661" customWidth="1"/>
    <col min="13319" max="13320" width="9" style="1661" customWidth="1"/>
    <col min="13321" max="13321" width="1.125" style="1661" customWidth="1"/>
    <col min="13322" max="13322" width="11.125" style="1661" customWidth="1"/>
    <col min="13323" max="13323" width="1.125" style="1661" customWidth="1"/>
    <col min="13324" max="13328" width="9" style="1661" customWidth="1"/>
    <col min="13329" max="13329" width="15.875" style="1661" customWidth="1"/>
    <col min="13330" max="13330" width="15.5" style="1661" customWidth="1"/>
    <col min="13331" max="13331" width="7.625" style="1661" customWidth="1"/>
    <col min="13332" max="13332" width="10.25" style="1661" customWidth="1"/>
    <col min="13333" max="13334" width="9" style="1661" customWidth="1"/>
    <col min="13335" max="13335" width="1.5" style="1661" customWidth="1"/>
    <col min="13336" max="13336" width="9" style="1661" customWidth="1"/>
    <col min="13337" max="13337" width="10.875" style="1661" bestFit="1" customWidth="1"/>
    <col min="13338" max="13338" width="10.5" style="1661" bestFit="1" customWidth="1"/>
    <col min="13339" max="13339" width="10.875" style="1661" customWidth="1"/>
    <col min="13340" max="13340" width="10.5" style="1661" customWidth="1"/>
    <col min="13341" max="13341" width="10.875" style="1661" customWidth="1"/>
    <col min="13342" max="13342" width="10.5" style="1661" customWidth="1"/>
    <col min="13343" max="13573" width="8" style="1661"/>
    <col min="13574" max="13574" width="1.5" style="1661" customWidth="1"/>
    <col min="13575" max="13576" width="9" style="1661" customWidth="1"/>
    <col min="13577" max="13577" width="1.125" style="1661" customWidth="1"/>
    <col min="13578" max="13578" width="11.125" style="1661" customWidth="1"/>
    <col min="13579" max="13579" width="1.125" style="1661" customWidth="1"/>
    <col min="13580" max="13584" width="9" style="1661" customWidth="1"/>
    <col min="13585" max="13585" width="15.875" style="1661" customWidth="1"/>
    <col min="13586" max="13586" width="15.5" style="1661" customWidth="1"/>
    <col min="13587" max="13587" width="7.625" style="1661" customWidth="1"/>
    <col min="13588" max="13588" width="10.25" style="1661" customWidth="1"/>
    <col min="13589" max="13590" width="9" style="1661" customWidth="1"/>
    <col min="13591" max="13591" width="1.5" style="1661" customWidth="1"/>
    <col min="13592" max="13592" width="9" style="1661" customWidth="1"/>
    <col min="13593" max="13593" width="10.875" style="1661" bestFit="1" customWidth="1"/>
    <col min="13594" max="13594" width="10.5" style="1661" bestFit="1" customWidth="1"/>
    <col min="13595" max="13595" width="10.875" style="1661" customWidth="1"/>
    <col min="13596" max="13596" width="10.5" style="1661" customWidth="1"/>
    <col min="13597" max="13597" width="10.875" style="1661" customWidth="1"/>
    <col min="13598" max="13598" width="10.5" style="1661" customWidth="1"/>
    <col min="13599" max="13829" width="8" style="1661"/>
    <col min="13830" max="13830" width="1.5" style="1661" customWidth="1"/>
    <col min="13831" max="13832" width="9" style="1661" customWidth="1"/>
    <col min="13833" max="13833" width="1.125" style="1661" customWidth="1"/>
    <col min="13834" max="13834" width="11.125" style="1661" customWidth="1"/>
    <col min="13835" max="13835" width="1.125" style="1661" customWidth="1"/>
    <col min="13836" max="13840" width="9" style="1661" customWidth="1"/>
    <col min="13841" max="13841" width="15.875" style="1661" customWidth="1"/>
    <col min="13842" max="13842" width="15.5" style="1661" customWidth="1"/>
    <col min="13843" max="13843" width="7.625" style="1661" customWidth="1"/>
    <col min="13844" max="13844" width="10.25" style="1661" customWidth="1"/>
    <col min="13845" max="13846" width="9" style="1661" customWidth="1"/>
    <col min="13847" max="13847" width="1.5" style="1661" customWidth="1"/>
    <col min="13848" max="13848" width="9" style="1661" customWidth="1"/>
    <col min="13849" max="13849" width="10.875" style="1661" bestFit="1" customWidth="1"/>
    <col min="13850" max="13850" width="10.5" style="1661" bestFit="1" customWidth="1"/>
    <col min="13851" max="13851" width="10.875" style="1661" customWidth="1"/>
    <col min="13852" max="13852" width="10.5" style="1661" customWidth="1"/>
    <col min="13853" max="13853" width="10.875" style="1661" customWidth="1"/>
    <col min="13854" max="13854" width="10.5" style="1661" customWidth="1"/>
    <col min="13855" max="14085" width="8" style="1661"/>
    <col min="14086" max="14086" width="1.5" style="1661" customWidth="1"/>
    <col min="14087" max="14088" width="9" style="1661" customWidth="1"/>
    <col min="14089" max="14089" width="1.125" style="1661" customWidth="1"/>
    <col min="14090" max="14090" width="11.125" style="1661" customWidth="1"/>
    <col min="14091" max="14091" width="1.125" style="1661" customWidth="1"/>
    <col min="14092" max="14096" width="9" style="1661" customWidth="1"/>
    <col min="14097" max="14097" width="15.875" style="1661" customWidth="1"/>
    <col min="14098" max="14098" width="15.5" style="1661" customWidth="1"/>
    <col min="14099" max="14099" width="7.625" style="1661" customWidth="1"/>
    <col min="14100" max="14100" width="10.25" style="1661" customWidth="1"/>
    <col min="14101" max="14102" width="9" style="1661" customWidth="1"/>
    <col min="14103" max="14103" width="1.5" style="1661" customWidth="1"/>
    <col min="14104" max="14104" width="9" style="1661" customWidth="1"/>
    <col min="14105" max="14105" width="10.875" style="1661" bestFit="1" customWidth="1"/>
    <col min="14106" max="14106" width="10.5" style="1661" bestFit="1" customWidth="1"/>
    <col min="14107" max="14107" width="10.875" style="1661" customWidth="1"/>
    <col min="14108" max="14108" width="10.5" style="1661" customWidth="1"/>
    <col min="14109" max="14109" width="10.875" style="1661" customWidth="1"/>
    <col min="14110" max="14110" width="10.5" style="1661" customWidth="1"/>
    <col min="14111" max="14341" width="8" style="1661"/>
    <col min="14342" max="14342" width="1.5" style="1661" customWidth="1"/>
    <col min="14343" max="14344" width="9" style="1661" customWidth="1"/>
    <col min="14345" max="14345" width="1.125" style="1661" customWidth="1"/>
    <col min="14346" max="14346" width="11.125" style="1661" customWidth="1"/>
    <col min="14347" max="14347" width="1.125" style="1661" customWidth="1"/>
    <col min="14348" max="14352" width="9" style="1661" customWidth="1"/>
    <col min="14353" max="14353" width="15.875" style="1661" customWidth="1"/>
    <col min="14354" max="14354" width="15.5" style="1661" customWidth="1"/>
    <col min="14355" max="14355" width="7.625" style="1661" customWidth="1"/>
    <col min="14356" max="14356" width="10.25" style="1661" customWidth="1"/>
    <col min="14357" max="14358" width="9" style="1661" customWidth="1"/>
    <col min="14359" max="14359" width="1.5" style="1661" customWidth="1"/>
    <col min="14360" max="14360" width="9" style="1661" customWidth="1"/>
    <col min="14361" max="14361" width="10.875" style="1661" bestFit="1" customWidth="1"/>
    <col min="14362" max="14362" width="10.5" style="1661" bestFit="1" customWidth="1"/>
    <col min="14363" max="14363" width="10.875" style="1661" customWidth="1"/>
    <col min="14364" max="14364" width="10.5" style="1661" customWidth="1"/>
    <col min="14365" max="14365" width="10.875" style="1661" customWidth="1"/>
    <col min="14366" max="14366" width="10.5" style="1661" customWidth="1"/>
    <col min="14367" max="14597" width="8" style="1661"/>
    <col min="14598" max="14598" width="1.5" style="1661" customWidth="1"/>
    <col min="14599" max="14600" width="9" style="1661" customWidth="1"/>
    <col min="14601" max="14601" width="1.125" style="1661" customWidth="1"/>
    <col min="14602" max="14602" width="11.125" style="1661" customWidth="1"/>
    <col min="14603" max="14603" width="1.125" style="1661" customWidth="1"/>
    <col min="14604" max="14608" width="9" style="1661" customWidth="1"/>
    <col min="14609" max="14609" width="15.875" style="1661" customWidth="1"/>
    <col min="14610" max="14610" width="15.5" style="1661" customWidth="1"/>
    <col min="14611" max="14611" width="7.625" style="1661" customWidth="1"/>
    <col min="14612" max="14612" width="10.25" style="1661" customWidth="1"/>
    <col min="14613" max="14614" width="9" style="1661" customWidth="1"/>
    <col min="14615" max="14615" width="1.5" style="1661" customWidth="1"/>
    <col min="14616" max="14616" width="9" style="1661" customWidth="1"/>
    <col min="14617" max="14617" width="10.875" style="1661" bestFit="1" customWidth="1"/>
    <col min="14618" max="14618" width="10.5" style="1661" bestFit="1" customWidth="1"/>
    <col min="14619" max="14619" width="10.875" style="1661" customWidth="1"/>
    <col min="14620" max="14620" width="10.5" style="1661" customWidth="1"/>
    <col min="14621" max="14621" width="10.875" style="1661" customWidth="1"/>
    <col min="14622" max="14622" width="10.5" style="1661" customWidth="1"/>
    <col min="14623" max="14853" width="8" style="1661"/>
    <col min="14854" max="14854" width="1.5" style="1661" customWidth="1"/>
    <col min="14855" max="14856" width="9" style="1661" customWidth="1"/>
    <col min="14857" max="14857" width="1.125" style="1661" customWidth="1"/>
    <col min="14858" max="14858" width="11.125" style="1661" customWidth="1"/>
    <col min="14859" max="14859" width="1.125" style="1661" customWidth="1"/>
    <col min="14860" max="14864" width="9" style="1661" customWidth="1"/>
    <col min="14865" max="14865" width="15.875" style="1661" customWidth="1"/>
    <col min="14866" max="14866" width="15.5" style="1661" customWidth="1"/>
    <col min="14867" max="14867" width="7.625" style="1661" customWidth="1"/>
    <col min="14868" max="14868" width="10.25" style="1661" customWidth="1"/>
    <col min="14869" max="14870" width="9" style="1661" customWidth="1"/>
    <col min="14871" max="14871" width="1.5" style="1661" customWidth="1"/>
    <col min="14872" max="14872" width="9" style="1661" customWidth="1"/>
    <col min="14873" max="14873" width="10.875" style="1661" bestFit="1" customWidth="1"/>
    <col min="14874" max="14874" width="10.5" style="1661" bestFit="1" customWidth="1"/>
    <col min="14875" max="14875" width="10.875" style="1661" customWidth="1"/>
    <col min="14876" max="14876" width="10.5" style="1661" customWidth="1"/>
    <col min="14877" max="14877" width="10.875" style="1661" customWidth="1"/>
    <col min="14878" max="14878" width="10.5" style="1661" customWidth="1"/>
    <col min="14879" max="15109" width="8" style="1661"/>
    <col min="15110" max="15110" width="1.5" style="1661" customWidth="1"/>
    <col min="15111" max="15112" width="9" style="1661" customWidth="1"/>
    <col min="15113" max="15113" width="1.125" style="1661" customWidth="1"/>
    <col min="15114" max="15114" width="11.125" style="1661" customWidth="1"/>
    <col min="15115" max="15115" width="1.125" style="1661" customWidth="1"/>
    <col min="15116" max="15120" width="9" style="1661" customWidth="1"/>
    <col min="15121" max="15121" width="15.875" style="1661" customWidth="1"/>
    <col min="15122" max="15122" width="15.5" style="1661" customWidth="1"/>
    <col min="15123" max="15123" width="7.625" style="1661" customWidth="1"/>
    <col min="15124" max="15124" width="10.25" style="1661" customWidth="1"/>
    <col min="15125" max="15126" width="9" style="1661" customWidth="1"/>
    <col min="15127" max="15127" width="1.5" style="1661" customWidth="1"/>
    <col min="15128" max="15128" width="9" style="1661" customWidth="1"/>
    <col min="15129" max="15129" width="10.875" style="1661" bestFit="1" customWidth="1"/>
    <col min="15130" max="15130" width="10.5" style="1661" bestFit="1" customWidth="1"/>
    <col min="15131" max="15131" width="10.875" style="1661" customWidth="1"/>
    <col min="15132" max="15132" width="10.5" style="1661" customWidth="1"/>
    <col min="15133" max="15133" width="10.875" style="1661" customWidth="1"/>
    <col min="15134" max="15134" width="10.5" style="1661" customWidth="1"/>
    <col min="15135" max="15365" width="8" style="1661"/>
    <col min="15366" max="15366" width="1.5" style="1661" customWidth="1"/>
    <col min="15367" max="15368" width="9" style="1661" customWidth="1"/>
    <col min="15369" max="15369" width="1.125" style="1661" customWidth="1"/>
    <col min="15370" max="15370" width="11.125" style="1661" customWidth="1"/>
    <col min="15371" max="15371" width="1.125" style="1661" customWidth="1"/>
    <col min="15372" max="15376" width="9" style="1661" customWidth="1"/>
    <col min="15377" max="15377" width="15.875" style="1661" customWidth="1"/>
    <col min="15378" max="15378" width="15.5" style="1661" customWidth="1"/>
    <col min="15379" max="15379" width="7.625" style="1661" customWidth="1"/>
    <col min="15380" max="15380" width="10.25" style="1661" customWidth="1"/>
    <col min="15381" max="15382" width="9" style="1661" customWidth="1"/>
    <col min="15383" max="15383" width="1.5" style="1661" customWidth="1"/>
    <col min="15384" max="15384" width="9" style="1661" customWidth="1"/>
    <col min="15385" max="15385" width="10.875" style="1661" bestFit="1" customWidth="1"/>
    <col min="15386" max="15386" width="10.5" style="1661" bestFit="1" customWidth="1"/>
    <col min="15387" max="15387" width="10.875" style="1661" customWidth="1"/>
    <col min="15388" max="15388" width="10.5" style="1661" customWidth="1"/>
    <col min="15389" max="15389" width="10.875" style="1661" customWidth="1"/>
    <col min="15390" max="15390" width="10.5" style="1661" customWidth="1"/>
    <col min="15391" max="15621" width="8" style="1661"/>
    <col min="15622" max="15622" width="1.5" style="1661" customWidth="1"/>
    <col min="15623" max="15624" width="9" style="1661" customWidth="1"/>
    <col min="15625" max="15625" width="1.125" style="1661" customWidth="1"/>
    <col min="15626" max="15626" width="11.125" style="1661" customWidth="1"/>
    <col min="15627" max="15627" width="1.125" style="1661" customWidth="1"/>
    <col min="15628" max="15632" width="9" style="1661" customWidth="1"/>
    <col min="15633" max="15633" width="15.875" style="1661" customWidth="1"/>
    <col min="15634" max="15634" width="15.5" style="1661" customWidth="1"/>
    <col min="15635" max="15635" width="7.625" style="1661" customWidth="1"/>
    <col min="15636" max="15636" width="10.25" style="1661" customWidth="1"/>
    <col min="15637" max="15638" width="9" style="1661" customWidth="1"/>
    <col min="15639" max="15639" width="1.5" style="1661" customWidth="1"/>
    <col min="15640" max="15640" width="9" style="1661" customWidth="1"/>
    <col min="15641" max="15641" width="10.875" style="1661" bestFit="1" customWidth="1"/>
    <col min="15642" max="15642" width="10.5" style="1661" bestFit="1" customWidth="1"/>
    <col min="15643" max="15643" width="10.875" style="1661" customWidth="1"/>
    <col min="15644" max="15644" width="10.5" style="1661" customWidth="1"/>
    <col min="15645" max="15645" width="10.875" style="1661" customWidth="1"/>
    <col min="15646" max="15646" width="10.5" style="1661" customWidth="1"/>
    <col min="15647" max="15877" width="8" style="1661"/>
    <col min="15878" max="15878" width="1.5" style="1661" customWidth="1"/>
    <col min="15879" max="15880" width="9" style="1661" customWidth="1"/>
    <col min="15881" max="15881" width="1.125" style="1661" customWidth="1"/>
    <col min="15882" max="15882" width="11.125" style="1661" customWidth="1"/>
    <col min="15883" max="15883" width="1.125" style="1661" customWidth="1"/>
    <col min="15884" max="15888" width="9" style="1661" customWidth="1"/>
    <col min="15889" max="15889" width="15.875" style="1661" customWidth="1"/>
    <col min="15890" max="15890" width="15.5" style="1661" customWidth="1"/>
    <col min="15891" max="15891" width="7.625" style="1661" customWidth="1"/>
    <col min="15892" max="15892" width="10.25" style="1661" customWidth="1"/>
    <col min="15893" max="15894" width="9" style="1661" customWidth="1"/>
    <col min="15895" max="15895" width="1.5" style="1661" customWidth="1"/>
    <col min="15896" max="15896" width="9" style="1661" customWidth="1"/>
    <col min="15897" max="15897" width="10.875" style="1661" bestFit="1" customWidth="1"/>
    <col min="15898" max="15898" width="10.5" style="1661" bestFit="1" customWidth="1"/>
    <col min="15899" max="15899" width="10.875" style="1661" customWidth="1"/>
    <col min="15900" max="15900" width="10.5" style="1661" customWidth="1"/>
    <col min="15901" max="15901" width="10.875" style="1661" customWidth="1"/>
    <col min="15902" max="15902" width="10.5" style="1661" customWidth="1"/>
    <col min="15903" max="16133" width="8" style="1661"/>
    <col min="16134" max="16134" width="1.5" style="1661" customWidth="1"/>
    <col min="16135" max="16136" width="9" style="1661" customWidth="1"/>
    <col min="16137" max="16137" width="1.125" style="1661" customWidth="1"/>
    <col min="16138" max="16138" width="11.125" style="1661" customWidth="1"/>
    <col min="16139" max="16139" width="1.125" style="1661" customWidth="1"/>
    <col min="16140" max="16144" width="9" style="1661" customWidth="1"/>
    <col min="16145" max="16145" width="15.875" style="1661" customWidth="1"/>
    <col min="16146" max="16146" width="15.5" style="1661" customWidth="1"/>
    <col min="16147" max="16147" width="7.625" style="1661" customWidth="1"/>
    <col min="16148" max="16148" width="10.25" style="1661" customWidth="1"/>
    <col min="16149" max="16150" width="9" style="1661" customWidth="1"/>
    <col min="16151" max="16151" width="1.5" style="1661" customWidth="1"/>
    <col min="16152" max="16152" width="9" style="1661" customWidth="1"/>
    <col min="16153" max="16153" width="10.875" style="1661" bestFit="1" customWidth="1"/>
    <col min="16154" max="16154" width="10.5" style="1661" bestFit="1" customWidth="1"/>
    <col min="16155" max="16155" width="10.875" style="1661" customWidth="1"/>
    <col min="16156" max="16156" width="10.5" style="1661" customWidth="1"/>
    <col min="16157" max="16157" width="10.875" style="1661" customWidth="1"/>
    <col min="16158" max="16158" width="10.5" style="1661" customWidth="1"/>
    <col min="16159" max="16384" width="8" style="1661"/>
  </cols>
  <sheetData>
    <row r="1" spans="3:48" s="920" customFormat="1" ht="10.5" customHeight="1">
      <c r="C1" s="916"/>
      <c r="D1" s="917"/>
      <c r="E1" s="917"/>
      <c r="F1" s="917"/>
      <c r="G1" s="917"/>
      <c r="H1" s="917"/>
      <c r="I1" s="917"/>
      <c r="J1" s="917"/>
      <c r="K1" s="918"/>
      <c r="L1" s="918"/>
      <c r="M1" s="918"/>
      <c r="N1" s="918"/>
      <c r="O1" s="917"/>
      <c r="P1" s="917"/>
      <c r="Q1" s="917"/>
      <c r="R1" s="917"/>
      <c r="S1" s="917"/>
      <c r="T1" s="917"/>
      <c r="U1" s="917"/>
      <c r="V1" s="919"/>
    </row>
    <row r="2" spans="3:48" s="920" customFormat="1" ht="20.25">
      <c r="C2" s="1456"/>
      <c r="D2" s="1454"/>
      <c r="E2" s="1756"/>
      <c r="F2" s="4483" t="s">
        <v>821</v>
      </c>
      <c r="G2" s="4483"/>
      <c r="H2" s="4483"/>
      <c r="I2" s="4483"/>
      <c r="J2" s="4483"/>
      <c r="K2" s="4483"/>
      <c r="L2" s="4483"/>
      <c r="M2" s="4483"/>
      <c r="N2" s="4483"/>
      <c r="O2" s="4483"/>
      <c r="P2" s="4483"/>
      <c r="Q2" s="4483"/>
      <c r="R2" s="4483"/>
      <c r="S2" s="4483"/>
      <c r="T2" s="917"/>
      <c r="U2" s="1776"/>
      <c r="V2" s="926"/>
    </row>
    <row r="3" spans="3:48" s="920" customFormat="1" ht="15.75">
      <c r="C3" s="1456"/>
      <c r="D3" s="1456"/>
      <c r="E3" s="1757"/>
      <c r="F3" s="4486" t="s">
        <v>819</v>
      </c>
      <c r="G3" s="4486"/>
      <c r="H3" s="4486"/>
      <c r="I3" s="4486"/>
      <c r="J3" s="4486"/>
      <c r="K3" s="4486"/>
      <c r="L3" s="4486"/>
      <c r="M3" s="4486"/>
      <c r="N3" s="4486"/>
      <c r="O3" s="4486"/>
      <c r="P3" s="4486"/>
      <c r="Q3" s="4486"/>
      <c r="R3" s="4486"/>
      <c r="S3" s="4486"/>
      <c r="U3" s="1777"/>
      <c r="V3" s="926"/>
    </row>
    <row r="4" spans="3:48" s="920" customFormat="1" ht="15.75">
      <c r="C4" s="1456"/>
      <c r="D4" s="1456"/>
      <c r="E4" s="1757"/>
      <c r="F4" s="4486" t="s">
        <v>820</v>
      </c>
      <c r="G4" s="4486"/>
      <c r="H4" s="4486"/>
      <c r="I4" s="4486"/>
      <c r="J4" s="4486"/>
      <c r="K4" s="4486"/>
      <c r="L4" s="4486"/>
      <c r="M4" s="4486"/>
      <c r="N4" s="4486"/>
      <c r="O4" s="4486"/>
      <c r="P4" s="4486"/>
      <c r="Q4" s="4486"/>
      <c r="R4" s="4486"/>
      <c r="S4" s="4486"/>
      <c r="U4" s="1777"/>
      <c r="V4" s="926"/>
    </row>
    <row r="5" spans="3:48" s="920" customFormat="1" ht="15.75">
      <c r="C5" s="1456"/>
      <c r="D5" s="1456"/>
      <c r="E5" s="1757"/>
      <c r="F5" s="4486" t="s">
        <v>830</v>
      </c>
      <c r="G5" s="4486"/>
      <c r="H5" s="4486"/>
      <c r="I5" s="4486"/>
      <c r="J5" s="4486"/>
      <c r="K5" s="4486"/>
      <c r="L5" s="4486"/>
      <c r="M5" s="4486"/>
      <c r="N5" s="4486"/>
      <c r="O5" s="4486"/>
      <c r="P5" s="4486"/>
      <c r="Q5" s="4486"/>
      <c r="R5" s="4486"/>
      <c r="S5" s="4486"/>
      <c r="U5" s="1782"/>
      <c r="V5" s="926"/>
    </row>
    <row r="6" spans="3:48" s="920" customFormat="1" ht="15.75">
      <c r="C6" s="1456"/>
      <c r="D6" s="1458"/>
      <c r="E6" s="1758"/>
      <c r="F6" s="4489" t="s">
        <v>827</v>
      </c>
      <c r="G6" s="4489"/>
      <c r="H6" s="4489"/>
      <c r="I6" s="4489"/>
      <c r="J6" s="4489"/>
      <c r="K6" s="4489"/>
      <c r="L6" s="4489"/>
      <c r="M6" s="4489"/>
      <c r="N6" s="4489"/>
      <c r="O6" s="4489"/>
      <c r="P6" s="4489"/>
      <c r="Q6" s="4489"/>
      <c r="R6" s="4489"/>
      <c r="S6" s="4489"/>
      <c r="T6" s="4489"/>
      <c r="U6" s="4490"/>
      <c r="V6" s="926"/>
    </row>
    <row r="7" spans="3:48" ht="8.25" customHeight="1">
      <c r="C7" s="1753"/>
      <c r="D7" s="1750"/>
      <c r="E7" s="1759"/>
      <c r="F7" s="1759"/>
      <c r="G7" s="1759"/>
      <c r="H7" s="1759"/>
      <c r="I7" s="1759"/>
      <c r="J7" s="1760"/>
      <c r="K7" s="1760"/>
      <c r="L7" s="1760"/>
      <c r="M7" s="1760"/>
      <c r="N7" s="1760"/>
      <c r="O7" s="1761"/>
      <c r="P7" s="1761"/>
      <c r="Q7" s="1742"/>
      <c r="R7" s="1742"/>
      <c r="S7" s="1742"/>
      <c r="T7" s="1742"/>
      <c r="U7" s="1742"/>
      <c r="V7" s="1743"/>
      <c r="W7" s="1742"/>
      <c r="X7" s="1750"/>
    </row>
    <row r="8" spans="3:48" ht="15.75">
      <c r="C8" s="1753"/>
      <c r="D8" s="4576" t="s">
        <v>1043</v>
      </c>
      <c r="E8" s="4577"/>
      <c r="F8" s="4577"/>
      <c r="G8" s="4577"/>
      <c r="H8" s="4577"/>
      <c r="I8" s="4577"/>
      <c r="J8" s="4577"/>
      <c r="K8" s="4577"/>
      <c r="L8" s="4577"/>
      <c r="M8" s="4577"/>
      <c r="N8" s="4577"/>
      <c r="O8" s="4577"/>
      <c r="P8" s="4577"/>
      <c r="Q8" s="4577"/>
      <c r="R8" s="4577"/>
      <c r="S8" s="4577"/>
      <c r="T8" s="4577"/>
      <c r="U8" s="4578"/>
      <c r="V8" s="1755"/>
      <c r="W8" s="1754"/>
      <c r="X8" s="1750"/>
    </row>
    <row r="9" spans="3:48" ht="18.75">
      <c r="C9" s="1753"/>
      <c r="D9" s="4580" t="s">
        <v>1042</v>
      </c>
      <c r="E9" s="4581"/>
      <c r="F9" s="4581"/>
      <c r="G9" s="4581"/>
      <c r="H9" s="4581"/>
      <c r="I9" s="4581"/>
      <c r="J9" s="4581"/>
      <c r="K9" s="4581"/>
      <c r="L9" s="4581"/>
      <c r="M9" s="4581"/>
      <c r="N9" s="4581"/>
      <c r="O9" s="4581"/>
      <c r="P9" s="4581"/>
      <c r="Q9" s="4581"/>
      <c r="R9" s="4581"/>
      <c r="S9" s="4581"/>
      <c r="T9" s="4581"/>
      <c r="U9" s="4582"/>
      <c r="V9" s="1752"/>
      <c r="W9" s="1751"/>
      <c r="X9" s="1750"/>
    </row>
    <row r="10" spans="3:48">
      <c r="C10" s="1749"/>
      <c r="D10" s="1747"/>
      <c r="E10" s="1747"/>
      <c r="F10" s="1747"/>
      <c r="G10" s="1747"/>
      <c r="H10" s="1747"/>
      <c r="I10" s="1747"/>
      <c r="J10" s="1747"/>
      <c r="K10" s="1747"/>
      <c r="L10" s="1747"/>
      <c r="M10" s="1747"/>
      <c r="N10" s="1747"/>
      <c r="O10" s="1747"/>
      <c r="P10" s="1747"/>
      <c r="Q10" s="1747"/>
      <c r="R10" s="1747"/>
      <c r="S10" s="1747"/>
      <c r="T10" s="1747"/>
      <c r="U10" s="1747"/>
      <c r="V10" s="1748"/>
      <c r="W10" s="1747"/>
      <c r="X10" s="1747"/>
      <c r="AF10" s="1746"/>
      <c r="AG10" s="1746"/>
      <c r="AH10" s="1746"/>
      <c r="AI10" s="1746"/>
      <c r="AK10" s="1746"/>
      <c r="AL10" s="1746"/>
      <c r="AM10" s="1746"/>
      <c r="AN10" s="1746"/>
      <c r="AP10" s="1746"/>
      <c r="AQ10" s="1746"/>
      <c r="AR10" s="1746"/>
      <c r="AS10" s="1746"/>
    </row>
    <row r="11" spans="3:48" s="1676" customFormat="1" ht="20.100000000000001" customHeight="1">
      <c r="C11" s="1744"/>
      <c r="D11" s="1742"/>
      <c r="E11" s="1745" t="s">
        <v>845</v>
      </c>
      <c r="I11" s="1742"/>
      <c r="J11" s="1742"/>
      <c r="K11" s="1742"/>
      <c r="L11" s="1742"/>
      <c r="M11" s="1742"/>
      <c r="T11" s="1742"/>
      <c r="U11" s="1742"/>
      <c r="V11" s="1743"/>
      <c r="W11" s="1742"/>
      <c r="X11" s="1742"/>
      <c r="AF11" s="1696">
        <v>0</v>
      </c>
      <c r="AG11" s="1696">
        <f t="shared" ref="AG11:AG33" si="0">AF11*($Z$29/10)</f>
        <v>0</v>
      </c>
      <c r="AH11" s="1696">
        <f t="shared" ref="AH11:AH33" si="1">AG11+$Z$27</f>
        <v>50</v>
      </c>
      <c r="AI11" s="1696">
        <v>0</v>
      </c>
      <c r="AK11" s="1696">
        <v>0</v>
      </c>
      <c r="AL11" s="1696">
        <f t="shared" ref="AL11:AL33" si="2">AK11*($AB$29/10)</f>
        <v>0</v>
      </c>
      <c r="AM11" s="1696">
        <f t="shared" ref="AM11:AM33" si="3">AL11+$AB$27</f>
        <v>100</v>
      </c>
      <c r="AN11" s="1696">
        <v>0</v>
      </c>
      <c r="AP11" s="1696">
        <v>0</v>
      </c>
      <c r="AQ11" s="1696">
        <f t="shared" ref="AQ11:AQ33" si="4">AP11*($AD$29/10)</f>
        <v>0</v>
      </c>
      <c r="AR11" s="1696">
        <f t="shared" ref="AR11:AR33" si="5">AQ11+$AD$27</f>
        <v>200</v>
      </c>
      <c r="AS11" s="1696">
        <v>0</v>
      </c>
      <c r="AU11" s="1878">
        <f>Z31</f>
        <v>146.30644620627706</v>
      </c>
      <c r="AV11" s="1878">
        <f>Z30</f>
        <v>96.306446206277059</v>
      </c>
    </row>
    <row r="12" spans="3:48" s="1676" customFormat="1" ht="20.100000000000001" customHeight="1">
      <c r="C12" s="1744"/>
      <c r="D12" s="1742"/>
      <c r="E12" s="1742" t="s">
        <v>97</v>
      </c>
      <c r="F12" s="1742"/>
      <c r="G12" s="1742" t="s">
        <v>27</v>
      </c>
      <c r="H12" s="4602" t="str">
        <f>Details!B4</f>
        <v xml:space="preserve">PT Itamatra Nusantara </v>
      </c>
      <c r="I12" s="4602"/>
      <c r="J12" s="4602"/>
      <c r="K12" s="4602"/>
      <c r="L12" s="4602"/>
      <c r="M12" s="4602"/>
      <c r="N12" s="1676" t="s">
        <v>394</v>
      </c>
      <c r="O12" s="1762" t="s">
        <v>27</v>
      </c>
      <c r="P12" s="4426" t="s">
        <v>823</v>
      </c>
      <c r="Q12" s="4426"/>
      <c r="R12" s="4426"/>
      <c r="S12" s="1763"/>
      <c r="T12" s="1742"/>
      <c r="U12" s="1742"/>
      <c r="V12" s="1743"/>
      <c r="W12" s="1742"/>
      <c r="X12" s="1742"/>
      <c r="AF12" s="1718">
        <v>0.02</v>
      </c>
      <c r="AG12" s="1696">
        <f t="shared" si="0"/>
        <v>0.38522578482510822</v>
      </c>
      <c r="AH12" s="1696">
        <f t="shared" si="1"/>
        <v>50.38522578482511</v>
      </c>
      <c r="AI12" s="1695">
        <f t="shared" ref="AI12:AI33" si="6">SQRT($Z$30^2-($Z$30-AG12)^2)</f>
        <v>8.6052921938634217</v>
      </c>
      <c r="AK12" s="1718">
        <v>0.02</v>
      </c>
      <c r="AL12" s="1696">
        <f t="shared" si="2"/>
        <v>0.58810996831881857</v>
      </c>
      <c r="AM12" s="1696">
        <f t="shared" si="3"/>
        <v>100.58810996831882</v>
      </c>
      <c r="AN12" s="1695">
        <f t="shared" ref="AN12:AN33" si="7">SQRT($AB$30^2-($AB$30-AL12)^2)</f>
        <v>13.137381553534532</v>
      </c>
      <c r="AP12" s="1718">
        <v>0.02</v>
      </c>
      <c r="AQ12" s="1696">
        <f t="shared" si="4"/>
        <v>1.0036719286371014</v>
      </c>
      <c r="AR12" s="1696">
        <f t="shared" si="5"/>
        <v>201.00367192863709</v>
      </c>
      <c r="AS12" s="1695">
        <f t="shared" ref="AS12:AS32" si="8">SQRT($AD$30^2-($AD$30-AQ12)^2)</f>
        <v>22.420332576184546</v>
      </c>
      <c r="AU12" s="1879">
        <f>Z41</f>
        <v>113.80644620627706</v>
      </c>
      <c r="AV12" s="1879">
        <f>Z40</f>
        <v>96.306446206277059</v>
      </c>
    </row>
    <row r="13" spans="3:48" s="1676" customFormat="1" ht="20.100000000000001" customHeight="1">
      <c r="C13" s="1744"/>
      <c r="D13" s="1742"/>
      <c r="E13" s="1742" t="s">
        <v>842</v>
      </c>
      <c r="F13" s="1742"/>
      <c r="G13" s="1742" t="s">
        <v>27</v>
      </c>
      <c r="H13" s="4602" t="str">
        <f>Details!B8</f>
        <v>hidroplogi</v>
      </c>
      <c r="I13" s="4602"/>
      <c r="J13" s="4602"/>
      <c r="K13" s="4602"/>
      <c r="L13" s="4602"/>
      <c r="M13" s="4602"/>
      <c r="N13" s="1676" t="s">
        <v>822</v>
      </c>
      <c r="O13" s="1762" t="s">
        <v>27</v>
      </c>
      <c r="P13" s="4428" t="s">
        <v>824</v>
      </c>
      <c r="Q13" s="4428"/>
      <c r="R13" s="4428"/>
      <c r="S13" s="1763"/>
      <c r="T13" s="1742"/>
      <c r="U13" s="1742"/>
      <c r="V13" s="1743"/>
      <c r="W13" s="1742"/>
      <c r="X13" s="1742"/>
      <c r="AF13" s="1718">
        <v>0.1</v>
      </c>
      <c r="AG13" s="1696">
        <f t="shared" si="0"/>
        <v>1.9261289241255413</v>
      </c>
      <c r="AH13" s="1696">
        <f t="shared" si="1"/>
        <v>51.926128924125543</v>
      </c>
      <c r="AI13" s="1695">
        <f t="shared" si="6"/>
        <v>19.16474081752602</v>
      </c>
      <c r="AK13" s="1718">
        <v>0.1</v>
      </c>
      <c r="AL13" s="1696">
        <f t="shared" si="2"/>
        <v>2.9405498415940929</v>
      </c>
      <c r="AM13" s="1696">
        <f t="shared" si="3"/>
        <v>102.94054984159409</v>
      </c>
      <c r="AN13" s="1695">
        <f t="shared" si="7"/>
        <v>29.258101505719907</v>
      </c>
      <c r="AP13" s="1718">
        <v>0.1</v>
      </c>
      <c r="AQ13" s="1696">
        <f t="shared" si="4"/>
        <v>5.0183596431855069</v>
      </c>
      <c r="AR13" s="1696">
        <f t="shared" si="5"/>
        <v>205.01835964318551</v>
      </c>
      <c r="AS13" s="1695">
        <f t="shared" si="8"/>
        <v>49.932047998524389</v>
      </c>
    </row>
    <row r="14" spans="3:48" s="1676" customFormat="1" ht="20.100000000000001" customHeight="1">
      <c r="C14" s="2748"/>
      <c r="D14" s="1742"/>
      <c r="E14" s="1742" t="s">
        <v>1311</v>
      </c>
      <c r="F14" s="1742"/>
      <c r="G14" s="1742" t="s">
        <v>27</v>
      </c>
      <c r="H14" s="4602" t="str">
        <f>Details!B7</f>
        <v>23-GQT--19-UDS-1-BH-05-0,00-0,50-100726-001</v>
      </c>
      <c r="I14" s="4602"/>
      <c r="J14" s="4602"/>
      <c r="K14" s="4602"/>
      <c r="L14" s="4602"/>
      <c r="M14" s="4602"/>
      <c r="N14" s="1762" t="s">
        <v>395</v>
      </c>
      <c r="O14" s="1762" t="s">
        <v>27</v>
      </c>
      <c r="P14" s="4430">
        <f>Details!B35</f>
        <v>46223</v>
      </c>
      <c r="Q14" s="4430"/>
      <c r="R14" s="4430"/>
      <c r="S14" s="1763"/>
      <c r="T14" s="1742"/>
      <c r="U14" s="1742"/>
      <c r="V14" s="1743"/>
      <c r="W14" s="1742"/>
      <c r="X14" s="1742"/>
      <c r="AF14" s="1718">
        <v>0.15</v>
      </c>
      <c r="AG14" s="1696">
        <f t="shared" si="0"/>
        <v>2.8891933861883117</v>
      </c>
      <c r="AH14" s="1696">
        <f t="shared" si="1"/>
        <v>52.88919338618831</v>
      </c>
      <c r="AI14" s="1695">
        <f t="shared" si="6"/>
        <v>23.412570478914933</v>
      </c>
      <c r="AK14" s="1718">
        <v>0.15</v>
      </c>
      <c r="AL14" s="1696">
        <f t="shared" si="2"/>
        <v>4.4108247623911394</v>
      </c>
      <c r="AM14" s="1696">
        <f t="shared" si="3"/>
        <v>104.41082476239114</v>
      </c>
      <c r="AN14" s="1695">
        <f t="shared" si="7"/>
        <v>35.743106056278002</v>
      </c>
      <c r="AP14" s="1718">
        <v>0.15</v>
      </c>
      <c r="AQ14" s="1696">
        <f t="shared" si="4"/>
        <v>7.5275394647782594</v>
      </c>
      <c r="AR14" s="1696">
        <f t="shared" si="5"/>
        <v>207.52753946477827</v>
      </c>
      <c r="AS14" s="1695">
        <f t="shared" si="8"/>
        <v>60.999394881090033</v>
      </c>
    </row>
    <row r="15" spans="3:48" s="1676" customFormat="1" ht="20.100000000000001" customHeight="1">
      <c r="C15" s="1744"/>
      <c r="D15" s="1742"/>
      <c r="E15" s="1762" t="s">
        <v>860</v>
      </c>
      <c r="F15" s="1762"/>
      <c r="G15" s="1762" t="s">
        <v>27</v>
      </c>
      <c r="H15" s="4603" t="str">
        <f>Details!B1</f>
        <v>BH-05_UDS-01</v>
      </c>
      <c r="I15" s="4603"/>
      <c r="J15" s="4603"/>
      <c r="K15" s="4603"/>
      <c r="L15" s="4603"/>
      <c r="M15" s="4603"/>
      <c r="N15" s="1742" t="s">
        <v>396</v>
      </c>
      <c r="O15" s="1742" t="s">
        <v>27</v>
      </c>
      <c r="P15" s="4428" t="str">
        <f>Details!B22</f>
        <v>AS Sumartadji</v>
      </c>
      <c r="Q15" s="4428"/>
      <c r="R15" s="4428"/>
      <c r="S15" s="1763"/>
      <c r="T15" s="1742"/>
      <c r="U15" s="1742"/>
      <c r="V15" s="1743"/>
      <c r="W15" s="1742"/>
      <c r="X15" s="1742"/>
      <c r="AF15" s="1695">
        <v>0.25</v>
      </c>
      <c r="AG15" s="1696">
        <f t="shared" si="0"/>
        <v>4.8153223103138529</v>
      </c>
      <c r="AH15" s="1696">
        <f t="shared" si="1"/>
        <v>54.815322310313853</v>
      </c>
      <c r="AI15" s="1695">
        <f t="shared" si="6"/>
        <v>30.071678189553211</v>
      </c>
      <c r="AK15" s="1695">
        <v>0.25</v>
      </c>
      <c r="AL15" s="1696">
        <f t="shared" si="2"/>
        <v>7.3513746039852323</v>
      </c>
      <c r="AM15" s="1696">
        <f t="shared" si="3"/>
        <v>107.35137460398524</v>
      </c>
      <c r="AN15" s="1695">
        <f t="shared" si="7"/>
        <v>45.909319687364587</v>
      </c>
      <c r="AP15" s="1695">
        <v>0.25</v>
      </c>
      <c r="AQ15" s="1696">
        <f t="shared" si="4"/>
        <v>12.545899107963766</v>
      </c>
      <c r="AR15" s="1696">
        <f t="shared" si="5"/>
        <v>212.54589910796378</v>
      </c>
      <c r="AS15" s="1695">
        <f t="shared" si="8"/>
        <v>78.349114817341999</v>
      </c>
    </row>
    <row r="16" spans="3:48" s="1676" customFormat="1" ht="20.100000000000001" customHeight="1">
      <c r="C16" s="1744"/>
      <c r="D16" s="1742"/>
      <c r="E16" s="1762" t="s">
        <v>100</v>
      </c>
      <c r="F16" s="1762"/>
      <c r="G16" s="1762" t="s">
        <v>27</v>
      </c>
      <c r="H16" s="4602" t="str">
        <f>Details!B13&amp;" m"</f>
        <v>0,00-0,50 m</v>
      </c>
      <c r="I16" s="4602"/>
      <c r="J16" s="4602"/>
      <c r="K16" s="4602"/>
      <c r="L16" s="4602"/>
      <c r="M16" s="4602"/>
      <c r="N16" s="1742" t="s">
        <v>186</v>
      </c>
      <c r="O16" s="1742" t="s">
        <v>27</v>
      </c>
      <c r="P16" s="4426" t="str">
        <f>Details!B2</f>
        <v>MGS/02/VI/2026</v>
      </c>
      <c r="Q16" s="4426"/>
      <c r="R16" s="4426"/>
      <c r="S16" s="1763"/>
      <c r="T16" s="1742"/>
      <c r="U16" s="1742"/>
      <c r="V16" s="1743"/>
      <c r="W16" s="1742"/>
      <c r="X16" s="1742"/>
      <c r="AF16" s="1695">
        <v>0.5</v>
      </c>
      <c r="AG16" s="1696">
        <f t="shared" si="0"/>
        <v>9.6306446206277059</v>
      </c>
      <c r="AH16" s="1696">
        <f t="shared" si="1"/>
        <v>59.630644620627706</v>
      </c>
      <c r="AI16" s="1695">
        <f t="shared" si="6"/>
        <v>41.979006662469786</v>
      </c>
      <c r="AK16" s="1695">
        <v>0.5</v>
      </c>
      <c r="AL16" s="1696">
        <f t="shared" si="2"/>
        <v>14.702749207970465</v>
      </c>
      <c r="AM16" s="1696">
        <f t="shared" si="3"/>
        <v>114.70274920797047</v>
      </c>
      <c r="AN16" s="1695">
        <f t="shared" si="7"/>
        <v>64.08779798976596</v>
      </c>
      <c r="AP16" s="1695">
        <v>0.5</v>
      </c>
      <c r="AQ16" s="1696">
        <f t="shared" si="4"/>
        <v>25.091798215927533</v>
      </c>
      <c r="AR16" s="1696">
        <f t="shared" si="5"/>
        <v>225.09179821592753</v>
      </c>
      <c r="AS16" s="1695">
        <f t="shared" si="8"/>
        <v>109.37261273494225</v>
      </c>
    </row>
    <row r="17" spans="3:45" s="1676" customFormat="1" ht="20.100000000000001" customHeight="1">
      <c r="C17" s="1744"/>
      <c r="D17" s="1742"/>
      <c r="E17" s="1742" t="s">
        <v>98</v>
      </c>
      <c r="F17" s="1742"/>
      <c r="G17" s="1762" t="s">
        <v>27</v>
      </c>
      <c r="H17" s="4602" t="str">
        <f>Details!B15</f>
        <v>Abu-abu / Gray</v>
      </c>
      <c r="I17" s="4602"/>
      <c r="J17" s="4602"/>
      <c r="K17" s="4602"/>
      <c r="L17" s="4602"/>
      <c r="M17" s="4602"/>
      <c r="R17" s="1742"/>
      <c r="S17" s="1742"/>
      <c r="T17" s="1742"/>
      <c r="U17" s="1742"/>
      <c r="V17" s="1743"/>
      <c r="W17" s="1742"/>
      <c r="X17" s="1742"/>
      <c r="AF17" s="1695">
        <v>0.75</v>
      </c>
      <c r="AG17" s="1696">
        <f t="shared" si="0"/>
        <v>14.445966930941559</v>
      </c>
      <c r="AH17" s="1696">
        <f t="shared" si="1"/>
        <v>64.445966930941552</v>
      </c>
      <c r="AI17" s="1695">
        <f t="shared" si="6"/>
        <v>50.732568569853662</v>
      </c>
      <c r="AK17" s="1695">
        <v>0.75</v>
      </c>
      <c r="AL17" s="1696">
        <f t="shared" si="2"/>
        <v>22.054123811955698</v>
      </c>
      <c r="AM17" s="1696">
        <f t="shared" si="3"/>
        <v>122.05412381195569</v>
      </c>
      <c r="AN17" s="1695">
        <f t="shared" si="7"/>
        <v>77.451537435103333</v>
      </c>
      <c r="AP17" s="1695">
        <v>0.75</v>
      </c>
      <c r="AQ17" s="1696">
        <f t="shared" si="4"/>
        <v>37.637697323891302</v>
      </c>
      <c r="AR17" s="1696">
        <f t="shared" si="5"/>
        <v>237.6376973238913</v>
      </c>
      <c r="AS17" s="1695">
        <f t="shared" si="8"/>
        <v>132.17924901973029</v>
      </c>
    </row>
    <row r="18" spans="3:45" s="1676" customFormat="1" ht="20.100000000000001" customHeight="1">
      <c r="C18" s="1744"/>
      <c r="D18" s="1742"/>
      <c r="E18" s="1742" t="s">
        <v>1041</v>
      </c>
      <c r="G18" s="1676" t="s">
        <v>27</v>
      </c>
      <c r="H18" s="4604" t="str">
        <f>Details!B16</f>
        <v>Undisturbed Sample / UDS</v>
      </c>
      <c r="I18" s="4604"/>
      <c r="J18" s="4604"/>
      <c r="K18" s="4604"/>
      <c r="L18" s="4604"/>
      <c r="M18" s="4604"/>
      <c r="R18" s="1742"/>
      <c r="S18" s="1742"/>
      <c r="T18" s="1742"/>
      <c r="U18" s="1742"/>
      <c r="V18" s="1743"/>
      <c r="Z18" s="1705"/>
      <c r="AB18" s="1705"/>
      <c r="AD18" s="1705"/>
      <c r="AF18" s="1695">
        <v>1</v>
      </c>
      <c r="AG18" s="1696">
        <f t="shared" si="0"/>
        <v>19.261289241255412</v>
      </c>
      <c r="AH18" s="1696">
        <f t="shared" si="1"/>
        <v>69.261289241255412</v>
      </c>
      <c r="AI18" s="1695">
        <f t="shared" si="6"/>
        <v>57.783867723766242</v>
      </c>
      <c r="AK18" s="1695">
        <v>1</v>
      </c>
      <c r="AL18" s="1696">
        <f t="shared" si="2"/>
        <v>29.405498415940929</v>
      </c>
      <c r="AM18" s="1696">
        <f t="shared" si="3"/>
        <v>129.40549841594094</v>
      </c>
      <c r="AN18" s="1695">
        <f t="shared" si="7"/>
        <v>88.216495247822792</v>
      </c>
      <c r="AP18" s="1695">
        <v>1</v>
      </c>
      <c r="AQ18" s="1696">
        <f t="shared" si="4"/>
        <v>50.183596431855065</v>
      </c>
      <c r="AR18" s="1696">
        <f t="shared" si="5"/>
        <v>250.18359643185505</v>
      </c>
      <c r="AS18" s="1695">
        <f t="shared" si="8"/>
        <v>150.55078929556515</v>
      </c>
    </row>
    <row r="19" spans="3:45" s="1676" customFormat="1" ht="20.100000000000001" customHeight="1">
      <c r="C19" s="1744"/>
      <c r="D19" s="1742"/>
      <c r="E19" s="1742" t="s">
        <v>101</v>
      </c>
      <c r="F19" s="1742"/>
      <c r="G19" s="1742" t="s">
        <v>27</v>
      </c>
      <c r="H19" s="4602" t="str">
        <f>Details!B14</f>
        <v>silty CLAY with sand</v>
      </c>
      <c r="I19" s="4602"/>
      <c r="J19" s="4602"/>
      <c r="K19" s="4602"/>
      <c r="L19" s="4602"/>
      <c r="M19" s="4602"/>
      <c r="N19" s="1742"/>
      <c r="O19" s="1742"/>
      <c r="P19" s="1742"/>
      <c r="Q19" s="1742"/>
      <c r="R19" s="1742"/>
      <c r="S19" s="1742"/>
      <c r="T19" s="1742"/>
      <c r="U19" s="1742"/>
      <c r="V19" s="1743"/>
      <c r="Z19" s="1697"/>
      <c r="AB19" s="1697"/>
      <c r="AD19" s="1697"/>
      <c r="AF19" s="1695">
        <v>2</v>
      </c>
      <c r="AG19" s="1696">
        <f t="shared" si="0"/>
        <v>38.522578482510824</v>
      </c>
      <c r="AH19" s="1696">
        <f t="shared" si="1"/>
        <v>88.522578482510824</v>
      </c>
      <c r="AI19" s="1695">
        <f t="shared" si="6"/>
        <v>77.045156965021647</v>
      </c>
      <c r="AK19" s="1695">
        <v>2</v>
      </c>
      <c r="AL19" s="1696">
        <f t="shared" si="2"/>
        <v>58.810996831881859</v>
      </c>
      <c r="AM19" s="1696">
        <f t="shared" si="3"/>
        <v>158.81099683188185</v>
      </c>
      <c r="AN19" s="1695">
        <f t="shared" si="7"/>
        <v>117.62199366376372</v>
      </c>
      <c r="AP19" s="1695">
        <v>2</v>
      </c>
      <c r="AQ19" s="1696">
        <f t="shared" si="4"/>
        <v>100.36719286371013</v>
      </c>
      <c r="AR19" s="1696">
        <f t="shared" si="5"/>
        <v>300.3671928637101</v>
      </c>
      <c r="AS19" s="1695">
        <f t="shared" si="8"/>
        <v>200.73438572742026</v>
      </c>
    </row>
    <row r="20" spans="3:45" s="1676" customFormat="1" ht="20.100000000000001" customHeight="1">
      <c r="C20" s="1693"/>
      <c r="H20" s="1766"/>
      <c r="N20" s="4587" t="s">
        <v>940</v>
      </c>
      <c r="O20" s="4588"/>
      <c r="P20" s="4588"/>
      <c r="Q20" s="4589"/>
      <c r="R20" s="4583">
        <v>1</v>
      </c>
      <c r="S20" s="4584"/>
      <c r="T20" s="4585"/>
      <c r="V20" s="1698"/>
      <c r="Z20" s="1697"/>
      <c r="AB20" s="1697"/>
      <c r="AD20" s="1697"/>
      <c r="AF20" s="1695">
        <v>3</v>
      </c>
      <c r="AG20" s="1696">
        <f t="shared" si="0"/>
        <v>57.783867723766235</v>
      </c>
      <c r="AH20" s="1696">
        <f t="shared" si="1"/>
        <v>107.78386772376624</v>
      </c>
      <c r="AI20" s="1695">
        <f t="shared" si="6"/>
        <v>88.266315930491473</v>
      </c>
      <c r="AK20" s="1695">
        <v>3</v>
      </c>
      <c r="AL20" s="1696">
        <f t="shared" si="2"/>
        <v>88.216495247822792</v>
      </c>
      <c r="AM20" s="1696">
        <f t="shared" si="3"/>
        <v>188.21649524782279</v>
      </c>
      <c r="AN20" s="1695">
        <f t="shared" si="7"/>
        <v>134.75292233895337</v>
      </c>
      <c r="AP20" s="1695">
        <v>3</v>
      </c>
      <c r="AQ20" s="1696">
        <f t="shared" si="4"/>
        <v>150.55078929556521</v>
      </c>
      <c r="AR20" s="1696">
        <f t="shared" si="5"/>
        <v>350.55078929556521</v>
      </c>
      <c r="AS20" s="1695">
        <f t="shared" si="8"/>
        <v>229.97012929409163</v>
      </c>
    </row>
    <row r="21" spans="3:45" s="1676" customFormat="1" ht="20.100000000000001" customHeight="1">
      <c r="C21" s="1693"/>
      <c r="H21" s="1766"/>
      <c r="I21" s="1766"/>
      <c r="N21" s="1741" t="s">
        <v>581</v>
      </c>
      <c r="O21" s="1716"/>
      <c r="P21" s="1740" t="s">
        <v>920</v>
      </c>
      <c r="Q21" s="1739" t="s">
        <v>1039</v>
      </c>
      <c r="R21" s="4593">
        <f>'CU_Multi Saturasi'!F23</f>
        <v>1.0532848145552753</v>
      </c>
      <c r="S21" s="4594"/>
      <c r="T21" s="4595"/>
      <c r="V21" s="1698"/>
      <c r="Z21" s="1697"/>
      <c r="AB21" s="1697"/>
      <c r="AD21" s="1697"/>
      <c r="AF21" s="1695">
        <v>4</v>
      </c>
      <c r="AG21" s="1696">
        <f t="shared" si="0"/>
        <v>77.045156965021647</v>
      </c>
      <c r="AH21" s="1696">
        <f t="shared" si="1"/>
        <v>127.04515696502165</v>
      </c>
      <c r="AI21" s="1695">
        <f t="shared" si="6"/>
        <v>94.360660858470226</v>
      </c>
      <c r="AK21" s="1695">
        <v>4</v>
      </c>
      <c r="AL21" s="1696">
        <f t="shared" si="2"/>
        <v>117.62199366376372</v>
      </c>
      <c r="AM21" s="1696">
        <f t="shared" si="3"/>
        <v>217.6219936637637</v>
      </c>
      <c r="AN21" s="1695">
        <f t="shared" si="7"/>
        <v>144.05693350254859</v>
      </c>
      <c r="AP21" s="1695">
        <v>4</v>
      </c>
      <c r="AQ21" s="1696">
        <f t="shared" si="4"/>
        <v>200.73438572742026</v>
      </c>
      <c r="AR21" s="1696">
        <f t="shared" si="5"/>
        <v>400.73438572742026</v>
      </c>
      <c r="AS21" s="1695">
        <f t="shared" si="8"/>
        <v>245.84840943159895</v>
      </c>
    </row>
    <row r="22" spans="3:45" s="1676" customFormat="1" ht="20.100000000000001" customHeight="1">
      <c r="C22" s="1693"/>
      <c r="H22" s="1766"/>
      <c r="N22" s="1738"/>
      <c r="O22" s="1698"/>
      <c r="P22" s="1731" t="s">
        <v>919</v>
      </c>
      <c r="Q22" s="1711" t="s">
        <v>1</v>
      </c>
      <c r="R22" s="4596">
        <f>'CU_Multi Saturasi'!F24</f>
        <v>44.630837734286011</v>
      </c>
      <c r="S22" s="4597"/>
      <c r="T22" s="4598"/>
      <c r="V22" s="1698"/>
      <c r="Z22" s="1697"/>
      <c r="AB22" s="1697"/>
      <c r="AD22" s="1697"/>
      <c r="AF22" s="1695">
        <v>5</v>
      </c>
      <c r="AG22" s="1696">
        <f t="shared" si="0"/>
        <v>96.306446206277059</v>
      </c>
      <c r="AH22" s="1696">
        <f t="shared" si="1"/>
        <v>146.30644620627706</v>
      </c>
      <c r="AI22" s="1695">
        <f t="shared" si="6"/>
        <v>96.306446206277059</v>
      </c>
      <c r="AK22" s="1695">
        <v>5</v>
      </c>
      <c r="AL22" s="1696">
        <f t="shared" si="2"/>
        <v>147.02749207970464</v>
      </c>
      <c r="AM22" s="1696">
        <f t="shared" si="3"/>
        <v>247.02749207970464</v>
      </c>
      <c r="AN22" s="1695">
        <f t="shared" si="7"/>
        <v>147.02749207970464</v>
      </c>
      <c r="AP22" s="1695">
        <v>5</v>
      </c>
      <c r="AQ22" s="1696">
        <f t="shared" si="4"/>
        <v>250.91798215927531</v>
      </c>
      <c r="AR22" s="1696">
        <f t="shared" si="5"/>
        <v>450.91798215927531</v>
      </c>
      <c r="AS22" s="1695">
        <f t="shared" si="8"/>
        <v>250.91798215927531</v>
      </c>
    </row>
    <row r="23" spans="3:45" s="1676" customFormat="1" ht="20.100000000000001" customHeight="1">
      <c r="C23" s="1693"/>
      <c r="N23" s="1737"/>
      <c r="O23" s="1708"/>
      <c r="P23" s="1730" t="s">
        <v>918</v>
      </c>
      <c r="Q23" s="1720" t="s">
        <v>1039</v>
      </c>
      <c r="R23" s="4599">
        <f>'CU_Multi Saturasi'!F25</f>
        <v>1.1650972236070354</v>
      </c>
      <c r="S23" s="4600"/>
      <c r="T23" s="4601"/>
      <c r="V23" s="1698"/>
      <c r="Z23" s="1697"/>
      <c r="AB23" s="1697"/>
      <c r="AD23" s="1697"/>
      <c r="AF23" s="1695">
        <v>6</v>
      </c>
      <c r="AG23" s="1696">
        <f t="shared" si="0"/>
        <v>115.56773544753247</v>
      </c>
      <c r="AH23" s="1696">
        <f t="shared" si="1"/>
        <v>165.56773544753247</v>
      </c>
      <c r="AI23" s="1695">
        <f t="shared" si="6"/>
        <v>94.360660858470226</v>
      </c>
      <c r="AK23" s="1695">
        <v>6</v>
      </c>
      <c r="AL23" s="1696">
        <f t="shared" si="2"/>
        <v>176.43299049564558</v>
      </c>
      <c r="AM23" s="1696">
        <f t="shared" si="3"/>
        <v>276.43299049564558</v>
      </c>
      <c r="AN23" s="1695">
        <f t="shared" si="7"/>
        <v>144.05693350254859</v>
      </c>
      <c r="AP23" s="1695">
        <v>6</v>
      </c>
      <c r="AQ23" s="1696">
        <f t="shared" si="4"/>
        <v>301.10157859113042</v>
      </c>
      <c r="AR23" s="1696">
        <f t="shared" si="5"/>
        <v>501.10157859113042</v>
      </c>
      <c r="AS23" s="1695">
        <f t="shared" si="8"/>
        <v>245.84840943159892</v>
      </c>
    </row>
    <row r="24" spans="3:45" s="1676" customFormat="1" ht="20.100000000000001" customHeight="1">
      <c r="C24" s="1693"/>
      <c r="I24" s="1766"/>
      <c r="N24" s="1717" t="s">
        <v>1040</v>
      </c>
      <c r="O24" s="1716"/>
      <c r="P24" s="1734" t="s">
        <v>920</v>
      </c>
      <c r="Q24" s="1726" t="s">
        <v>1039</v>
      </c>
      <c r="R24" s="2004">
        <f>'CU_Multi Saturasi'!N20/'Cu_Multi Shear'!O15</f>
        <v>1.0719396283637956</v>
      </c>
      <c r="S24" s="2004">
        <f>'CU_Multi Saturasi'!N20/'Cu_Multi Shear'!O82</f>
        <v>1.0938204850952786</v>
      </c>
      <c r="T24" s="2004">
        <f>'CU_Multi Saturasi'!N20/'Cu_Multi Shear'!O149</f>
        <v>1.1234978318994433</v>
      </c>
      <c r="V24" s="1698"/>
      <c r="W24" s="1692"/>
      <c r="Z24" s="1697"/>
      <c r="AB24" s="1697"/>
      <c r="AD24" s="1697"/>
      <c r="AF24" s="1695">
        <v>7</v>
      </c>
      <c r="AG24" s="1696">
        <f t="shared" si="0"/>
        <v>134.82902468878788</v>
      </c>
      <c r="AH24" s="1696">
        <f t="shared" si="1"/>
        <v>184.82902468878788</v>
      </c>
      <c r="AI24" s="1695">
        <f t="shared" si="6"/>
        <v>88.266315930491473</v>
      </c>
      <c r="AK24" s="1695">
        <v>7</v>
      </c>
      <c r="AL24" s="1696">
        <f t="shared" si="2"/>
        <v>205.8384889115865</v>
      </c>
      <c r="AM24" s="1696">
        <f t="shared" si="3"/>
        <v>305.83848891158652</v>
      </c>
      <c r="AN24" s="1695">
        <f t="shared" si="7"/>
        <v>134.75292233895337</v>
      </c>
      <c r="AP24" s="1695">
        <v>7</v>
      </c>
      <c r="AQ24" s="1696">
        <f t="shared" si="4"/>
        <v>351.28517502298547</v>
      </c>
      <c r="AR24" s="1696">
        <f t="shared" si="5"/>
        <v>551.28517502298541</v>
      </c>
      <c r="AS24" s="1695">
        <f t="shared" si="8"/>
        <v>229.97012929409161</v>
      </c>
    </row>
    <row r="25" spans="3:45" s="1676" customFormat="1" ht="20.100000000000001" customHeight="1">
      <c r="C25" s="1693"/>
      <c r="I25" s="1766"/>
      <c r="N25" s="1717" t="s">
        <v>966</v>
      </c>
      <c r="O25" s="1698"/>
      <c r="P25" s="1731" t="s">
        <v>919</v>
      </c>
      <c r="Q25" s="1711" t="s">
        <v>1</v>
      </c>
      <c r="R25" s="4590">
        <f>'CU_Multi Saturasi'!O23</f>
        <v>16.871729599773737</v>
      </c>
      <c r="S25" s="4591"/>
      <c r="T25" s="4592"/>
      <c r="V25" s="1698"/>
      <c r="Z25" s="1697"/>
      <c r="AB25" s="1697"/>
      <c r="AD25" s="1697"/>
      <c r="AF25" s="1695">
        <v>8</v>
      </c>
      <c r="AG25" s="1696">
        <f t="shared" si="0"/>
        <v>154.09031393004329</v>
      </c>
      <c r="AH25" s="1696">
        <f t="shared" si="1"/>
        <v>204.09031393004329</v>
      </c>
      <c r="AI25" s="1695">
        <f t="shared" si="6"/>
        <v>77.045156965021647</v>
      </c>
      <c r="AK25" s="1695">
        <v>8</v>
      </c>
      <c r="AL25" s="1696">
        <f t="shared" si="2"/>
        <v>235.24398732752744</v>
      </c>
      <c r="AM25" s="1696">
        <f t="shared" si="3"/>
        <v>335.24398732752741</v>
      </c>
      <c r="AN25" s="1695">
        <f t="shared" si="7"/>
        <v>117.62199366376372</v>
      </c>
      <c r="AP25" s="1695">
        <v>8</v>
      </c>
      <c r="AQ25" s="1696">
        <f t="shared" si="4"/>
        <v>401.46877145484052</v>
      </c>
      <c r="AR25" s="1696">
        <f t="shared" si="5"/>
        <v>601.46877145484052</v>
      </c>
      <c r="AS25" s="1695">
        <f t="shared" si="8"/>
        <v>200.73438572742023</v>
      </c>
    </row>
    <row r="26" spans="3:45" s="1676" customFormat="1" ht="20.100000000000001" customHeight="1">
      <c r="C26" s="1693"/>
      <c r="I26" s="1766"/>
      <c r="N26" s="1736"/>
      <c r="O26" s="1708"/>
      <c r="P26" s="1730" t="s">
        <v>918</v>
      </c>
      <c r="Q26" s="1720" t="s">
        <v>1039</v>
      </c>
      <c r="R26" s="2004">
        <f>R24/(1+$R$25/100)</f>
        <v>0.91719326139404622</v>
      </c>
      <c r="S26" s="2004">
        <f>S24/(1+$R$25/100)</f>
        <v>0.93591537392409407</v>
      </c>
      <c r="T26" s="2004">
        <f>T24/(1+$R$25/100)</f>
        <v>0.96130846676681536</v>
      </c>
      <c r="U26" s="1692"/>
      <c r="V26" s="1735"/>
      <c r="Y26" s="1723" t="s">
        <v>1037</v>
      </c>
      <c r="Z26" s="1710"/>
      <c r="AA26" s="1723"/>
      <c r="AB26" s="1710"/>
      <c r="AC26" s="1723"/>
      <c r="AD26" s="1710"/>
      <c r="AF26" s="1695">
        <v>9</v>
      </c>
      <c r="AG26" s="1696">
        <f t="shared" si="0"/>
        <v>173.35160317129871</v>
      </c>
      <c r="AH26" s="1696">
        <f t="shared" si="1"/>
        <v>223.35160317129871</v>
      </c>
      <c r="AI26" s="1695">
        <f t="shared" si="6"/>
        <v>57.783867723766242</v>
      </c>
      <c r="AK26" s="1695">
        <v>9</v>
      </c>
      <c r="AL26" s="1696">
        <f t="shared" si="2"/>
        <v>264.64948574346835</v>
      </c>
      <c r="AM26" s="1696">
        <f t="shared" si="3"/>
        <v>364.64948574346835</v>
      </c>
      <c r="AN26" s="1695">
        <f t="shared" si="7"/>
        <v>88.216495247822806</v>
      </c>
      <c r="AP26" s="1695">
        <v>9</v>
      </c>
      <c r="AQ26" s="1696">
        <f t="shared" si="4"/>
        <v>451.65236788669557</v>
      </c>
      <c r="AR26" s="1696">
        <f t="shared" si="5"/>
        <v>651.65236788669563</v>
      </c>
      <c r="AS26" s="1695">
        <f t="shared" si="8"/>
        <v>150.55078929556515</v>
      </c>
    </row>
    <row r="27" spans="3:45" s="1676" customFormat="1" ht="20.100000000000001" customHeight="1">
      <c r="C27" s="1693"/>
      <c r="N27" s="1717" t="s">
        <v>916</v>
      </c>
      <c r="O27" s="1716"/>
      <c r="P27" s="1734" t="s">
        <v>1030</v>
      </c>
      <c r="Q27" s="1726" t="s">
        <v>1012</v>
      </c>
      <c r="R27" s="2849">
        <f>'CU_Multi Saturasi'!E32</f>
        <v>0</v>
      </c>
      <c r="S27" s="2849">
        <f>R27</f>
        <v>0</v>
      </c>
      <c r="T27" s="2849">
        <f>S27</f>
        <v>0</v>
      </c>
      <c r="V27" s="1698"/>
      <c r="Y27" s="1710" t="s">
        <v>1024</v>
      </c>
      <c r="Z27" s="1866">
        <f>R31-R32</f>
        <v>50</v>
      </c>
      <c r="AA27" s="1710" t="s">
        <v>1024</v>
      </c>
      <c r="AB27" s="1719">
        <f>S31-S32</f>
        <v>100</v>
      </c>
      <c r="AC27" s="1710" t="s">
        <v>1024</v>
      </c>
      <c r="AD27" s="1719">
        <f>T31-T32</f>
        <v>200</v>
      </c>
      <c r="AF27" s="1695">
        <v>9.25</v>
      </c>
      <c r="AG27" s="1696">
        <f t="shared" si="0"/>
        <v>178.16692548161257</v>
      </c>
      <c r="AH27" s="1696">
        <f t="shared" si="1"/>
        <v>228.16692548161257</v>
      </c>
      <c r="AI27" s="1695">
        <f t="shared" si="6"/>
        <v>50.732568569853662</v>
      </c>
      <c r="AK27" s="1695">
        <v>9.25</v>
      </c>
      <c r="AL27" s="1696">
        <f t="shared" si="2"/>
        <v>272.00086034745362</v>
      </c>
      <c r="AM27" s="1696">
        <f t="shared" si="3"/>
        <v>372.00086034745362</v>
      </c>
      <c r="AN27" s="1695">
        <f t="shared" si="7"/>
        <v>77.45153743510329</v>
      </c>
      <c r="AP27" s="1695">
        <v>9.25</v>
      </c>
      <c r="AQ27" s="1696">
        <f t="shared" si="4"/>
        <v>464.19826699465938</v>
      </c>
      <c r="AR27" s="1696">
        <f t="shared" si="5"/>
        <v>664.19826699465943</v>
      </c>
      <c r="AS27" s="1695">
        <f t="shared" si="8"/>
        <v>132.17924901973018</v>
      </c>
    </row>
    <row r="28" spans="3:45" s="1676" customFormat="1" ht="20.100000000000001" customHeight="1">
      <c r="C28" s="1693"/>
      <c r="N28" s="1733" t="s">
        <v>1031</v>
      </c>
      <c r="O28" s="1698"/>
      <c r="P28" s="1732" t="s">
        <v>1038</v>
      </c>
      <c r="Q28" s="1711" t="s">
        <v>1012</v>
      </c>
      <c r="R28" s="2850">
        <f>'CU_Multi Saturasi'!E39</f>
        <v>183</v>
      </c>
      <c r="S28" s="2850">
        <f>'CU_Multi Saturasi'!E40</f>
        <v>190</v>
      </c>
      <c r="T28" s="2850">
        <f>'CU_Multi Saturasi'!E41</f>
        <v>228.6</v>
      </c>
      <c r="V28" s="1698"/>
      <c r="Y28" s="1710" t="s">
        <v>1022</v>
      </c>
      <c r="Z28" s="1867">
        <f>Z27+Z29</f>
        <v>242.61289241255412</v>
      </c>
      <c r="AA28" s="1710" t="s">
        <v>1022</v>
      </c>
      <c r="AB28" s="1721">
        <f>AB27+AB29</f>
        <v>394.05498415940929</v>
      </c>
      <c r="AC28" s="1710" t="s">
        <v>1022</v>
      </c>
      <c r="AD28" s="1721">
        <f>AD27+AD29</f>
        <v>701.83596431855062</v>
      </c>
      <c r="AF28" s="1695">
        <v>9.5</v>
      </c>
      <c r="AG28" s="1696">
        <f t="shared" si="0"/>
        <v>182.9822477919264</v>
      </c>
      <c r="AH28" s="1696">
        <f t="shared" si="1"/>
        <v>232.9822477919264</v>
      </c>
      <c r="AI28" s="1695">
        <f t="shared" si="6"/>
        <v>41.979006662469814</v>
      </c>
      <c r="AK28" s="1695">
        <v>9.5</v>
      </c>
      <c r="AL28" s="1696">
        <f t="shared" si="2"/>
        <v>279.35223495143885</v>
      </c>
      <c r="AM28" s="1696">
        <f t="shared" si="3"/>
        <v>379.35223495143885</v>
      </c>
      <c r="AN28" s="1695">
        <f t="shared" si="7"/>
        <v>64.087797989765903</v>
      </c>
      <c r="AP28" s="1695">
        <v>9.5</v>
      </c>
      <c r="AQ28" s="1696">
        <f t="shared" si="4"/>
        <v>476.74416610262313</v>
      </c>
      <c r="AR28" s="1696">
        <f t="shared" si="5"/>
        <v>676.74416610262313</v>
      </c>
      <c r="AS28" s="1695">
        <f t="shared" si="8"/>
        <v>109.37261273494222</v>
      </c>
    </row>
    <row r="29" spans="3:45" s="1676" customFormat="1" ht="20.100000000000001" customHeight="1">
      <c r="C29" s="1693"/>
      <c r="N29" s="1717"/>
      <c r="O29" s="1698"/>
      <c r="P29" s="1731" t="s">
        <v>1036</v>
      </c>
      <c r="Q29" s="1711" t="s">
        <v>1012</v>
      </c>
      <c r="R29" s="2849">
        <v>240</v>
      </c>
      <c r="S29" s="2849">
        <v>290</v>
      </c>
      <c r="T29" s="2849">
        <v>390</v>
      </c>
      <c r="V29" s="1698"/>
      <c r="Y29" s="1710" t="s">
        <v>1021</v>
      </c>
      <c r="Z29" s="1866">
        <f>R40</f>
        <v>192.61289241255412</v>
      </c>
      <c r="AA29" s="1710" t="s">
        <v>1021</v>
      </c>
      <c r="AB29" s="1719">
        <f>S40</f>
        <v>294.05498415940929</v>
      </c>
      <c r="AC29" s="1710" t="s">
        <v>1021</v>
      </c>
      <c r="AD29" s="1719">
        <f>T40</f>
        <v>501.83596431855062</v>
      </c>
      <c r="AF29" s="1695">
        <v>9.75</v>
      </c>
      <c r="AG29" s="1696">
        <f t="shared" si="0"/>
        <v>187.79757010224026</v>
      </c>
      <c r="AH29" s="1696">
        <f t="shared" si="1"/>
        <v>237.79757010224026</v>
      </c>
      <c r="AI29" s="1695">
        <f t="shared" si="6"/>
        <v>30.071678189553211</v>
      </c>
      <c r="AK29" s="1695">
        <v>9.75</v>
      </c>
      <c r="AL29" s="1696">
        <f t="shared" si="2"/>
        <v>286.70360955542407</v>
      </c>
      <c r="AM29" s="1696">
        <f t="shared" si="3"/>
        <v>386.70360955542407</v>
      </c>
      <c r="AN29" s="1695">
        <f t="shared" si="7"/>
        <v>45.909319687364587</v>
      </c>
      <c r="AP29" s="1695">
        <v>9.75</v>
      </c>
      <c r="AQ29" s="1696">
        <f t="shared" si="4"/>
        <v>489.29006521058687</v>
      </c>
      <c r="AR29" s="1696">
        <f t="shared" si="5"/>
        <v>689.29006521058682</v>
      </c>
      <c r="AS29" s="1695">
        <f t="shared" si="8"/>
        <v>78.349114817341913</v>
      </c>
    </row>
    <row r="30" spans="3:45" s="1676" customFormat="1" ht="20.100000000000001" customHeight="1">
      <c r="C30" s="1693"/>
      <c r="N30" s="1709"/>
      <c r="O30" s="1708"/>
      <c r="P30" s="1730" t="s">
        <v>1035</v>
      </c>
      <c r="Q30" s="1720"/>
      <c r="R30" s="2004">
        <f>MAX('CU_Multi Saturasi'!G32:G47)</f>
        <v>0.98</v>
      </c>
      <c r="S30" s="2004">
        <f>MAX('CU_Multi Saturasi'!G109:G124)</f>
        <v>0.6333333333333333</v>
      </c>
      <c r="T30" s="2004">
        <f>MAX('CU_Multi Saturasi'!G186:G201)</f>
        <v>0.78</v>
      </c>
      <c r="V30" s="1698"/>
      <c r="W30" s="1700"/>
      <c r="Y30" s="1710" t="s">
        <v>1020</v>
      </c>
      <c r="Z30" s="1866">
        <f>(Z28-Z27)/2</f>
        <v>96.306446206277059</v>
      </c>
      <c r="AA30" s="1710" t="s">
        <v>1020</v>
      </c>
      <c r="AB30" s="1719">
        <f>(AB28-AB27)/2</f>
        <v>147.02749207970464</v>
      </c>
      <c r="AC30" s="1710" t="s">
        <v>1020</v>
      </c>
      <c r="AD30" s="1719">
        <f>(AD28-AD27)/2</f>
        <v>250.91798215927531</v>
      </c>
      <c r="AF30" s="1695">
        <v>9.85</v>
      </c>
      <c r="AG30" s="1696">
        <f t="shared" si="0"/>
        <v>189.72369902636581</v>
      </c>
      <c r="AH30" s="1696">
        <f t="shared" si="1"/>
        <v>239.72369902636581</v>
      </c>
      <c r="AI30" s="1695">
        <f t="shared" si="6"/>
        <v>23.412570478914933</v>
      </c>
      <c r="AK30" s="1695">
        <v>9.85</v>
      </c>
      <c r="AL30" s="1696">
        <f t="shared" si="2"/>
        <v>289.64415939701814</v>
      </c>
      <c r="AM30" s="1696">
        <f t="shared" si="3"/>
        <v>389.64415939701814</v>
      </c>
      <c r="AN30" s="1695">
        <f t="shared" si="7"/>
        <v>35.743106056278002</v>
      </c>
      <c r="AP30" s="1695">
        <v>9.85</v>
      </c>
      <c r="AQ30" s="1696">
        <f t="shared" si="4"/>
        <v>494.30842485377235</v>
      </c>
      <c r="AR30" s="1696">
        <f t="shared" si="5"/>
        <v>694.30842485377229</v>
      </c>
      <c r="AS30" s="1695">
        <f t="shared" si="8"/>
        <v>60.999394881090033</v>
      </c>
    </row>
    <row r="31" spans="3:45" s="1676" customFormat="1" ht="20.100000000000001" customHeight="1">
      <c r="C31" s="1693"/>
      <c r="D31" s="1767"/>
      <c r="N31" s="1717" t="s">
        <v>966</v>
      </c>
      <c r="O31" s="1716"/>
      <c r="P31" s="1715" t="s">
        <v>915</v>
      </c>
      <c r="Q31" s="1726" t="s">
        <v>1012</v>
      </c>
      <c r="R31" s="2849">
        <f>'Cu_Multi Consol'!F16</f>
        <v>240</v>
      </c>
      <c r="S31" s="2849">
        <f>'Cu_Multi Consol'!$F$80</f>
        <v>290</v>
      </c>
      <c r="T31" s="2849">
        <f>'Cu_Multi Consol'!$F$144</f>
        <v>390</v>
      </c>
      <c r="V31" s="1698"/>
      <c r="W31" s="1724"/>
      <c r="Y31" s="1710" t="s">
        <v>1019</v>
      </c>
      <c r="Z31" s="1866">
        <f>(Z28+Z27)/2</f>
        <v>146.30644620627706</v>
      </c>
      <c r="AA31" s="1710" t="s">
        <v>1019</v>
      </c>
      <c r="AB31" s="1719">
        <f>(AB28+AB27)/2</f>
        <v>247.02749207970464</v>
      </c>
      <c r="AC31" s="1710" t="s">
        <v>1019</v>
      </c>
      <c r="AD31" s="1719">
        <f>(AD28+AD27)/2</f>
        <v>450.91798215927531</v>
      </c>
      <c r="AF31" s="1695">
        <v>9.9</v>
      </c>
      <c r="AG31" s="1696">
        <f t="shared" si="0"/>
        <v>190.6867634884286</v>
      </c>
      <c r="AH31" s="1696">
        <f t="shared" si="1"/>
        <v>240.6867634884286</v>
      </c>
      <c r="AI31" s="1695">
        <f t="shared" si="6"/>
        <v>19.164740817525974</v>
      </c>
      <c r="AK31" s="1695">
        <v>9.9</v>
      </c>
      <c r="AL31" s="1696">
        <f t="shared" si="2"/>
        <v>291.11443431781521</v>
      </c>
      <c r="AM31" s="1696">
        <f t="shared" si="3"/>
        <v>391.11443431781521</v>
      </c>
      <c r="AN31" s="1695">
        <f t="shared" si="7"/>
        <v>29.258101505719782</v>
      </c>
      <c r="AP31" s="1695">
        <v>9.9</v>
      </c>
      <c r="AQ31" s="1696">
        <f t="shared" si="4"/>
        <v>496.81760467536515</v>
      </c>
      <c r="AR31" s="1696">
        <f t="shared" si="5"/>
        <v>696.81760467536515</v>
      </c>
      <c r="AS31" s="1695">
        <f t="shared" si="8"/>
        <v>49.93204799852424</v>
      </c>
    </row>
    <row r="32" spans="3:45" s="1699" customFormat="1" ht="20.100000000000001" customHeight="1">
      <c r="C32" s="1693"/>
      <c r="D32" s="1676"/>
      <c r="E32" s="1676"/>
      <c r="F32" s="1676"/>
      <c r="G32" s="1676"/>
      <c r="H32" s="1676"/>
      <c r="I32" s="1676"/>
      <c r="J32" s="1676"/>
      <c r="K32" s="1676"/>
      <c r="L32" s="1676"/>
      <c r="M32" s="1676"/>
      <c r="N32" s="1713" t="s">
        <v>1031</v>
      </c>
      <c r="O32" s="1698"/>
      <c r="P32" s="1712" t="s">
        <v>914</v>
      </c>
      <c r="Q32" s="1711" t="s">
        <v>1012</v>
      </c>
      <c r="R32" s="2849">
        <f>'Cu_Multi Consol'!F17</f>
        <v>190</v>
      </c>
      <c r="S32" s="2849">
        <f>'Cu_Multi Consol'!$F$81</f>
        <v>190</v>
      </c>
      <c r="T32" s="2849">
        <f>'Cu_Multi Consol'!$F$145</f>
        <v>190</v>
      </c>
      <c r="U32" s="1700"/>
      <c r="V32" s="1701"/>
      <c r="W32" s="1727"/>
      <c r="Y32" s="1710"/>
      <c r="Z32" s="1710"/>
      <c r="AA32" s="1710"/>
      <c r="AB32" s="1710"/>
      <c r="AC32" s="1710"/>
      <c r="AD32" s="1710"/>
      <c r="AE32" s="1676"/>
      <c r="AF32" s="1695">
        <v>9.98</v>
      </c>
      <c r="AG32" s="1696">
        <f t="shared" si="0"/>
        <v>192.22766662772901</v>
      </c>
      <c r="AH32" s="1696">
        <f t="shared" si="1"/>
        <v>242.22766662772901</v>
      </c>
      <c r="AI32" s="1695">
        <f t="shared" si="6"/>
        <v>8.6052921938634217</v>
      </c>
      <c r="AK32" s="1695">
        <v>9.98</v>
      </c>
      <c r="AL32" s="1696">
        <f t="shared" si="2"/>
        <v>293.46687419109048</v>
      </c>
      <c r="AM32" s="1696">
        <f t="shared" si="3"/>
        <v>393.46687419109048</v>
      </c>
      <c r="AN32" s="1695">
        <f t="shared" si="7"/>
        <v>13.137381553534254</v>
      </c>
      <c r="AP32" s="1695">
        <v>9.98</v>
      </c>
      <c r="AQ32" s="1696">
        <f t="shared" si="4"/>
        <v>500.83229238991356</v>
      </c>
      <c r="AR32" s="1696">
        <f t="shared" si="5"/>
        <v>700.83229238991362</v>
      </c>
      <c r="AS32" s="1695">
        <f t="shared" si="8"/>
        <v>22.420332576184222</v>
      </c>
    </row>
    <row r="33" spans="3:45" s="1676" customFormat="1" ht="20.100000000000001" customHeight="1">
      <c r="C33" s="1693"/>
      <c r="D33" s="4586"/>
      <c r="E33" s="4586"/>
      <c r="I33" s="4586"/>
      <c r="J33" s="4586"/>
      <c r="K33" s="4586"/>
      <c r="L33" s="4586"/>
      <c r="M33" s="1692" t="s">
        <v>1034</v>
      </c>
      <c r="N33" s="1713"/>
      <c r="O33" s="1698"/>
      <c r="P33" s="1712" t="s">
        <v>1030</v>
      </c>
      <c r="Q33" s="1711" t="s">
        <v>1012</v>
      </c>
      <c r="R33" s="2849">
        <f>'Cu_Multi Consol'!F18</f>
        <v>228.6</v>
      </c>
      <c r="S33" s="2849">
        <f>'Cu_Multi Consol'!$J$89</f>
        <v>276</v>
      </c>
      <c r="T33" s="2849">
        <f>'Cu_Multi Consol'!$F$146</f>
        <v>374</v>
      </c>
      <c r="U33" s="1724"/>
      <c r="V33" s="1725"/>
      <c r="W33" s="1724"/>
      <c r="Y33" s="1710"/>
      <c r="Z33" s="1710"/>
      <c r="AA33" s="1710"/>
      <c r="AB33" s="1710"/>
      <c r="AC33" s="1710"/>
      <c r="AD33" s="1710"/>
      <c r="AF33" s="1695">
        <v>10</v>
      </c>
      <c r="AG33" s="1696">
        <f t="shared" si="0"/>
        <v>192.61289241255412</v>
      </c>
      <c r="AH33" s="1696">
        <f t="shared" si="1"/>
        <v>242.61289241255412</v>
      </c>
      <c r="AI33" s="1695">
        <f t="shared" si="6"/>
        <v>0</v>
      </c>
      <c r="AK33" s="1695">
        <v>10</v>
      </c>
      <c r="AL33" s="1696">
        <f t="shared" si="2"/>
        <v>294.05498415940929</v>
      </c>
      <c r="AM33" s="1696">
        <f t="shared" si="3"/>
        <v>394.05498415940929</v>
      </c>
      <c r="AN33" s="1695">
        <f t="shared" si="7"/>
        <v>0</v>
      </c>
      <c r="AP33" s="1695">
        <v>10</v>
      </c>
      <c r="AQ33" s="1696">
        <f t="shared" si="4"/>
        <v>501.83596431855062</v>
      </c>
      <c r="AR33" s="1696">
        <f t="shared" si="5"/>
        <v>701.83596431855062</v>
      </c>
      <c r="AS33" s="1695">
        <v>0</v>
      </c>
    </row>
    <row r="34" spans="3:45" s="1676" customFormat="1" ht="20.100000000000001" customHeight="1">
      <c r="C34" s="1729"/>
      <c r="D34" s="1768"/>
      <c r="E34" s="1768"/>
      <c r="F34" s="1699"/>
      <c r="G34" s="1768"/>
      <c r="H34" s="1699"/>
      <c r="I34" s="1768"/>
      <c r="J34" s="1768"/>
      <c r="K34" s="1768"/>
      <c r="L34" s="1768"/>
      <c r="M34" s="1768"/>
      <c r="N34" s="1709"/>
      <c r="O34" s="1708"/>
      <c r="P34" s="1707" t="s">
        <v>1033</v>
      </c>
      <c r="Q34" s="1720" t="s">
        <v>1012</v>
      </c>
      <c r="R34" s="2849">
        <f>'Cu_Multi Consol'!J36</f>
        <v>190</v>
      </c>
      <c r="S34" s="2849">
        <f>'Cu_Multi Consol'!$J$100</f>
        <v>190</v>
      </c>
      <c r="T34" s="2849">
        <f>'Cu_Multi Consol'!$J$164</f>
        <v>194</v>
      </c>
      <c r="U34" s="1727"/>
      <c r="V34" s="1728"/>
      <c r="W34" s="1724"/>
      <c r="Z34" s="1697"/>
      <c r="AB34" s="1697"/>
      <c r="AD34" s="1697"/>
      <c r="AI34" s="1697"/>
      <c r="AN34" s="1697"/>
      <c r="AS34" s="1697"/>
    </row>
    <row r="35" spans="3:45" s="1676" customFormat="1" ht="20.100000000000001" customHeight="1">
      <c r="C35" s="1693"/>
      <c r="E35" s="1692"/>
      <c r="G35" s="1692"/>
      <c r="I35" s="1692"/>
      <c r="J35" s="1692"/>
      <c r="K35" s="1692"/>
      <c r="L35" s="1692"/>
      <c r="M35" s="1692"/>
      <c r="N35" s="1713" t="s">
        <v>1032</v>
      </c>
      <c r="O35" s="1716"/>
      <c r="P35" s="1715" t="s">
        <v>915</v>
      </c>
      <c r="Q35" s="1726" t="s">
        <v>1012</v>
      </c>
      <c r="R35" s="2849">
        <f>'Cu_Multi Shear'!G14</f>
        <v>240</v>
      </c>
      <c r="S35" s="2849">
        <f>'Cu_Multi Shear'!G81</f>
        <v>290</v>
      </c>
      <c r="T35" s="2849">
        <f>'Cu_Multi Shear'!G148</f>
        <v>390</v>
      </c>
      <c r="U35" s="1724"/>
      <c r="V35" s="1725"/>
      <c r="W35" s="1700"/>
      <c r="Z35" s="1697"/>
      <c r="AB35" s="1697"/>
      <c r="AD35" s="1697"/>
    </row>
    <row r="36" spans="3:45" s="1676" customFormat="1" ht="20.100000000000001" customHeight="1">
      <c r="C36" s="1693"/>
      <c r="D36" s="1769"/>
      <c r="E36" s="1770"/>
      <c r="G36" s="1771"/>
      <c r="I36" s="1692"/>
      <c r="J36" s="1772"/>
      <c r="K36" s="1769"/>
      <c r="L36" s="1692"/>
      <c r="M36" s="1692"/>
      <c r="N36" s="1713" t="s">
        <v>1031</v>
      </c>
      <c r="O36" s="1698"/>
      <c r="P36" s="1712" t="s">
        <v>1030</v>
      </c>
      <c r="Q36" s="1711" t="s">
        <v>1012</v>
      </c>
      <c r="R36" s="2849">
        <f>'Cu_Multi Shear'!I25</f>
        <v>190</v>
      </c>
      <c r="S36" s="2849">
        <f>'Cu_Multi Shear'!I92</f>
        <v>190</v>
      </c>
      <c r="T36" s="2849">
        <f>'Cu_Multi Shear'!I159</f>
        <v>190</v>
      </c>
      <c r="U36" s="1724"/>
      <c r="V36" s="1725"/>
      <c r="W36" s="1700"/>
      <c r="Y36" s="1723" t="s">
        <v>1026</v>
      </c>
      <c r="Z36" s="1710"/>
      <c r="AA36" s="1723"/>
      <c r="AB36" s="1710"/>
      <c r="AC36" s="1723"/>
      <c r="AD36" s="1710"/>
      <c r="AF36" s="1710"/>
      <c r="AG36" s="1710"/>
      <c r="AH36" s="1710"/>
      <c r="AI36" s="1710"/>
      <c r="AK36" s="1710"/>
      <c r="AL36" s="1710"/>
      <c r="AM36" s="1710"/>
      <c r="AN36" s="1710"/>
      <c r="AP36" s="1710"/>
      <c r="AQ36" s="1710"/>
      <c r="AR36" s="1710"/>
      <c r="AS36" s="1710"/>
    </row>
    <row r="37" spans="3:45" s="1676" customFormat="1" ht="20.100000000000001" customHeight="1">
      <c r="C37" s="1693"/>
      <c r="D37" s="1769"/>
      <c r="E37" s="1770"/>
      <c r="G37" s="1771"/>
      <c r="I37" s="1692"/>
      <c r="J37" s="1772"/>
      <c r="K37" s="1769"/>
      <c r="L37" s="1692"/>
      <c r="M37" s="1692"/>
      <c r="N37" s="1713"/>
      <c r="O37" s="1698"/>
      <c r="P37" s="1712" t="s">
        <v>1029</v>
      </c>
      <c r="Q37" s="1711" t="s">
        <v>1012</v>
      </c>
      <c r="R37" s="2849">
        <f>'Cu_Multi Shear'!O25</f>
        <v>50</v>
      </c>
      <c r="S37" s="2849">
        <f>'Cu_Multi Shear'!O92</f>
        <v>100</v>
      </c>
      <c r="T37" s="2849">
        <f>'Cu_Multi Shear'!O159</f>
        <v>200</v>
      </c>
      <c r="U37" s="1700"/>
      <c r="V37" s="1701"/>
      <c r="W37" s="1700"/>
      <c r="Y37" s="1710" t="s">
        <v>1025</v>
      </c>
      <c r="Z37" s="1866">
        <f>R42</f>
        <v>35</v>
      </c>
      <c r="AA37" s="1710" t="s">
        <v>1024</v>
      </c>
      <c r="AB37" s="1719">
        <f>S42</f>
        <v>69</v>
      </c>
      <c r="AC37" s="1710" t="s">
        <v>1024</v>
      </c>
      <c r="AD37" s="1719">
        <f>T42</f>
        <v>137</v>
      </c>
      <c r="AF37" s="1710"/>
      <c r="AG37" s="1710"/>
      <c r="AH37" s="1710"/>
      <c r="AI37" s="1710"/>
      <c r="AK37" s="1710"/>
      <c r="AL37" s="1710"/>
      <c r="AM37" s="1710"/>
      <c r="AN37" s="1710"/>
      <c r="AP37" s="1710"/>
      <c r="AQ37" s="1710"/>
      <c r="AR37" s="1710"/>
      <c r="AS37" s="1710"/>
    </row>
    <row r="38" spans="3:45" s="1676" customFormat="1" ht="20.100000000000001" customHeight="1">
      <c r="C38" s="1693"/>
      <c r="D38" s="1769"/>
      <c r="E38" s="1770"/>
      <c r="G38" s="1771"/>
      <c r="I38" s="1692"/>
      <c r="J38" s="1772"/>
      <c r="K38" s="1769"/>
      <c r="L38" s="1692"/>
      <c r="M38" s="1692"/>
      <c r="N38" s="1709"/>
      <c r="O38" s="1708"/>
      <c r="P38" s="1707" t="s">
        <v>1028</v>
      </c>
      <c r="Q38" s="1706" t="s">
        <v>1027</v>
      </c>
      <c r="R38" s="2004">
        <f>('Cu_Multi Consol'!Q62/'Cu_Multi Shear'!O14)*6000</f>
        <v>492.3296653987091</v>
      </c>
      <c r="S38" s="2004">
        <f>R38</f>
        <v>492.3296653987091</v>
      </c>
      <c r="T38" s="2004">
        <f>S38</f>
        <v>492.3296653987091</v>
      </c>
      <c r="U38" s="1700"/>
      <c r="V38" s="1701"/>
      <c r="W38" s="1700"/>
      <c r="Y38" s="1710" t="s">
        <v>1023</v>
      </c>
      <c r="Z38" s="1867">
        <f>R43</f>
        <v>227.61289241255412</v>
      </c>
      <c r="AA38" s="1710" t="s">
        <v>1022</v>
      </c>
      <c r="AB38" s="1721">
        <f>S43</f>
        <v>363.05498415940929</v>
      </c>
      <c r="AC38" s="1710" t="s">
        <v>1022</v>
      </c>
      <c r="AD38" s="1721">
        <f>T43</f>
        <v>638.83596431855062</v>
      </c>
      <c r="AF38" s="1696">
        <v>0</v>
      </c>
      <c r="AG38" s="1696">
        <f t="shared" ref="AG38:AG60" si="9">AF38*($Z$39/10)</f>
        <v>0</v>
      </c>
      <c r="AH38" s="1696">
        <f t="shared" ref="AH38:AH60" si="10">AG38+$Z$37</f>
        <v>35</v>
      </c>
      <c r="AI38" s="1696">
        <v>0</v>
      </c>
      <c r="AK38" s="1696">
        <v>0</v>
      </c>
      <c r="AL38" s="1696">
        <f t="shared" ref="AL38:AL60" si="11">AK38*($AB$39/10)</f>
        <v>0</v>
      </c>
      <c r="AM38" s="1696">
        <f t="shared" ref="AM38:AM60" si="12">AL38+$AB$37</f>
        <v>69</v>
      </c>
      <c r="AN38" s="1696">
        <v>0</v>
      </c>
      <c r="AP38" s="1696">
        <v>0</v>
      </c>
      <c r="AQ38" s="1696">
        <f t="shared" ref="AQ38:AQ60" si="13">AP38*($AD$39/10)</f>
        <v>0</v>
      </c>
      <c r="AR38" s="1696">
        <f t="shared" ref="AR38:AR60" si="14">AQ38+$AD$37</f>
        <v>137</v>
      </c>
      <c r="AS38" s="1696">
        <v>0</v>
      </c>
    </row>
    <row r="39" spans="3:45" s="1676" customFormat="1" ht="20.100000000000001" customHeight="1">
      <c r="C39" s="1693"/>
      <c r="D39" s="1769"/>
      <c r="E39" s="1770"/>
      <c r="G39" s="1771"/>
      <c r="I39" s="1692"/>
      <c r="J39" s="1772"/>
      <c r="K39" s="1769"/>
      <c r="L39" s="1692"/>
      <c r="M39" s="1692"/>
      <c r="N39" s="1713" t="s">
        <v>981</v>
      </c>
      <c r="O39" s="1716"/>
      <c r="P39" s="1715" t="s">
        <v>573</v>
      </c>
      <c r="Q39" s="1722" t="s">
        <v>1</v>
      </c>
      <c r="R39" s="2004">
        <f>'Cu_Multi Shear'!U29</f>
        <v>6.8820275808421707</v>
      </c>
      <c r="S39" s="2004">
        <f>'Cu_Multi Shear'!U96</f>
        <v>13.751318803429415</v>
      </c>
      <c r="T39" s="2004">
        <f>'Cu_Multi Shear'!U163</f>
        <v>22.119918295307958</v>
      </c>
      <c r="U39" s="1700"/>
      <c r="V39" s="1701"/>
      <c r="W39" s="1700"/>
      <c r="Y39" s="1710" t="s">
        <v>1021</v>
      </c>
      <c r="Z39" s="1866">
        <f>Z38-Z37</f>
        <v>192.61289241255412</v>
      </c>
      <c r="AA39" s="1710" t="s">
        <v>1021</v>
      </c>
      <c r="AB39" s="1719">
        <f>AB38-AB37</f>
        <v>294.05498415940929</v>
      </c>
      <c r="AC39" s="1710" t="s">
        <v>1021</v>
      </c>
      <c r="AD39" s="1719">
        <f>AD38-AD37</f>
        <v>501.83596431855062</v>
      </c>
      <c r="AF39" s="1718">
        <v>0.02</v>
      </c>
      <c r="AG39" s="1696">
        <f t="shared" si="9"/>
        <v>0.38522578482510822</v>
      </c>
      <c r="AH39" s="1696">
        <f t="shared" si="10"/>
        <v>35.38522578482511</v>
      </c>
      <c r="AI39" s="1695">
        <f t="shared" ref="AI39:AI60" si="15">SQRT($Z$40^2-($Z$40-AG39)^2)</f>
        <v>8.6052921938634217</v>
      </c>
      <c r="AK39" s="1718">
        <v>0.02</v>
      </c>
      <c r="AL39" s="1696">
        <f t="shared" si="11"/>
        <v>0.58810996831881857</v>
      </c>
      <c r="AM39" s="1696">
        <f t="shared" si="12"/>
        <v>69.588109968318818</v>
      </c>
      <c r="AN39" s="1695">
        <f t="shared" ref="AN39:AN60" si="16">SQRT($AB$40^2-($AB$40-AL39)^2)</f>
        <v>13.137381553534532</v>
      </c>
      <c r="AP39" s="1718">
        <v>0.02</v>
      </c>
      <c r="AQ39" s="1696">
        <f t="shared" si="13"/>
        <v>1.0036719286371014</v>
      </c>
      <c r="AR39" s="1696">
        <f t="shared" si="14"/>
        <v>138.00367192863709</v>
      </c>
      <c r="AS39" s="1695">
        <f t="shared" ref="AS39:AS60" si="17">SQRT($AD$40^2-($AD$40-AQ39)^2)</f>
        <v>22.420332576184546</v>
      </c>
    </row>
    <row r="40" spans="3:45" s="1676" customFormat="1" ht="20.100000000000001" customHeight="1">
      <c r="C40" s="1693"/>
      <c r="D40" s="1769"/>
      <c r="E40" s="1770"/>
      <c r="G40" s="1771"/>
      <c r="I40" s="1692"/>
      <c r="J40" s="1772"/>
      <c r="K40" s="1769"/>
      <c r="L40" s="1692"/>
      <c r="M40" s="1692"/>
      <c r="N40" s="1713" t="s">
        <v>980</v>
      </c>
      <c r="O40" s="1698"/>
      <c r="P40" s="1712" t="s">
        <v>979</v>
      </c>
      <c r="Q40" s="1711" t="s">
        <v>1012</v>
      </c>
      <c r="R40" s="2004">
        <f>'Cu_Multi Shear'!U30</f>
        <v>192.61289241255412</v>
      </c>
      <c r="S40" s="2004">
        <f>'Cu_Multi Shear'!U97</f>
        <v>294.05498415940929</v>
      </c>
      <c r="T40" s="2004">
        <f>'Cu_Multi Shear'!U164</f>
        <v>501.83596431855062</v>
      </c>
      <c r="U40" s="1700"/>
      <c r="V40" s="1701"/>
      <c r="W40" s="1700"/>
      <c r="Y40" s="1710" t="s">
        <v>1020</v>
      </c>
      <c r="Z40" s="1866">
        <f>(Z38-Z37)/2</f>
        <v>96.306446206277059</v>
      </c>
      <c r="AA40" s="1710" t="s">
        <v>1020</v>
      </c>
      <c r="AB40" s="1719">
        <f>(AB38-AB37)/2</f>
        <v>147.02749207970464</v>
      </c>
      <c r="AC40" s="1710" t="s">
        <v>1020</v>
      </c>
      <c r="AD40" s="1719">
        <f>(AD38-AD37)/2</f>
        <v>250.91798215927531</v>
      </c>
      <c r="AF40" s="1718">
        <v>0.1</v>
      </c>
      <c r="AG40" s="1696">
        <f t="shared" si="9"/>
        <v>1.9261289241255413</v>
      </c>
      <c r="AH40" s="1696">
        <f t="shared" si="10"/>
        <v>36.926128924125543</v>
      </c>
      <c r="AI40" s="1695">
        <f t="shared" si="15"/>
        <v>19.16474081752602</v>
      </c>
      <c r="AK40" s="1718">
        <v>0.1</v>
      </c>
      <c r="AL40" s="1696">
        <f t="shared" si="11"/>
        <v>2.9405498415940929</v>
      </c>
      <c r="AM40" s="1696">
        <f t="shared" si="12"/>
        <v>71.940549841594091</v>
      </c>
      <c r="AN40" s="1695">
        <f t="shared" si="16"/>
        <v>29.258101505719907</v>
      </c>
      <c r="AP40" s="1718">
        <v>0.1</v>
      </c>
      <c r="AQ40" s="1696">
        <f t="shared" si="13"/>
        <v>5.0183596431855069</v>
      </c>
      <c r="AR40" s="1696">
        <f t="shared" si="14"/>
        <v>142.01835964318551</v>
      </c>
      <c r="AS40" s="1695">
        <f t="shared" si="17"/>
        <v>49.932047998524389</v>
      </c>
    </row>
    <row r="41" spans="3:45" s="1676" customFormat="1" ht="20.100000000000001" customHeight="1">
      <c r="C41" s="1693"/>
      <c r="D41" s="1769"/>
      <c r="E41" s="1771"/>
      <c r="G41" s="1771"/>
      <c r="I41" s="1769"/>
      <c r="J41" s="1772"/>
      <c r="K41" s="1769"/>
      <c r="L41" s="1692"/>
      <c r="M41" s="1771"/>
      <c r="N41" s="1713"/>
      <c r="O41" s="1698"/>
      <c r="P41" s="1712" t="s">
        <v>978</v>
      </c>
      <c r="Q41" s="1711" t="s">
        <v>1012</v>
      </c>
      <c r="R41" s="2005">
        <f>'Cu_Multi Shear'!U31</f>
        <v>205</v>
      </c>
      <c r="S41" s="2004">
        <f>'Cu_Multi Shear'!U98</f>
        <v>221</v>
      </c>
      <c r="T41" s="2004">
        <f>'Cu_Multi Shear'!U165</f>
        <v>253</v>
      </c>
      <c r="U41" s="1700"/>
      <c r="V41" s="1701"/>
      <c r="W41" s="1700"/>
      <c r="Y41" s="1710" t="s">
        <v>1019</v>
      </c>
      <c r="Z41" s="1866">
        <f>(Z39+Z37)/2</f>
        <v>113.80644620627706</v>
      </c>
      <c r="AA41" s="1710" t="s">
        <v>1019</v>
      </c>
      <c r="AB41" s="1719">
        <f>(AB39+AB37)/2</f>
        <v>181.52749207970464</v>
      </c>
      <c r="AC41" s="1710" t="s">
        <v>1019</v>
      </c>
      <c r="AD41" s="1719">
        <f>(AD38+AD37)/2</f>
        <v>387.91798215927531</v>
      </c>
      <c r="AF41" s="1718">
        <v>0.15</v>
      </c>
      <c r="AG41" s="1696">
        <f t="shared" si="9"/>
        <v>2.8891933861883117</v>
      </c>
      <c r="AH41" s="1696">
        <f t="shared" si="10"/>
        <v>37.88919338618831</v>
      </c>
      <c r="AI41" s="1695">
        <f t="shared" si="15"/>
        <v>23.412570478914933</v>
      </c>
      <c r="AK41" s="1718">
        <v>0.15</v>
      </c>
      <c r="AL41" s="1696">
        <f t="shared" si="11"/>
        <v>4.4108247623911394</v>
      </c>
      <c r="AM41" s="1696">
        <f t="shared" si="12"/>
        <v>73.410824762391144</v>
      </c>
      <c r="AN41" s="1695">
        <f t="shared" si="16"/>
        <v>35.743106056278002</v>
      </c>
      <c r="AP41" s="1718">
        <v>0.15</v>
      </c>
      <c r="AQ41" s="1696">
        <f t="shared" si="13"/>
        <v>7.5275394647782594</v>
      </c>
      <c r="AR41" s="1696">
        <f t="shared" si="14"/>
        <v>144.52753946477827</v>
      </c>
      <c r="AS41" s="1695">
        <f t="shared" si="17"/>
        <v>60.999394881090033</v>
      </c>
    </row>
    <row r="42" spans="3:45" s="1676" customFormat="1" ht="20.100000000000001" customHeight="1">
      <c r="C42" s="1693"/>
      <c r="D42" s="1769"/>
      <c r="E42" s="1771"/>
      <c r="G42" s="1771"/>
      <c r="I42" s="1769"/>
      <c r="J42" s="1772"/>
      <c r="K42" s="1769"/>
      <c r="L42" s="1692"/>
      <c r="M42" s="1771"/>
      <c r="N42" s="1713"/>
      <c r="O42" s="1698"/>
      <c r="P42" s="1712" t="s">
        <v>977</v>
      </c>
      <c r="Q42" s="1711" t="s">
        <v>1012</v>
      </c>
      <c r="R42" s="2005">
        <f>'Cu_Multi Shear'!U32</f>
        <v>35</v>
      </c>
      <c r="S42" s="2004">
        <f>'Cu_Multi Shear'!U99</f>
        <v>69</v>
      </c>
      <c r="T42" s="2004">
        <f>'Cu_Multi Shear'!U166</f>
        <v>137</v>
      </c>
      <c r="U42" s="1700"/>
      <c r="V42" s="1701"/>
      <c r="W42" s="1700"/>
      <c r="Y42" s="1710"/>
      <c r="Z42" s="1710"/>
      <c r="AA42" s="1710"/>
      <c r="AB42" s="1710"/>
      <c r="AC42" s="1710"/>
      <c r="AD42" s="1710"/>
      <c r="AF42" s="1695">
        <v>0.25</v>
      </c>
      <c r="AG42" s="1696">
        <f t="shared" si="9"/>
        <v>4.8153223103138529</v>
      </c>
      <c r="AH42" s="1696">
        <f t="shared" si="10"/>
        <v>39.815322310313853</v>
      </c>
      <c r="AI42" s="1695">
        <f t="shared" si="15"/>
        <v>30.071678189553211</v>
      </c>
      <c r="AK42" s="1695">
        <v>0.25</v>
      </c>
      <c r="AL42" s="1696">
        <f t="shared" si="11"/>
        <v>7.3513746039852323</v>
      </c>
      <c r="AM42" s="1696">
        <f t="shared" si="12"/>
        <v>76.351374603985235</v>
      </c>
      <c r="AN42" s="1695">
        <f t="shared" si="16"/>
        <v>45.909319687364587</v>
      </c>
      <c r="AP42" s="1695">
        <v>0.25</v>
      </c>
      <c r="AQ42" s="1696">
        <f t="shared" si="13"/>
        <v>12.545899107963766</v>
      </c>
      <c r="AR42" s="1696">
        <f t="shared" si="14"/>
        <v>149.54589910796378</v>
      </c>
      <c r="AS42" s="1695">
        <f t="shared" si="17"/>
        <v>78.349114817341999</v>
      </c>
    </row>
    <row r="43" spans="3:45" s="1676" customFormat="1" ht="20.100000000000001" customHeight="1">
      <c r="C43" s="1693"/>
      <c r="D43" s="1769"/>
      <c r="E43" s="1771"/>
      <c r="G43" s="1771"/>
      <c r="I43" s="1769"/>
      <c r="J43" s="1772"/>
      <c r="K43" s="1769"/>
      <c r="L43" s="1692"/>
      <c r="M43" s="1771"/>
      <c r="N43" s="1709"/>
      <c r="O43" s="1708"/>
      <c r="P43" s="1707" t="s">
        <v>976</v>
      </c>
      <c r="Q43" s="1720" t="s">
        <v>1012</v>
      </c>
      <c r="R43" s="2005">
        <f>'Cu_Multi Shear'!U33</f>
        <v>227.61289241255412</v>
      </c>
      <c r="S43" s="2004">
        <f>'Cu_Multi Shear'!U100</f>
        <v>363.05498415940929</v>
      </c>
      <c r="T43" s="2004">
        <f>'Cu_Multi Shear'!U167</f>
        <v>638.83596431855062</v>
      </c>
      <c r="U43" s="1700"/>
      <c r="V43" s="1701"/>
      <c r="W43" s="1700"/>
      <c r="Y43" s="1710"/>
      <c r="Z43" s="1710"/>
      <c r="AA43" s="1710"/>
      <c r="AB43" s="1710"/>
      <c r="AC43" s="1710"/>
      <c r="AD43" s="1710"/>
      <c r="AF43" s="1695">
        <v>0.5</v>
      </c>
      <c r="AG43" s="1696">
        <f t="shared" si="9"/>
        <v>9.6306446206277059</v>
      </c>
      <c r="AH43" s="1696">
        <f t="shared" si="10"/>
        <v>44.630644620627706</v>
      </c>
      <c r="AI43" s="1695">
        <f t="shared" si="15"/>
        <v>41.979006662469786</v>
      </c>
      <c r="AK43" s="1695">
        <v>0.5</v>
      </c>
      <c r="AL43" s="1696">
        <f t="shared" si="11"/>
        <v>14.702749207970465</v>
      </c>
      <c r="AM43" s="1696">
        <f t="shared" si="12"/>
        <v>83.70274920797047</v>
      </c>
      <c r="AN43" s="1695">
        <f t="shared" si="16"/>
        <v>64.08779798976596</v>
      </c>
      <c r="AP43" s="1695">
        <v>0.5</v>
      </c>
      <c r="AQ43" s="1696">
        <f t="shared" si="13"/>
        <v>25.091798215927533</v>
      </c>
      <c r="AR43" s="1696">
        <f t="shared" si="14"/>
        <v>162.09179821592753</v>
      </c>
      <c r="AS43" s="1695">
        <f t="shared" si="17"/>
        <v>109.37261273494225</v>
      </c>
    </row>
    <row r="44" spans="3:45" s="1676" customFormat="1" ht="20.100000000000001" customHeight="1">
      <c r="C44" s="1693"/>
      <c r="D44" s="1769"/>
      <c r="E44" s="1771"/>
      <c r="G44" s="1771"/>
      <c r="I44" s="1769"/>
      <c r="J44" s="1772"/>
      <c r="K44" s="1769"/>
      <c r="L44" s="1692"/>
      <c r="M44" s="1771"/>
      <c r="N44" s="1717" t="s">
        <v>966</v>
      </c>
      <c r="O44" s="1716"/>
      <c r="P44" s="1715" t="s">
        <v>1018</v>
      </c>
      <c r="Q44" s="1714" t="s">
        <v>1017</v>
      </c>
      <c r="R44" s="2005">
        <f>'Cu_Multi Consol'!U55</f>
        <v>4.1857668262226841</v>
      </c>
      <c r="S44" s="2004">
        <f>'Cu_Multi Consol'!U119</f>
        <v>6.4360350719999992</v>
      </c>
      <c r="T44" s="2004">
        <f>'Cu_Multi Consol'!U183</f>
        <v>2.8604600320000002</v>
      </c>
      <c r="U44" s="1700"/>
      <c r="V44" s="1701"/>
      <c r="W44" s="1700"/>
      <c r="AF44" s="1695">
        <v>0.75</v>
      </c>
      <c r="AG44" s="1696">
        <f t="shared" si="9"/>
        <v>14.445966930941559</v>
      </c>
      <c r="AH44" s="1696">
        <f t="shared" si="10"/>
        <v>49.445966930941559</v>
      </c>
      <c r="AI44" s="1695">
        <f t="shared" si="15"/>
        <v>50.732568569853662</v>
      </c>
      <c r="AK44" s="1695">
        <v>0.75</v>
      </c>
      <c r="AL44" s="1696">
        <f t="shared" si="11"/>
        <v>22.054123811955698</v>
      </c>
      <c r="AM44" s="1696">
        <f t="shared" si="12"/>
        <v>91.054123811955691</v>
      </c>
      <c r="AN44" s="1695">
        <f t="shared" si="16"/>
        <v>77.451537435103333</v>
      </c>
      <c r="AP44" s="1695">
        <v>0.75</v>
      </c>
      <c r="AQ44" s="1696">
        <f t="shared" si="13"/>
        <v>37.637697323891302</v>
      </c>
      <c r="AR44" s="1696">
        <f t="shared" si="14"/>
        <v>174.6376973238913</v>
      </c>
      <c r="AS44" s="1695">
        <f t="shared" si="17"/>
        <v>132.17924901973029</v>
      </c>
    </row>
    <row r="45" spans="3:45" s="1676" customFormat="1" ht="20.100000000000001" customHeight="1">
      <c r="C45" s="1693"/>
      <c r="D45" s="1769"/>
      <c r="E45" s="1771"/>
      <c r="G45" s="1771"/>
      <c r="I45" s="1769"/>
      <c r="J45" s="1772"/>
      <c r="K45" s="1769"/>
      <c r="L45" s="1692"/>
      <c r="M45" s="1771"/>
      <c r="N45" s="1713" t="s">
        <v>1016</v>
      </c>
      <c r="O45" s="1698"/>
      <c r="P45" s="1712" t="s">
        <v>1015</v>
      </c>
      <c r="Q45" s="1711" t="s">
        <v>1335</v>
      </c>
      <c r="R45" s="2836">
        <f>'Cu_Multi Consol'!U58</f>
        <v>3.4805717252929443E-4</v>
      </c>
      <c r="S45" s="2837">
        <f>'Cu_Multi Consol'!U122</f>
        <v>1.972323977665997E-4</v>
      </c>
      <c r="T45" s="2837">
        <f>'Cu_Multi Consol'!U186</f>
        <v>1.2762096326074125E-4</v>
      </c>
      <c r="U45" s="1700"/>
      <c r="V45" s="1701"/>
      <c r="W45" s="1700"/>
      <c r="Z45" s="1705"/>
      <c r="AB45" s="1705"/>
      <c r="AD45" s="1705"/>
      <c r="AF45" s="1695">
        <v>1</v>
      </c>
      <c r="AG45" s="1696">
        <f t="shared" si="9"/>
        <v>19.261289241255412</v>
      </c>
      <c r="AH45" s="1696">
        <f t="shared" si="10"/>
        <v>54.261289241255412</v>
      </c>
      <c r="AI45" s="1695">
        <f t="shared" si="15"/>
        <v>57.783867723766242</v>
      </c>
      <c r="AK45" s="1695">
        <v>1</v>
      </c>
      <c r="AL45" s="1696">
        <f t="shared" si="11"/>
        <v>29.405498415940929</v>
      </c>
      <c r="AM45" s="1696">
        <f t="shared" si="12"/>
        <v>98.405498415940926</v>
      </c>
      <c r="AN45" s="1695">
        <f t="shared" si="16"/>
        <v>88.216495247822792</v>
      </c>
      <c r="AP45" s="1695">
        <v>1</v>
      </c>
      <c r="AQ45" s="1696">
        <f t="shared" si="13"/>
        <v>50.183596431855065</v>
      </c>
      <c r="AR45" s="1696">
        <f t="shared" si="14"/>
        <v>187.18359643185505</v>
      </c>
      <c r="AS45" s="1695">
        <f t="shared" si="17"/>
        <v>150.55078929556515</v>
      </c>
    </row>
    <row r="46" spans="3:45" s="1676" customFormat="1" ht="20.100000000000001" customHeight="1">
      <c r="C46" s="1693"/>
      <c r="D46" s="1769"/>
      <c r="E46" s="1771"/>
      <c r="G46" s="1771"/>
      <c r="I46" s="1769"/>
      <c r="J46" s="1772"/>
      <c r="K46" s="1769"/>
      <c r="L46" s="1692"/>
      <c r="M46" s="1771"/>
      <c r="N46" s="1709"/>
      <c r="O46" s="1708"/>
      <c r="P46" s="1707" t="s">
        <v>518</v>
      </c>
      <c r="Q46" s="1706" t="s">
        <v>1320</v>
      </c>
      <c r="R46" s="2838">
        <f>'Cu_Multi Consol'!U60</f>
        <v>1.4292053292403484E-2</v>
      </c>
      <c r="S46" s="2838">
        <f>'Cu_Multi Consol'!U124</f>
        <v>1.2452761314026407E-2</v>
      </c>
      <c r="T46" s="2838">
        <f>'Cu_Multi Consol'!U188</f>
        <v>3.5811862602428963E-3</v>
      </c>
      <c r="U46" s="1700"/>
      <c r="V46" s="1701"/>
      <c r="W46" s="1700"/>
      <c r="Z46" s="1697"/>
      <c r="AB46" s="1697"/>
      <c r="AD46" s="1697"/>
      <c r="AF46" s="1695">
        <v>2</v>
      </c>
      <c r="AG46" s="1696">
        <f t="shared" si="9"/>
        <v>38.522578482510824</v>
      </c>
      <c r="AH46" s="1696">
        <f t="shared" si="10"/>
        <v>73.522578482510824</v>
      </c>
      <c r="AI46" s="1695">
        <f t="shared" si="15"/>
        <v>77.045156965021647</v>
      </c>
      <c r="AK46" s="1695">
        <v>2</v>
      </c>
      <c r="AL46" s="1696">
        <f t="shared" si="11"/>
        <v>58.810996831881859</v>
      </c>
      <c r="AM46" s="1696">
        <f t="shared" si="12"/>
        <v>127.81099683188185</v>
      </c>
      <c r="AN46" s="1695">
        <f t="shared" si="16"/>
        <v>117.62199366376372</v>
      </c>
      <c r="AP46" s="1695">
        <v>2</v>
      </c>
      <c r="AQ46" s="1696">
        <f t="shared" si="13"/>
        <v>100.36719286371013</v>
      </c>
      <c r="AR46" s="1696">
        <f t="shared" si="14"/>
        <v>237.36719286371013</v>
      </c>
      <c r="AS46" s="1695">
        <f t="shared" si="17"/>
        <v>200.73438572742026</v>
      </c>
    </row>
    <row r="47" spans="3:45" s="1676" customFormat="1" ht="20.100000000000001" customHeight="1">
      <c r="C47" s="1693"/>
      <c r="D47" s="1769"/>
      <c r="E47" s="1771"/>
      <c r="G47" s="1771"/>
      <c r="I47" s="1769"/>
      <c r="J47" s="1772"/>
      <c r="K47" s="1769"/>
      <c r="L47" s="1692"/>
      <c r="M47" s="1771"/>
      <c r="N47" s="1773" t="s">
        <v>1014</v>
      </c>
      <c r="O47" s="1700"/>
      <c r="P47" s="1700"/>
      <c r="U47" s="1700"/>
      <c r="V47" s="1701"/>
      <c r="W47" s="1700"/>
      <c r="Z47" s="1697"/>
      <c r="AB47" s="1697"/>
      <c r="AD47" s="1697"/>
      <c r="AF47" s="1695">
        <v>3</v>
      </c>
      <c r="AG47" s="1696">
        <f t="shared" si="9"/>
        <v>57.783867723766235</v>
      </c>
      <c r="AH47" s="1696">
        <f t="shared" si="10"/>
        <v>92.783867723766235</v>
      </c>
      <c r="AI47" s="1695">
        <f t="shared" si="15"/>
        <v>88.266315930491473</v>
      </c>
      <c r="AK47" s="1695">
        <v>3</v>
      </c>
      <c r="AL47" s="1696">
        <f t="shared" si="11"/>
        <v>88.216495247822792</v>
      </c>
      <c r="AM47" s="1696">
        <f t="shared" si="12"/>
        <v>157.21649524782279</v>
      </c>
      <c r="AN47" s="1695">
        <f t="shared" si="16"/>
        <v>134.75292233895337</v>
      </c>
      <c r="AP47" s="1695">
        <v>3</v>
      </c>
      <c r="AQ47" s="1696">
        <f t="shared" si="13"/>
        <v>150.55078929556521</v>
      </c>
      <c r="AR47" s="1696">
        <f t="shared" si="14"/>
        <v>287.55078929556521</v>
      </c>
      <c r="AS47" s="1695">
        <f t="shared" si="17"/>
        <v>229.97012929409163</v>
      </c>
    </row>
    <row r="48" spans="3:45" s="1676" customFormat="1" ht="20.100000000000001" customHeight="1">
      <c r="C48" s="1693"/>
      <c r="D48" s="1769"/>
      <c r="E48" s="1771"/>
      <c r="G48" s="1771"/>
      <c r="I48" s="1769"/>
      <c r="J48" s="1772"/>
      <c r="K48" s="1769"/>
      <c r="L48" s="1692"/>
      <c r="M48" s="1771"/>
      <c r="N48" s="1806" t="s">
        <v>163</v>
      </c>
      <c r="O48" s="1704"/>
      <c r="P48" s="1642" t="s">
        <v>908</v>
      </c>
      <c r="Q48" s="1868">
        <f>J81</f>
        <v>23.163921148917751</v>
      </c>
      <c r="R48" s="1869"/>
      <c r="S48" s="1870"/>
      <c r="U48" s="1700"/>
      <c r="V48" s="1701"/>
      <c r="W48" s="1700"/>
      <c r="Z48" s="1697"/>
      <c r="AB48" s="1697"/>
      <c r="AD48" s="1697"/>
      <c r="AF48" s="1695">
        <v>4</v>
      </c>
      <c r="AG48" s="1696">
        <f t="shared" si="9"/>
        <v>77.045156965021647</v>
      </c>
      <c r="AH48" s="1696">
        <f t="shared" si="10"/>
        <v>112.04515696502165</v>
      </c>
      <c r="AI48" s="1695">
        <f t="shared" si="15"/>
        <v>94.360660858470226</v>
      </c>
      <c r="AK48" s="1695">
        <v>4</v>
      </c>
      <c r="AL48" s="1696">
        <f t="shared" si="11"/>
        <v>117.62199366376372</v>
      </c>
      <c r="AM48" s="1696">
        <f t="shared" si="12"/>
        <v>186.6219936637637</v>
      </c>
      <c r="AN48" s="1695">
        <f t="shared" si="16"/>
        <v>144.05693350254859</v>
      </c>
      <c r="AP48" s="1695">
        <v>4</v>
      </c>
      <c r="AQ48" s="1696">
        <f t="shared" si="13"/>
        <v>200.73438572742026</v>
      </c>
      <c r="AR48" s="1696">
        <f t="shared" si="14"/>
        <v>337.73438572742026</v>
      </c>
      <c r="AS48" s="1695">
        <f t="shared" si="17"/>
        <v>245.84840943159895</v>
      </c>
    </row>
    <row r="49" spans="3:45" s="1676" customFormat="1" ht="20.100000000000001" customHeight="1">
      <c r="C49" s="1693"/>
      <c r="D49" s="1769"/>
      <c r="E49" s="1771"/>
      <c r="G49" s="1771"/>
      <c r="I49" s="1769"/>
      <c r="J49" s="1772"/>
      <c r="K49" s="1769"/>
      <c r="L49" s="1692"/>
      <c r="M49" s="1771"/>
      <c r="N49" s="1807" t="s">
        <v>354</v>
      </c>
      <c r="O49" s="1703"/>
      <c r="P49" s="1809" t="s">
        <v>188</v>
      </c>
      <c r="Q49" s="1871">
        <f>P81</f>
        <v>27.402041074733912</v>
      </c>
      <c r="R49" s="1872"/>
      <c r="S49" s="1873"/>
      <c r="U49" s="1700"/>
      <c r="V49" s="1701"/>
      <c r="W49" s="1700"/>
      <c r="Z49" s="1667"/>
      <c r="AB49" s="1697"/>
      <c r="AD49" s="1697"/>
      <c r="AF49" s="1695">
        <v>5</v>
      </c>
      <c r="AG49" s="1696">
        <f t="shared" si="9"/>
        <v>96.306446206277059</v>
      </c>
      <c r="AH49" s="1696">
        <f t="shared" si="10"/>
        <v>131.30644620627706</v>
      </c>
      <c r="AI49" s="1695">
        <f t="shared" si="15"/>
        <v>96.306446206277059</v>
      </c>
      <c r="AK49" s="1695">
        <v>5</v>
      </c>
      <c r="AL49" s="1696">
        <f t="shared" si="11"/>
        <v>147.02749207970464</v>
      </c>
      <c r="AM49" s="1696">
        <f t="shared" si="12"/>
        <v>216.02749207970464</v>
      </c>
      <c r="AN49" s="1695">
        <f t="shared" si="16"/>
        <v>147.02749207970464</v>
      </c>
      <c r="AP49" s="1695">
        <v>5</v>
      </c>
      <c r="AQ49" s="1696">
        <f t="shared" si="13"/>
        <v>250.91798215927531</v>
      </c>
      <c r="AR49" s="1696">
        <f t="shared" si="14"/>
        <v>387.91798215927531</v>
      </c>
      <c r="AS49" s="1695">
        <f t="shared" si="17"/>
        <v>250.91798215927531</v>
      </c>
    </row>
    <row r="50" spans="3:45" s="1676" customFormat="1" ht="20.100000000000001" customHeight="1">
      <c r="C50" s="1693"/>
      <c r="D50" s="1769"/>
      <c r="E50" s="1771"/>
      <c r="G50" s="1771"/>
      <c r="I50" s="1769"/>
      <c r="J50" s="1772"/>
      <c r="K50" s="1769"/>
      <c r="L50" s="1692"/>
      <c r="M50" s="1771"/>
      <c r="N50" s="1807" t="s">
        <v>1013</v>
      </c>
      <c r="O50" s="1703"/>
      <c r="P50" s="1637" t="s">
        <v>908</v>
      </c>
      <c r="Q50" s="1871">
        <f>J84</f>
        <v>25.377720038568341</v>
      </c>
      <c r="R50" s="1872"/>
      <c r="S50" s="1873"/>
      <c r="U50" s="1700"/>
      <c r="V50" s="1701"/>
      <c r="W50" s="1700"/>
      <c r="Z50" s="1697"/>
      <c r="AB50" s="1697"/>
      <c r="AD50" s="1697"/>
      <c r="AF50" s="1695">
        <v>6</v>
      </c>
      <c r="AG50" s="1696">
        <f t="shared" si="9"/>
        <v>115.56773544753247</v>
      </c>
      <c r="AH50" s="1696">
        <f t="shared" si="10"/>
        <v>150.56773544753247</v>
      </c>
      <c r="AI50" s="1695">
        <f t="shared" si="15"/>
        <v>94.360660858470226</v>
      </c>
      <c r="AK50" s="1695">
        <v>6</v>
      </c>
      <c r="AL50" s="1696">
        <f t="shared" si="11"/>
        <v>176.43299049564558</v>
      </c>
      <c r="AM50" s="1696">
        <f t="shared" si="12"/>
        <v>245.43299049564558</v>
      </c>
      <c r="AN50" s="1695">
        <f t="shared" si="16"/>
        <v>144.05693350254859</v>
      </c>
      <c r="AP50" s="1695">
        <v>6</v>
      </c>
      <c r="AQ50" s="1696">
        <f t="shared" si="13"/>
        <v>301.10157859113042</v>
      </c>
      <c r="AR50" s="1696">
        <f t="shared" si="14"/>
        <v>438.10157859113042</v>
      </c>
      <c r="AS50" s="1695">
        <f t="shared" si="17"/>
        <v>245.84840943159892</v>
      </c>
    </row>
    <row r="51" spans="3:45" s="1676" customFormat="1" ht="20.100000000000001" customHeight="1">
      <c r="C51" s="1693"/>
      <c r="D51" s="1769"/>
      <c r="E51" s="1771"/>
      <c r="G51" s="1771"/>
      <c r="I51" s="1769"/>
      <c r="J51" s="1772"/>
      <c r="K51" s="1769"/>
      <c r="L51" s="1692"/>
      <c r="M51" s="1771"/>
      <c r="N51" s="1808" t="s">
        <v>1065</v>
      </c>
      <c r="O51" s="1702"/>
      <c r="P51" s="1810" t="s">
        <v>188</v>
      </c>
      <c r="Q51" s="1874">
        <f>P84</f>
        <v>31.157704084074311</v>
      </c>
      <c r="R51" s="1875"/>
      <c r="S51" s="1876"/>
      <c r="U51" s="1700"/>
      <c r="V51" s="1701"/>
      <c r="W51" s="1700"/>
      <c r="Z51" s="1697"/>
      <c r="AB51" s="1697"/>
      <c r="AD51" s="1697"/>
      <c r="AF51" s="1695">
        <v>7</v>
      </c>
      <c r="AG51" s="1696">
        <f t="shared" si="9"/>
        <v>134.82902468878788</v>
      </c>
      <c r="AH51" s="1696">
        <f t="shared" si="10"/>
        <v>169.82902468878788</v>
      </c>
      <c r="AI51" s="1695">
        <f t="shared" si="15"/>
        <v>88.266315930491473</v>
      </c>
      <c r="AK51" s="1695">
        <v>7</v>
      </c>
      <c r="AL51" s="1696">
        <f t="shared" si="11"/>
        <v>205.8384889115865</v>
      </c>
      <c r="AM51" s="1696">
        <f t="shared" si="12"/>
        <v>274.83848891158652</v>
      </c>
      <c r="AN51" s="1695">
        <f t="shared" si="16"/>
        <v>134.75292233895337</v>
      </c>
      <c r="AP51" s="1695">
        <v>7</v>
      </c>
      <c r="AQ51" s="1696">
        <f t="shared" si="13"/>
        <v>351.28517502298547</v>
      </c>
      <c r="AR51" s="1696">
        <f t="shared" si="14"/>
        <v>488.28517502298547</v>
      </c>
      <c r="AS51" s="1695">
        <f t="shared" si="17"/>
        <v>229.97012929409161</v>
      </c>
    </row>
    <row r="52" spans="3:45" s="1676" customFormat="1" ht="20.100000000000001" customHeight="1">
      <c r="C52" s="1693"/>
      <c r="D52" s="1769"/>
      <c r="E52" s="1771"/>
      <c r="G52" s="1771"/>
      <c r="I52" s="1769"/>
      <c r="J52" s="1772"/>
      <c r="K52" s="1769"/>
      <c r="L52" s="1692"/>
      <c r="M52" s="1771"/>
      <c r="N52" s="4579" t="s">
        <v>1011</v>
      </c>
      <c r="O52" s="4579"/>
      <c r="P52" s="4579"/>
      <c r="Q52" s="4579"/>
      <c r="R52" s="4579"/>
      <c r="S52" s="4579"/>
      <c r="U52" s="1700"/>
      <c r="V52" s="1701"/>
      <c r="W52" s="1700"/>
      <c r="Z52" s="1697"/>
      <c r="AB52" s="1697"/>
      <c r="AD52" s="1697"/>
      <c r="AF52" s="1695">
        <v>8</v>
      </c>
      <c r="AG52" s="1696">
        <f t="shared" si="9"/>
        <v>154.09031393004329</v>
      </c>
      <c r="AH52" s="1696">
        <f t="shared" si="10"/>
        <v>189.09031393004329</v>
      </c>
      <c r="AI52" s="1695">
        <f t="shared" si="15"/>
        <v>77.045156965021647</v>
      </c>
      <c r="AK52" s="1695">
        <v>8</v>
      </c>
      <c r="AL52" s="1696">
        <f t="shared" si="11"/>
        <v>235.24398732752744</v>
      </c>
      <c r="AM52" s="1696">
        <f t="shared" si="12"/>
        <v>304.24398732752741</v>
      </c>
      <c r="AN52" s="1695">
        <f t="shared" si="16"/>
        <v>117.62199366376372</v>
      </c>
      <c r="AP52" s="1695">
        <v>8</v>
      </c>
      <c r="AQ52" s="1696">
        <f t="shared" si="13"/>
        <v>401.46877145484052</v>
      </c>
      <c r="AR52" s="1696">
        <f t="shared" si="14"/>
        <v>538.46877145484052</v>
      </c>
      <c r="AS52" s="1695">
        <f t="shared" si="17"/>
        <v>200.73438572742023</v>
      </c>
    </row>
    <row r="53" spans="3:45" s="1676" customFormat="1" ht="20.100000000000001" customHeight="1">
      <c r="C53" s="1693"/>
      <c r="D53" s="1769"/>
      <c r="E53" s="1771"/>
      <c r="G53" s="1771"/>
      <c r="I53" s="1769"/>
      <c r="J53" s="1772"/>
      <c r="K53" s="1769"/>
      <c r="L53" s="1692"/>
      <c r="M53" s="1771"/>
      <c r="U53" s="1700"/>
      <c r="V53" s="1701"/>
      <c r="W53" s="1700"/>
      <c r="Z53" s="1697"/>
      <c r="AB53" s="1697"/>
      <c r="AD53" s="1697"/>
      <c r="AF53" s="1695">
        <v>9</v>
      </c>
      <c r="AG53" s="1696">
        <f t="shared" si="9"/>
        <v>173.35160317129871</v>
      </c>
      <c r="AH53" s="1696">
        <f t="shared" si="10"/>
        <v>208.35160317129871</v>
      </c>
      <c r="AI53" s="1695">
        <f t="shared" si="15"/>
        <v>57.783867723766242</v>
      </c>
      <c r="AK53" s="1695">
        <v>9</v>
      </c>
      <c r="AL53" s="1696">
        <f t="shared" si="11"/>
        <v>264.64948574346835</v>
      </c>
      <c r="AM53" s="1696">
        <f t="shared" si="12"/>
        <v>333.64948574346835</v>
      </c>
      <c r="AN53" s="1695">
        <f t="shared" si="16"/>
        <v>88.216495247822806</v>
      </c>
      <c r="AP53" s="1695">
        <v>9</v>
      </c>
      <c r="AQ53" s="1696">
        <f t="shared" si="13"/>
        <v>451.65236788669557</v>
      </c>
      <c r="AR53" s="1696">
        <f t="shared" si="14"/>
        <v>588.65236788669563</v>
      </c>
      <c r="AS53" s="1695">
        <f t="shared" si="17"/>
        <v>150.55078929556515</v>
      </c>
    </row>
    <row r="54" spans="3:45" s="1676" customFormat="1" ht="20.100000000000001" customHeight="1">
      <c r="C54" s="1693"/>
      <c r="D54" s="1769"/>
      <c r="E54" s="1771"/>
      <c r="G54" s="1771"/>
      <c r="I54" s="1769"/>
      <c r="J54" s="1772"/>
      <c r="K54" s="1769"/>
      <c r="L54" s="1692"/>
      <c r="M54" s="1771"/>
      <c r="U54" s="1700"/>
      <c r="V54" s="1701"/>
      <c r="Z54" s="1697"/>
      <c r="AB54" s="1697"/>
      <c r="AD54" s="1697"/>
      <c r="AF54" s="1695">
        <v>9.25</v>
      </c>
      <c r="AG54" s="1696">
        <f t="shared" si="9"/>
        <v>178.16692548161257</v>
      </c>
      <c r="AH54" s="1696">
        <f t="shared" si="10"/>
        <v>213.16692548161257</v>
      </c>
      <c r="AI54" s="1695">
        <f t="shared" si="15"/>
        <v>50.732568569853662</v>
      </c>
      <c r="AK54" s="1695">
        <v>9.25</v>
      </c>
      <c r="AL54" s="1696">
        <f t="shared" si="11"/>
        <v>272.00086034745362</v>
      </c>
      <c r="AM54" s="1696">
        <f t="shared" si="12"/>
        <v>341.00086034745362</v>
      </c>
      <c r="AN54" s="1695">
        <f t="shared" si="16"/>
        <v>77.45153743510329</v>
      </c>
      <c r="AP54" s="1695">
        <v>9.25</v>
      </c>
      <c r="AQ54" s="1696">
        <f t="shared" si="13"/>
        <v>464.19826699465938</v>
      </c>
      <c r="AR54" s="1696">
        <f t="shared" si="14"/>
        <v>601.19826699465943</v>
      </c>
      <c r="AS54" s="1695">
        <f t="shared" si="17"/>
        <v>132.17924901973018</v>
      </c>
    </row>
    <row r="55" spans="3:45" s="1676" customFormat="1" ht="20.100000000000001" customHeight="1">
      <c r="C55" s="1693"/>
      <c r="D55" s="1769"/>
      <c r="E55" s="1771"/>
      <c r="G55" s="1771"/>
      <c r="I55" s="1769"/>
      <c r="J55" s="1772"/>
      <c r="K55" s="1769"/>
      <c r="L55" s="1692"/>
      <c r="M55" s="1771"/>
      <c r="U55" s="1700"/>
      <c r="V55" s="1701"/>
      <c r="Z55" s="1697"/>
      <c r="AB55" s="1697"/>
      <c r="AD55" s="1697"/>
      <c r="AF55" s="1695">
        <v>9.5</v>
      </c>
      <c r="AG55" s="1696">
        <f t="shared" si="9"/>
        <v>182.9822477919264</v>
      </c>
      <c r="AH55" s="1696">
        <f t="shared" si="10"/>
        <v>217.9822477919264</v>
      </c>
      <c r="AI55" s="1695">
        <f t="shared" si="15"/>
        <v>41.979006662469814</v>
      </c>
      <c r="AK55" s="1695">
        <v>9.5</v>
      </c>
      <c r="AL55" s="1696">
        <f t="shared" si="11"/>
        <v>279.35223495143885</v>
      </c>
      <c r="AM55" s="1696">
        <f t="shared" si="12"/>
        <v>348.35223495143885</v>
      </c>
      <c r="AN55" s="1695">
        <f t="shared" si="16"/>
        <v>64.087797989765903</v>
      </c>
      <c r="AP55" s="1695">
        <v>9.5</v>
      </c>
      <c r="AQ55" s="1696">
        <f t="shared" si="13"/>
        <v>476.74416610262313</v>
      </c>
      <c r="AR55" s="1696">
        <f t="shared" si="14"/>
        <v>613.74416610262313</v>
      </c>
      <c r="AS55" s="1695">
        <f t="shared" si="17"/>
        <v>109.37261273494222</v>
      </c>
    </row>
    <row r="56" spans="3:45" s="1676" customFormat="1" ht="20.100000000000001" customHeight="1">
      <c r="C56" s="1693"/>
      <c r="D56" s="1769"/>
      <c r="E56" s="1771"/>
      <c r="G56" s="1771"/>
      <c r="I56" s="1769"/>
      <c r="J56" s="1772"/>
      <c r="K56" s="1769"/>
      <c r="L56" s="1692"/>
      <c r="M56" s="1771"/>
      <c r="N56" s="1775"/>
      <c r="O56" s="1700"/>
      <c r="P56" s="1700"/>
      <c r="V56" s="1698"/>
      <c r="Z56" s="1697"/>
      <c r="AB56" s="1697"/>
      <c r="AD56" s="1697"/>
      <c r="AF56" s="1695">
        <v>9.75</v>
      </c>
      <c r="AG56" s="1696">
        <f t="shared" si="9"/>
        <v>187.79757010224026</v>
      </c>
      <c r="AH56" s="1696">
        <f t="shared" si="10"/>
        <v>222.79757010224026</v>
      </c>
      <c r="AI56" s="1695">
        <f t="shared" si="15"/>
        <v>30.071678189553211</v>
      </c>
      <c r="AK56" s="1695">
        <v>9.75</v>
      </c>
      <c r="AL56" s="1696">
        <f t="shared" si="11"/>
        <v>286.70360955542407</v>
      </c>
      <c r="AM56" s="1696">
        <f t="shared" si="12"/>
        <v>355.70360955542407</v>
      </c>
      <c r="AN56" s="1695">
        <f t="shared" si="16"/>
        <v>45.909319687364587</v>
      </c>
      <c r="AP56" s="1695">
        <v>9.75</v>
      </c>
      <c r="AQ56" s="1696">
        <f t="shared" si="13"/>
        <v>489.29006521058687</v>
      </c>
      <c r="AR56" s="1696">
        <f t="shared" si="14"/>
        <v>626.29006521058682</v>
      </c>
      <c r="AS56" s="1695">
        <f t="shared" si="17"/>
        <v>78.349114817341913</v>
      </c>
    </row>
    <row r="57" spans="3:45" s="1676" customFormat="1" ht="20.100000000000001" customHeight="1">
      <c r="C57" s="1693"/>
      <c r="D57" s="1769"/>
      <c r="E57" s="1771"/>
      <c r="G57" s="1771"/>
      <c r="I57" s="1769"/>
      <c r="J57" s="1772"/>
      <c r="K57" s="1769"/>
      <c r="L57" s="1692"/>
      <c r="M57" s="1771"/>
      <c r="N57" s="1775"/>
      <c r="O57" s="1700"/>
      <c r="P57" s="1700"/>
      <c r="V57" s="1698"/>
      <c r="Z57" s="1697"/>
      <c r="AB57" s="1697"/>
      <c r="AD57" s="1697"/>
      <c r="AF57" s="1695">
        <v>9.85</v>
      </c>
      <c r="AG57" s="1696">
        <f t="shared" si="9"/>
        <v>189.72369902636581</v>
      </c>
      <c r="AH57" s="1696">
        <f t="shared" si="10"/>
        <v>224.72369902636581</v>
      </c>
      <c r="AI57" s="1695">
        <f t="shared" si="15"/>
        <v>23.412570478914933</v>
      </c>
      <c r="AK57" s="1695">
        <v>9.85</v>
      </c>
      <c r="AL57" s="1696">
        <f t="shared" si="11"/>
        <v>289.64415939701814</v>
      </c>
      <c r="AM57" s="1696">
        <f t="shared" si="12"/>
        <v>358.64415939701814</v>
      </c>
      <c r="AN57" s="1695">
        <f t="shared" si="16"/>
        <v>35.743106056278002</v>
      </c>
      <c r="AP57" s="1695">
        <v>9.85</v>
      </c>
      <c r="AQ57" s="1696">
        <f t="shared" si="13"/>
        <v>494.30842485377235</v>
      </c>
      <c r="AR57" s="1696">
        <f t="shared" si="14"/>
        <v>631.30842485377229</v>
      </c>
      <c r="AS57" s="1695">
        <f t="shared" si="17"/>
        <v>60.999394881090033</v>
      </c>
    </row>
    <row r="58" spans="3:45" s="1676" customFormat="1" ht="20.100000000000001" customHeight="1">
      <c r="C58" s="1693"/>
      <c r="D58" s="1769"/>
      <c r="E58" s="1771"/>
      <c r="G58" s="1771"/>
      <c r="I58" s="1769"/>
      <c r="J58" s="1772"/>
      <c r="K58" s="1769"/>
      <c r="L58" s="1692"/>
      <c r="M58" s="1771"/>
      <c r="N58" s="1775"/>
      <c r="O58" s="1775"/>
      <c r="P58" s="1775"/>
      <c r="Q58" s="1774"/>
      <c r="R58" s="1691"/>
      <c r="S58" s="1771"/>
      <c r="T58" s="1771"/>
      <c r="V58" s="1698"/>
      <c r="Z58" s="1697"/>
      <c r="AB58" s="1697"/>
      <c r="AD58" s="1697"/>
      <c r="AF58" s="1695">
        <v>9.9</v>
      </c>
      <c r="AG58" s="1696">
        <f t="shared" si="9"/>
        <v>190.6867634884286</v>
      </c>
      <c r="AH58" s="1696">
        <f t="shared" si="10"/>
        <v>225.6867634884286</v>
      </c>
      <c r="AI58" s="1695">
        <f t="shared" si="15"/>
        <v>19.164740817525974</v>
      </c>
      <c r="AK58" s="1695">
        <v>9.9</v>
      </c>
      <c r="AL58" s="1696">
        <f t="shared" si="11"/>
        <v>291.11443431781521</v>
      </c>
      <c r="AM58" s="1696">
        <f t="shared" si="12"/>
        <v>360.11443431781521</v>
      </c>
      <c r="AN58" s="1695">
        <f t="shared" si="16"/>
        <v>29.258101505719782</v>
      </c>
      <c r="AP58" s="1695">
        <v>9.9</v>
      </c>
      <c r="AQ58" s="1696">
        <f t="shared" si="13"/>
        <v>496.81760467536515</v>
      </c>
      <c r="AR58" s="1696">
        <f t="shared" si="14"/>
        <v>633.81760467536515</v>
      </c>
      <c r="AS58" s="1695">
        <f t="shared" si="17"/>
        <v>49.93204799852424</v>
      </c>
    </row>
    <row r="59" spans="3:45" s="1676" customFormat="1" ht="20.100000000000001" customHeight="1">
      <c r="C59" s="1693"/>
      <c r="D59" s="1769"/>
      <c r="E59" s="1771"/>
      <c r="G59" s="1771"/>
      <c r="I59" s="1769"/>
      <c r="J59" s="1772"/>
      <c r="K59" s="1769"/>
      <c r="L59" s="1692"/>
      <c r="M59" s="1771"/>
      <c r="N59" s="1775"/>
      <c r="O59" s="1775"/>
      <c r="P59" s="1775"/>
      <c r="Q59" s="1774"/>
      <c r="R59" s="1691"/>
      <c r="S59" s="1771"/>
      <c r="T59" s="1771"/>
      <c r="V59" s="1698"/>
      <c r="Z59" s="1697"/>
      <c r="AB59" s="1697"/>
      <c r="AD59" s="1697"/>
      <c r="AF59" s="1695">
        <v>9.98</v>
      </c>
      <c r="AG59" s="1696">
        <f t="shared" si="9"/>
        <v>192.22766662772901</v>
      </c>
      <c r="AH59" s="1696">
        <f t="shared" si="10"/>
        <v>227.22766662772901</v>
      </c>
      <c r="AI59" s="1695">
        <f t="shared" si="15"/>
        <v>8.6052921938634217</v>
      </c>
      <c r="AJ59" s="1699"/>
      <c r="AK59" s="1695">
        <v>9.98</v>
      </c>
      <c r="AL59" s="1696">
        <f t="shared" si="11"/>
        <v>293.46687419109048</v>
      </c>
      <c r="AM59" s="1696">
        <f t="shared" si="12"/>
        <v>362.46687419109048</v>
      </c>
      <c r="AN59" s="1695">
        <f t="shared" si="16"/>
        <v>13.137381553534254</v>
      </c>
      <c r="AO59" s="1699"/>
      <c r="AP59" s="1695">
        <v>9.98</v>
      </c>
      <c r="AQ59" s="1696">
        <f t="shared" si="13"/>
        <v>500.83229238991356</v>
      </c>
      <c r="AR59" s="1696">
        <f t="shared" si="14"/>
        <v>637.83229238991362</v>
      </c>
      <c r="AS59" s="1695">
        <f t="shared" si="17"/>
        <v>22.420332576184222</v>
      </c>
    </row>
    <row r="60" spans="3:45" s="1676" customFormat="1" ht="20.100000000000001" customHeight="1">
      <c r="C60" s="1693"/>
      <c r="D60" s="1769"/>
      <c r="E60" s="1771"/>
      <c r="G60" s="1771"/>
      <c r="I60" s="1769"/>
      <c r="J60" s="1772"/>
      <c r="K60" s="1769"/>
      <c r="L60" s="1692"/>
      <c r="M60" s="1771"/>
      <c r="N60" s="1775"/>
      <c r="O60" s="1775"/>
      <c r="P60" s="1775"/>
      <c r="T60" s="1771"/>
      <c r="V60" s="1698"/>
      <c r="Z60" s="1697"/>
      <c r="AB60" s="1697"/>
      <c r="AD60" s="1697"/>
      <c r="AF60" s="1695">
        <v>10</v>
      </c>
      <c r="AG60" s="1696">
        <f t="shared" si="9"/>
        <v>192.61289241255412</v>
      </c>
      <c r="AH60" s="1696">
        <f t="shared" si="10"/>
        <v>227.61289241255412</v>
      </c>
      <c r="AI60" s="1695">
        <f t="shared" si="15"/>
        <v>0</v>
      </c>
      <c r="AK60" s="1695">
        <v>10</v>
      </c>
      <c r="AL60" s="1696">
        <f t="shared" si="11"/>
        <v>294.05498415940929</v>
      </c>
      <c r="AM60" s="1696">
        <f t="shared" si="12"/>
        <v>363.05498415940929</v>
      </c>
      <c r="AN60" s="1695">
        <f t="shared" si="16"/>
        <v>0</v>
      </c>
      <c r="AP60" s="1695">
        <v>10</v>
      </c>
      <c r="AQ60" s="1696">
        <f t="shared" si="13"/>
        <v>501.83596431855062</v>
      </c>
      <c r="AR60" s="1696">
        <f t="shared" si="14"/>
        <v>638.83596431855062</v>
      </c>
      <c r="AS60" s="1695">
        <f t="shared" si="17"/>
        <v>0</v>
      </c>
    </row>
    <row r="61" spans="3:45" s="1676" customFormat="1" ht="20.100000000000001" customHeight="1">
      <c r="C61" s="1693"/>
      <c r="D61" s="1769"/>
      <c r="E61" s="1771"/>
      <c r="G61" s="1771"/>
      <c r="I61" s="1769"/>
      <c r="J61" s="1772"/>
      <c r="K61" s="1769"/>
      <c r="L61" s="1692"/>
      <c r="M61" s="1771"/>
      <c r="N61" s="1773" t="s">
        <v>1010</v>
      </c>
      <c r="O61" s="1700"/>
      <c r="P61" s="1700"/>
      <c r="T61" s="1771"/>
      <c r="V61" s="1698"/>
      <c r="W61" s="1691"/>
      <c r="Y61" s="1691"/>
      <c r="Z61" s="1691"/>
      <c r="AA61" s="1691"/>
      <c r="AB61" s="1691"/>
      <c r="AC61" s="1691"/>
      <c r="AD61" s="1691"/>
    </row>
    <row r="62" spans="3:45" s="1676" customFormat="1" ht="20.100000000000001" customHeight="1">
      <c r="C62" s="1693"/>
      <c r="D62" s="1769"/>
      <c r="E62" s="1771"/>
      <c r="G62" s="1771"/>
      <c r="I62" s="1769"/>
      <c r="J62" s="1772"/>
      <c r="K62" s="1769"/>
      <c r="L62" s="1692"/>
      <c r="M62" s="1771"/>
      <c r="N62" s="1775" t="s">
        <v>1009</v>
      </c>
      <c r="O62" s="1775"/>
      <c r="P62" s="1775"/>
      <c r="Q62" s="1774"/>
      <c r="R62" s="1691"/>
      <c r="S62" s="1771"/>
      <c r="T62" s="1771"/>
      <c r="V62" s="1698"/>
      <c r="W62" s="1677"/>
      <c r="Y62" s="1677"/>
      <c r="Z62" s="1677"/>
      <c r="AA62" s="1677"/>
      <c r="AB62" s="1677"/>
      <c r="AC62" s="1677"/>
      <c r="AD62" s="1677"/>
    </row>
    <row r="63" spans="3:45" s="1676" customFormat="1" ht="20.100000000000001" customHeight="1">
      <c r="C63" s="1693"/>
      <c r="D63" s="1769"/>
      <c r="E63" s="1771"/>
      <c r="F63" s="1691"/>
      <c r="G63" s="1771"/>
      <c r="H63" s="1691"/>
      <c r="I63" s="1769"/>
      <c r="J63" s="1772"/>
      <c r="K63" s="1769"/>
      <c r="L63" s="1692"/>
      <c r="M63" s="1771"/>
      <c r="N63" s="1775" t="s">
        <v>1008</v>
      </c>
      <c r="O63" s="1775"/>
      <c r="P63" s="1775"/>
      <c r="Q63" s="1774"/>
      <c r="R63" s="1691"/>
      <c r="S63" s="1771"/>
      <c r="T63" s="1771"/>
      <c r="U63" s="1691"/>
      <c r="V63" s="1694"/>
      <c r="W63" s="1677"/>
      <c r="Y63" s="1678"/>
      <c r="Z63" s="1677"/>
      <c r="AA63" s="1678"/>
      <c r="AB63" s="1677"/>
      <c r="AC63" s="1678"/>
      <c r="AD63" s="1677"/>
    </row>
    <row r="64" spans="3:45" s="1676" customFormat="1" ht="20.100000000000001" customHeight="1">
      <c r="C64" s="1693"/>
      <c r="D64" s="1769"/>
      <c r="E64" s="1771"/>
      <c r="G64" s="1771"/>
      <c r="I64" s="1769"/>
      <c r="J64" s="1772"/>
      <c r="K64" s="1769"/>
      <c r="L64" s="1692"/>
      <c r="M64" s="1771"/>
      <c r="N64" s="1775"/>
      <c r="O64" s="1775"/>
      <c r="P64" s="1775"/>
      <c r="Q64" s="1774"/>
      <c r="R64" s="1691"/>
      <c r="S64" s="1771"/>
      <c r="T64" s="1771"/>
      <c r="U64" s="1677"/>
      <c r="V64" s="1690"/>
      <c r="W64" s="1677"/>
      <c r="Y64" s="1678"/>
      <c r="Z64" s="1677"/>
      <c r="AA64" s="1678"/>
      <c r="AB64" s="1677"/>
      <c r="AC64" s="1678"/>
      <c r="AD64" s="1677"/>
    </row>
    <row r="65" spans="3:30" ht="7.5" customHeight="1">
      <c r="C65" s="1693"/>
      <c r="D65" s="1769"/>
      <c r="E65" s="1771"/>
      <c r="F65" s="1676"/>
      <c r="G65" s="1771"/>
      <c r="H65" s="1676"/>
      <c r="I65" s="1769"/>
      <c r="J65" s="1772"/>
      <c r="K65" s="1769"/>
      <c r="L65" s="1692"/>
      <c r="M65" s="1771"/>
      <c r="N65" s="1775"/>
      <c r="O65" s="1775"/>
      <c r="P65" s="1775"/>
      <c r="Q65" s="1774"/>
      <c r="R65" s="1691"/>
      <c r="S65" s="1771"/>
      <c r="T65" s="1771"/>
      <c r="U65" s="1677"/>
      <c r="V65" s="1690"/>
      <c r="W65" s="1671"/>
      <c r="Y65" s="1675"/>
      <c r="Z65" s="1671"/>
      <c r="AA65" s="1675"/>
      <c r="AB65" s="1671"/>
      <c r="AC65" s="1675"/>
      <c r="AD65" s="1671"/>
    </row>
    <row r="66" spans="3:30" ht="20.100000000000001" customHeight="1">
      <c r="C66" s="1689"/>
      <c r="D66" s="1686"/>
      <c r="E66" s="1681"/>
      <c r="F66" s="1688"/>
      <c r="G66" s="1681"/>
      <c r="H66" s="1688"/>
      <c r="I66" s="1686"/>
      <c r="J66" s="1687"/>
      <c r="K66" s="1686"/>
      <c r="L66" s="1685"/>
      <c r="M66" s="1681"/>
      <c r="N66" s="1684"/>
      <c r="O66" s="1684"/>
      <c r="P66" s="1684"/>
      <c r="Q66" s="1683"/>
      <c r="R66" s="1682"/>
      <c r="S66" s="1681"/>
      <c r="T66" s="1681"/>
      <c r="U66" s="1680"/>
      <c r="V66" s="1679"/>
      <c r="W66" s="1671"/>
      <c r="Y66" s="1671"/>
      <c r="Z66" s="1671"/>
      <c r="AA66" s="1671"/>
      <c r="AB66" s="1671"/>
      <c r="AC66" s="1671"/>
      <c r="AD66" s="1671"/>
    </row>
    <row r="67" spans="3:30" ht="20.100000000000001" customHeight="1">
      <c r="D67" s="1673"/>
      <c r="E67" s="1654"/>
      <c r="G67" s="1654"/>
      <c r="I67" s="1673"/>
      <c r="J67" s="1674"/>
      <c r="K67" s="1673"/>
      <c r="L67" s="1650"/>
      <c r="M67" s="1654"/>
      <c r="N67" s="1664"/>
      <c r="U67" s="1671"/>
      <c r="V67" s="1671"/>
      <c r="W67" s="1671"/>
      <c r="Y67" s="1671"/>
      <c r="Z67" s="1671"/>
      <c r="AA67" s="1671"/>
      <c r="AB67" s="1671"/>
      <c r="AC67" s="1671"/>
      <c r="AD67" s="1671"/>
    </row>
    <row r="68" spans="3:30" ht="20.100000000000001" hidden="1" customHeight="1">
      <c r="D68" s="1673"/>
      <c r="E68" s="1654"/>
      <c r="G68" s="1654"/>
      <c r="I68" s="1673"/>
      <c r="J68" s="1674"/>
      <c r="K68" s="1673"/>
      <c r="L68" s="1650"/>
      <c r="M68" s="1654"/>
      <c r="N68" s="1664"/>
      <c r="U68" s="1671"/>
      <c r="V68" s="1671"/>
      <c r="W68" s="1671"/>
      <c r="Y68" s="1671"/>
      <c r="Z68" s="1671"/>
      <c r="AA68" s="1671"/>
      <c r="AB68" s="1671"/>
      <c r="AC68" s="1671"/>
      <c r="AD68" s="1671"/>
    </row>
    <row r="69" spans="3:30" ht="20.100000000000001" hidden="1" customHeight="1">
      <c r="D69" s="1673"/>
      <c r="E69" s="1654"/>
      <c r="G69" s="1654"/>
      <c r="I69" s="1673"/>
      <c r="J69" s="1674"/>
      <c r="K69" s="1673"/>
      <c r="L69" s="1650"/>
      <c r="M69" s="1654"/>
      <c r="N69" s="1664"/>
      <c r="U69" s="1671"/>
      <c r="V69" s="1671"/>
      <c r="W69" s="1671"/>
      <c r="Y69" s="1671"/>
      <c r="Z69" s="1671"/>
      <c r="AA69" s="1671"/>
      <c r="AB69" s="1671"/>
      <c r="AC69" s="1671"/>
      <c r="AD69" s="1671"/>
    </row>
    <row r="70" spans="3:30" ht="20.100000000000001" hidden="1" customHeight="1">
      <c r="D70" s="1673"/>
      <c r="E70" s="1654"/>
      <c r="G70" s="1654"/>
      <c r="I70" s="1673"/>
      <c r="J70" s="1674"/>
      <c r="K70" s="1673"/>
      <c r="L70" s="1650"/>
      <c r="M70" s="1654"/>
      <c r="N70" s="1664"/>
      <c r="U70" s="1671"/>
      <c r="V70" s="1671"/>
      <c r="W70" s="1671"/>
      <c r="Y70" s="1671"/>
      <c r="Z70" s="1671"/>
      <c r="AA70" s="1671"/>
      <c r="AB70" s="1671"/>
      <c r="AC70" s="1671"/>
      <c r="AD70" s="1671"/>
    </row>
    <row r="71" spans="3:30" ht="20.100000000000001" hidden="1" customHeight="1">
      <c r="D71" s="1673"/>
      <c r="E71" s="1654"/>
      <c r="G71" s="1654"/>
      <c r="I71" s="1673"/>
      <c r="J71" s="1674"/>
      <c r="K71" s="1673"/>
      <c r="L71" s="1650"/>
      <c r="M71" s="1654"/>
      <c r="N71" s="1664"/>
      <c r="U71" s="1671"/>
      <c r="V71" s="1671"/>
      <c r="W71" s="1671"/>
      <c r="Y71" s="1671"/>
      <c r="Z71" s="1671"/>
      <c r="AA71" s="1671"/>
      <c r="AB71" s="1671"/>
      <c r="AC71" s="1671"/>
      <c r="AD71" s="1671"/>
    </row>
    <row r="72" spans="3:30" ht="20.100000000000001" hidden="1" customHeight="1">
      <c r="D72" s="1673"/>
      <c r="E72" s="1654"/>
      <c r="G72" s="1654"/>
      <c r="I72" s="1673"/>
      <c r="J72" s="1674"/>
      <c r="K72" s="1673"/>
      <c r="L72" s="1650"/>
      <c r="M72" s="1654"/>
      <c r="N72" s="1664"/>
      <c r="U72" s="1671"/>
      <c r="V72" s="1671"/>
      <c r="W72" s="1671"/>
      <c r="Y72" s="1671"/>
      <c r="Z72" s="1671"/>
      <c r="AA72" s="1671"/>
      <c r="AB72" s="1671"/>
      <c r="AC72" s="1671"/>
      <c r="AD72" s="1671"/>
    </row>
    <row r="73" spans="3:30" ht="20.100000000000001" hidden="1" customHeight="1">
      <c r="D73" s="1673"/>
      <c r="E73" s="1654"/>
      <c r="G73" s="1654"/>
      <c r="I73" s="1673"/>
      <c r="J73" s="1674"/>
      <c r="K73" s="1673"/>
      <c r="L73" s="1650"/>
      <c r="M73" s="1654"/>
      <c r="N73" s="1664"/>
      <c r="O73" s="1664"/>
      <c r="P73" s="1664"/>
      <c r="Q73" s="1660"/>
      <c r="R73" s="1672"/>
      <c r="S73" s="1654"/>
      <c r="T73" s="1654"/>
      <c r="U73" s="1671"/>
      <c r="V73" s="1671"/>
      <c r="W73" s="1671"/>
      <c r="Y73" s="1671"/>
      <c r="Z73" s="1671"/>
      <c r="AA73" s="1671"/>
      <c r="AB73" s="1671"/>
      <c r="AC73" s="1671"/>
      <c r="AD73" s="1671"/>
    </row>
    <row r="74" spans="3:30" ht="20.100000000000001" hidden="1" customHeight="1">
      <c r="D74" s="1673"/>
      <c r="E74" s="1654"/>
      <c r="G74" s="1654"/>
      <c r="I74" s="1673"/>
      <c r="J74" s="1674"/>
      <c r="K74" s="1673"/>
      <c r="L74" s="1650"/>
      <c r="M74" s="1654"/>
      <c r="N74" s="1664"/>
      <c r="O74" s="1664"/>
      <c r="P74" s="1664"/>
      <c r="Q74" s="1660"/>
      <c r="R74" s="1672"/>
      <c r="S74" s="1654"/>
      <c r="T74" s="1654"/>
      <c r="U74" s="1671"/>
      <c r="V74" s="1671"/>
      <c r="W74" s="1671"/>
      <c r="Y74" s="1671"/>
      <c r="Z74" s="1671"/>
      <c r="AA74" s="1671"/>
      <c r="AB74" s="1671"/>
      <c r="AC74" s="1671"/>
      <c r="AD74" s="1671"/>
    </row>
    <row r="75" spans="3:30" ht="20.100000000000001" hidden="1" customHeight="1">
      <c r="D75" s="1673"/>
      <c r="E75" s="1654"/>
      <c r="F75" s="1672"/>
      <c r="G75" s="1654"/>
      <c r="H75" s="1672"/>
      <c r="I75" s="1673"/>
      <c r="J75" s="1674"/>
      <c r="K75" s="1673"/>
      <c r="L75" s="1650"/>
      <c r="M75" s="1654"/>
      <c r="N75" s="1664"/>
      <c r="O75" s="1664"/>
      <c r="P75" s="1664"/>
      <c r="Q75" s="1660"/>
      <c r="R75" s="1672"/>
      <c r="S75" s="1654"/>
      <c r="T75" s="1654"/>
      <c r="U75" s="1671"/>
      <c r="V75" s="1671"/>
      <c r="W75" s="1671"/>
      <c r="Y75" s="1671"/>
      <c r="Z75" s="1671"/>
      <c r="AA75" s="1671"/>
      <c r="AB75" s="1671"/>
      <c r="AC75" s="1671"/>
      <c r="AD75" s="1671"/>
    </row>
    <row r="76" spans="3:30" ht="20.100000000000001" hidden="1" customHeight="1">
      <c r="D76" s="1673"/>
      <c r="E76" s="1654"/>
      <c r="G76" s="1654"/>
      <c r="I76" s="1673"/>
      <c r="J76" s="1674"/>
      <c r="K76" s="1673"/>
      <c r="L76" s="1650"/>
      <c r="M76" s="1654"/>
      <c r="N76" s="1664"/>
      <c r="O76" s="1664"/>
      <c r="P76" s="1664"/>
      <c r="Q76" s="1660"/>
      <c r="R76" s="1672"/>
      <c r="S76" s="1654"/>
      <c r="T76" s="1654"/>
      <c r="U76" s="1671"/>
      <c r="V76" s="1671"/>
    </row>
    <row r="77" spans="3:30" ht="18.95" hidden="1" customHeight="1">
      <c r="D77" s="1673"/>
      <c r="E77" s="1654"/>
      <c r="G77" s="1654"/>
      <c r="I77" s="1673"/>
      <c r="J77" s="1674"/>
      <c r="K77" s="1673"/>
      <c r="L77" s="1650"/>
      <c r="M77" s="1654"/>
      <c r="N77" s="1664"/>
      <c r="O77" s="1664"/>
      <c r="P77" s="1664"/>
      <c r="Q77" s="1660"/>
      <c r="R77" s="1672"/>
      <c r="S77" s="1654"/>
      <c r="T77" s="1654"/>
      <c r="U77" s="1671"/>
      <c r="V77" s="1671"/>
    </row>
    <row r="78" spans="3:30" ht="18.95" hidden="1" customHeight="1">
      <c r="D78" s="1669"/>
      <c r="E78" s="1669"/>
      <c r="F78" s="1669"/>
      <c r="G78" s="1669"/>
      <c r="H78" s="1669"/>
      <c r="I78" s="1540"/>
      <c r="J78" s="1669"/>
      <c r="K78" s="1540"/>
      <c r="L78" s="1669"/>
      <c r="M78" s="1669"/>
      <c r="N78" s="1670"/>
      <c r="O78" s="1670"/>
      <c r="P78" s="1670"/>
      <c r="Q78" s="1669"/>
      <c r="R78" s="1669"/>
      <c r="S78" s="1669"/>
      <c r="T78" s="1669"/>
    </row>
    <row r="79" spans="3:30" ht="18.95" hidden="1" customHeight="1">
      <c r="K79" s="1650"/>
    </row>
    <row r="80" spans="3:30" ht="18.95" customHeight="1">
      <c r="I80" s="2846" t="s">
        <v>1007</v>
      </c>
      <c r="J80" s="2846"/>
      <c r="K80" s="2824"/>
      <c r="L80" s="2846"/>
      <c r="M80" s="2846"/>
    </row>
    <row r="81" spans="5:16" ht="18.95" customHeight="1">
      <c r="E81" s="1668" t="s">
        <v>1006</v>
      </c>
      <c r="G81" s="4574">
        <v>4</v>
      </c>
      <c r="H81" s="4574"/>
      <c r="I81" s="2824">
        <v>0</v>
      </c>
      <c r="J81" s="2847">
        <f>(I81-AU11)/(I82-AU11)*(J82-AV11)+AV11+G81</f>
        <v>23.163921148917751</v>
      </c>
      <c r="K81" s="2824"/>
      <c r="L81" s="2826">
        <f>(J82-J81)/(I82-I81)</f>
        <v>0.51839596170238755</v>
      </c>
      <c r="M81" s="2846">
        <f>ATAN(L81)</f>
        <v>0.47825583852083231</v>
      </c>
      <c r="P81" s="1877">
        <f>DEGREES(M81)</f>
        <v>27.402041074733912</v>
      </c>
    </row>
    <row r="82" spans="5:16" ht="18.95" customHeight="1">
      <c r="G82" s="4574">
        <v>6</v>
      </c>
      <c r="H82" s="4574"/>
      <c r="I82" s="2847">
        <f>AD31</f>
        <v>450.91798215927531</v>
      </c>
      <c r="J82" s="2847">
        <f>AD30+G82</f>
        <v>256.91798215927531</v>
      </c>
      <c r="K82" s="2846"/>
      <c r="L82" s="2846"/>
      <c r="M82" s="2846"/>
    </row>
    <row r="83" spans="5:16" ht="18.95" customHeight="1">
      <c r="G83" s="4575"/>
      <c r="H83" s="4575"/>
      <c r="I83" s="2824"/>
      <c r="J83" s="2824"/>
      <c r="K83" s="2824"/>
      <c r="L83" s="2846"/>
      <c r="M83" s="2846"/>
    </row>
    <row r="84" spans="5:16" ht="18.95" customHeight="1">
      <c r="E84" s="1668" t="s">
        <v>1005</v>
      </c>
      <c r="G84" s="4574">
        <v>-3</v>
      </c>
      <c r="H84" s="4574"/>
      <c r="I84" s="2824">
        <v>0</v>
      </c>
      <c r="J84" s="2847">
        <f>(I84-AU12)/(I85-AU12)*(J85-AV12)+AV12+G84</f>
        <v>25.377720038568341</v>
      </c>
      <c r="K84" s="2846"/>
      <c r="L84" s="2826">
        <f>(J85-J84)/(I85-I84)</f>
        <v>0.60461301849215909</v>
      </c>
      <c r="M84" s="2846">
        <f>ATAN(L84)</f>
        <v>0.54380452362918086</v>
      </c>
      <c r="P84" s="1877">
        <f>DEGREES(M84)</f>
        <v>31.157704084074311</v>
      </c>
    </row>
    <row r="85" spans="5:16" ht="18.95" customHeight="1">
      <c r="G85" s="4574">
        <v>9</v>
      </c>
      <c r="H85" s="4574"/>
      <c r="I85" s="2847">
        <f>AD41</f>
        <v>387.91798215927531</v>
      </c>
      <c r="J85" s="2847">
        <f>AD40+G85</f>
        <v>259.91798215927531</v>
      </c>
      <c r="K85" s="2846"/>
      <c r="L85" s="2846"/>
      <c r="M85" s="2846"/>
    </row>
    <row r="86" spans="5:16" ht="18.95" hidden="1" customHeight="1"/>
    <row r="87" spans="5:16" ht="18.95" hidden="1" customHeight="1"/>
    <row r="88" spans="5:16" ht="18.95" hidden="1" customHeight="1"/>
    <row r="89" spans="5:16" ht="18.95" hidden="1" customHeight="1"/>
    <row r="90" spans="5:16" ht="18.95" hidden="1" customHeight="1"/>
    <row r="91" spans="5:16" ht="18.95" customHeight="1">
      <c r="G91" s="1661" t="s">
        <v>37</v>
      </c>
      <c r="I91" s="1667">
        <f>AVERAGE(R21:T21)</f>
        <v>1.0532848145552753</v>
      </c>
    </row>
    <row r="92" spans="5:16" ht="18.95" customHeight="1">
      <c r="G92" s="1661" t="s">
        <v>210</v>
      </c>
      <c r="I92" s="2848">
        <v>15</v>
      </c>
      <c r="M92" s="1665">
        <f>I93</f>
        <v>157.99272218329128</v>
      </c>
      <c r="N92" s="1664">
        <f>I94</f>
        <v>105.06671030710318</v>
      </c>
    </row>
    <row r="93" spans="5:16" ht="18.95" customHeight="1">
      <c r="G93" s="1661" t="s">
        <v>1004</v>
      </c>
      <c r="I93" s="1665">
        <f>I91*I92*10</f>
        <v>157.99272218329128</v>
      </c>
      <c r="M93" s="1665">
        <f>M92</f>
        <v>157.99272218329128</v>
      </c>
      <c r="N93" s="1664">
        <f>N92</f>
        <v>105.06671030710318</v>
      </c>
    </row>
    <row r="94" spans="5:16" ht="18.95" customHeight="1">
      <c r="G94" s="1663" t="s">
        <v>1003</v>
      </c>
      <c r="H94" s="1663"/>
      <c r="I94" s="1662">
        <f>Q48+I93*TAN(M81)</f>
        <v>105.06671030710318</v>
      </c>
    </row>
    <row r="95" spans="5:16" ht="18.95" customHeight="1"/>
    <row r="96" spans="5:16" ht="18.95" customHeight="1"/>
    <row r="97" ht="18.600000000000001" customHeight="1"/>
    <row r="98" ht="18.600000000000001" customHeight="1"/>
    <row r="99" ht="18.600000000000001" customHeight="1"/>
    <row r="100" ht="18.600000000000001" customHeight="1"/>
    <row r="101" ht="18.600000000000001" customHeight="1"/>
    <row r="102" ht="18.600000000000001" customHeight="1"/>
    <row r="103" ht="18.600000000000001" customHeight="1"/>
    <row r="104" ht="18.600000000000001" customHeight="1"/>
    <row r="105" ht="18.600000000000001" customHeight="1"/>
    <row r="106" ht="18.600000000000001" customHeight="1"/>
    <row r="107" ht="18.600000000000001" customHeight="1"/>
    <row r="108" ht="18.600000000000001" customHeight="1"/>
    <row r="109" ht="18.600000000000001" customHeight="1"/>
    <row r="110" ht="18.600000000000001" customHeight="1"/>
    <row r="111" ht="18.600000000000001" customHeight="1"/>
    <row r="112" ht="18.600000000000001" customHeight="1"/>
    <row r="113" ht="18.600000000000001" customHeight="1"/>
    <row r="114" ht="18.600000000000001" customHeight="1"/>
    <row r="115" ht="18.600000000000001" customHeight="1"/>
    <row r="116" ht="18.600000000000001" customHeight="1"/>
    <row r="117" ht="18.600000000000001" customHeight="1"/>
    <row r="118" ht="18.600000000000001" customHeight="1"/>
    <row r="119" ht="18.600000000000001" customHeight="1"/>
    <row r="120" ht="18.600000000000001" customHeight="1"/>
    <row r="121" ht="18.600000000000001" customHeight="1"/>
    <row r="122" ht="18.600000000000001" customHeight="1"/>
    <row r="123" ht="18.600000000000001" customHeight="1"/>
    <row r="124" ht="18.600000000000001" customHeight="1"/>
    <row r="125" ht="18.600000000000001" customHeight="1"/>
    <row r="126" ht="18.600000000000001" customHeight="1"/>
    <row r="127" ht="18.600000000000001" customHeight="1"/>
    <row r="128" ht="18.600000000000001" customHeight="1"/>
    <row r="129" ht="18.600000000000001" customHeight="1"/>
  </sheetData>
  <mergeCells count="35">
    <mergeCell ref="H17:M17"/>
    <mergeCell ref="H18:M18"/>
    <mergeCell ref="H19:M19"/>
    <mergeCell ref="P12:R12"/>
    <mergeCell ref="P13:R13"/>
    <mergeCell ref="P14:R14"/>
    <mergeCell ref="P15:R15"/>
    <mergeCell ref="P16:R16"/>
    <mergeCell ref="N52:S52"/>
    <mergeCell ref="D9:U9"/>
    <mergeCell ref="R20:T20"/>
    <mergeCell ref="D33:E33"/>
    <mergeCell ref="I33:J33"/>
    <mergeCell ref="K33:L33"/>
    <mergeCell ref="N20:Q20"/>
    <mergeCell ref="R25:T25"/>
    <mergeCell ref="R21:T21"/>
    <mergeCell ref="R22:T22"/>
    <mergeCell ref="R23:T23"/>
    <mergeCell ref="H12:M12"/>
    <mergeCell ref="H13:M13"/>
    <mergeCell ref="H14:M14"/>
    <mergeCell ref="H15:M15"/>
    <mergeCell ref="H16:M16"/>
    <mergeCell ref="F2:S2"/>
    <mergeCell ref="F3:S3"/>
    <mergeCell ref="F4:S4"/>
    <mergeCell ref="F5:S5"/>
    <mergeCell ref="D8:U8"/>
    <mergeCell ref="F6:U6"/>
    <mergeCell ref="G81:H81"/>
    <mergeCell ref="G82:H82"/>
    <mergeCell ref="G83:H83"/>
    <mergeCell ref="G84:H84"/>
    <mergeCell ref="G85:H85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6" orientation="portrait" r:id="rId1"/>
  <headerFooter>
    <oddFooter>&amp;R&amp;"Aptos,Regular"&amp;9Page &amp;P of &amp;N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6B69-1814-4CA4-A5BF-98C82C52F799}">
  <sheetPr>
    <tabColor rgb="FF00B050"/>
    <pageSetUpPr fitToPage="1"/>
  </sheetPr>
  <dimension ref="B1:AL76"/>
  <sheetViews>
    <sheetView showGridLines="0" topLeftCell="A10" zoomScaleNormal="100" zoomScaleSheetLayoutView="100" workbookViewId="0">
      <selection activeCell="AG27" sqref="AG27"/>
    </sheetView>
  </sheetViews>
  <sheetFormatPr defaultColWidth="8" defaultRowHeight="15"/>
  <cols>
    <col min="1" max="1" width="5.5" style="2009" customWidth="1"/>
    <col min="2" max="2" width="1.25" style="2009" customWidth="1"/>
    <col min="3" max="3" width="1" style="2009" customWidth="1"/>
    <col min="4" max="9" width="3.25" style="2009" customWidth="1"/>
    <col min="10" max="14" width="1.625" style="2009" customWidth="1"/>
    <col min="15" max="23" width="4.5" style="2009" customWidth="1"/>
    <col min="24" max="26" width="5.125" style="2009" customWidth="1"/>
    <col min="27" max="27" width="5.375" style="2009" customWidth="1"/>
    <col min="28" max="28" width="1.25" style="2009" customWidth="1"/>
    <col min="29" max="29" width="12" style="2009" customWidth="1"/>
    <col min="30" max="30" width="12.5" style="2009" customWidth="1"/>
    <col min="31" max="32" width="1" style="2009" customWidth="1"/>
    <col min="33" max="16384" width="8" style="2009"/>
  </cols>
  <sheetData>
    <row r="1" spans="2:32" ht="6.75" customHeight="1">
      <c r="B1" s="2006"/>
      <c r="C1" s="2007"/>
      <c r="D1" s="2007"/>
      <c r="E1" s="2007"/>
      <c r="F1" s="2007"/>
      <c r="G1" s="2007"/>
      <c r="H1" s="2007"/>
      <c r="I1" s="2007"/>
      <c r="J1" s="2007"/>
      <c r="K1" s="2007"/>
      <c r="L1" s="2007"/>
      <c r="M1" s="2007"/>
      <c r="N1" s="2007"/>
      <c r="O1" s="2007"/>
      <c r="P1" s="2007"/>
      <c r="Q1" s="2007"/>
      <c r="R1" s="2007"/>
      <c r="S1" s="2007"/>
      <c r="T1" s="2007"/>
      <c r="U1" s="2007"/>
      <c r="V1" s="2007"/>
      <c r="W1" s="2007"/>
      <c r="X1" s="2007"/>
      <c r="Y1" s="2007"/>
      <c r="Z1" s="2007"/>
      <c r="AA1" s="2007"/>
      <c r="AB1" s="2007"/>
      <c r="AC1" s="2007"/>
      <c r="AD1" s="2007"/>
      <c r="AE1" s="2007"/>
      <c r="AF1" s="2008"/>
    </row>
    <row r="2" spans="2:32" ht="8.25" customHeight="1">
      <c r="B2" s="2006"/>
      <c r="C2" s="2007"/>
      <c r="D2" s="2007"/>
      <c r="E2" s="2007"/>
      <c r="F2" s="2007"/>
      <c r="G2" s="2007"/>
      <c r="H2" s="2007"/>
      <c r="I2" s="2007"/>
      <c r="J2" s="2007"/>
      <c r="K2" s="2007"/>
      <c r="L2" s="2007"/>
      <c r="M2" s="2007"/>
      <c r="N2" s="2007"/>
      <c r="O2" s="2007"/>
      <c r="P2" s="2007"/>
      <c r="Q2" s="2007"/>
      <c r="R2" s="2007"/>
      <c r="S2" s="2007"/>
      <c r="T2" s="2007"/>
      <c r="U2" s="2007"/>
      <c r="V2" s="2007"/>
      <c r="W2" s="2007"/>
      <c r="X2" s="2007"/>
      <c r="Y2" s="2007"/>
      <c r="Z2" s="2007"/>
      <c r="AA2" s="2007"/>
      <c r="AB2" s="2007"/>
      <c r="AC2" s="2007"/>
      <c r="AD2" s="2007"/>
      <c r="AE2" s="2007"/>
      <c r="AF2" s="2008"/>
    </row>
    <row r="3" spans="2:32" ht="21.95" customHeight="1">
      <c r="B3" s="2851"/>
      <c r="C3" s="2006"/>
      <c r="D3" s="2007"/>
      <c r="E3" s="2007"/>
      <c r="F3" s="2007"/>
      <c r="G3" s="2008"/>
      <c r="H3" s="4619" t="s">
        <v>821</v>
      </c>
      <c r="I3" s="4620"/>
      <c r="J3" s="4620"/>
      <c r="K3" s="4620"/>
      <c r="L3" s="4620"/>
      <c r="M3" s="4620"/>
      <c r="N3" s="4620"/>
      <c r="O3" s="4620"/>
      <c r="P3" s="4620"/>
      <c r="Q3" s="4620"/>
      <c r="R3" s="4620"/>
      <c r="S3" s="4620"/>
      <c r="T3" s="4620"/>
      <c r="U3" s="4620"/>
      <c r="V3" s="4620"/>
      <c r="W3" s="4620"/>
      <c r="X3" s="4620"/>
      <c r="Y3" s="4620"/>
      <c r="Z3" s="4620"/>
      <c r="AA3" s="4620"/>
      <c r="AB3" s="4620"/>
      <c r="AC3" s="4620"/>
      <c r="AD3" s="4620"/>
      <c r="AE3" s="4621"/>
      <c r="AF3" s="2010"/>
    </row>
    <row r="4" spans="2:32" ht="14.1" customHeight="1">
      <c r="B4" s="2851"/>
      <c r="C4" s="2851"/>
      <c r="G4" s="2010"/>
      <c r="H4" s="4622" t="s">
        <v>819</v>
      </c>
      <c r="I4" s="4623"/>
      <c r="J4" s="4623"/>
      <c r="K4" s="4623"/>
      <c r="L4" s="4623"/>
      <c r="M4" s="4623"/>
      <c r="N4" s="4623"/>
      <c r="O4" s="4623"/>
      <c r="P4" s="4623"/>
      <c r="Q4" s="4623"/>
      <c r="R4" s="4623"/>
      <c r="S4" s="4623"/>
      <c r="T4" s="4623"/>
      <c r="U4" s="4623"/>
      <c r="V4" s="4623"/>
      <c r="W4" s="4623"/>
      <c r="X4" s="4623"/>
      <c r="Y4" s="4623"/>
      <c r="Z4" s="4623"/>
      <c r="AA4" s="4623"/>
      <c r="AB4" s="4623"/>
      <c r="AC4" s="4623"/>
      <c r="AD4" s="4623"/>
      <c r="AE4" s="4624"/>
      <c r="AF4" s="2010"/>
    </row>
    <row r="5" spans="2:32" ht="14.1" customHeight="1">
      <c r="B5" s="2851"/>
      <c r="C5" s="2851"/>
      <c r="G5" s="2010"/>
      <c r="H5" s="4622" t="s">
        <v>820</v>
      </c>
      <c r="I5" s="4623"/>
      <c r="J5" s="4623"/>
      <c r="K5" s="4623"/>
      <c r="L5" s="4623"/>
      <c r="M5" s="4623"/>
      <c r="N5" s="4623"/>
      <c r="O5" s="4623"/>
      <c r="P5" s="4623"/>
      <c r="Q5" s="4623"/>
      <c r="R5" s="4623"/>
      <c r="S5" s="4623"/>
      <c r="T5" s="4623"/>
      <c r="U5" s="4623"/>
      <c r="V5" s="4623"/>
      <c r="W5" s="4623"/>
      <c r="X5" s="4623"/>
      <c r="Y5" s="4623"/>
      <c r="Z5" s="4623"/>
      <c r="AA5" s="4623"/>
      <c r="AB5" s="4623"/>
      <c r="AC5" s="4623"/>
      <c r="AD5" s="4623"/>
      <c r="AE5" s="4624"/>
      <c r="AF5" s="2010"/>
    </row>
    <row r="6" spans="2:32" ht="14.1" customHeight="1">
      <c r="B6" s="2851"/>
      <c r="C6" s="2851"/>
      <c r="G6" s="2010"/>
      <c r="H6" s="4622" t="s">
        <v>830</v>
      </c>
      <c r="I6" s="4623"/>
      <c r="J6" s="4623"/>
      <c r="K6" s="4623"/>
      <c r="L6" s="4623"/>
      <c r="M6" s="4623"/>
      <c r="N6" s="4623"/>
      <c r="O6" s="4623"/>
      <c r="P6" s="4623"/>
      <c r="Q6" s="4623"/>
      <c r="R6" s="4623"/>
      <c r="S6" s="4623"/>
      <c r="T6" s="4623"/>
      <c r="U6" s="4623"/>
      <c r="V6" s="4623"/>
      <c r="W6" s="4623"/>
      <c r="X6" s="4623"/>
      <c r="Y6" s="4623"/>
      <c r="Z6" s="4623"/>
      <c r="AA6" s="4623"/>
      <c r="AB6" s="4623"/>
      <c r="AC6" s="4623"/>
      <c r="AD6" s="4623"/>
      <c r="AE6" s="4624"/>
      <c r="AF6" s="2010"/>
    </row>
    <row r="7" spans="2:32" ht="14.1" customHeight="1">
      <c r="B7" s="2851"/>
      <c r="C7" s="2011"/>
      <c r="D7" s="2012"/>
      <c r="E7" s="2012"/>
      <c r="F7" s="2012"/>
      <c r="G7" s="2013"/>
      <c r="H7" s="4625" t="s">
        <v>827</v>
      </c>
      <c r="I7" s="4626"/>
      <c r="J7" s="4626"/>
      <c r="K7" s="4626"/>
      <c r="L7" s="4626"/>
      <c r="M7" s="4626"/>
      <c r="N7" s="4626"/>
      <c r="O7" s="4626"/>
      <c r="P7" s="4626"/>
      <c r="Q7" s="4626"/>
      <c r="R7" s="4626"/>
      <c r="S7" s="4626"/>
      <c r="T7" s="4626"/>
      <c r="U7" s="4626"/>
      <c r="V7" s="4626"/>
      <c r="W7" s="4626"/>
      <c r="X7" s="4626"/>
      <c r="Y7" s="4626"/>
      <c r="Z7" s="4626"/>
      <c r="AA7" s="4626"/>
      <c r="AB7" s="4626"/>
      <c r="AC7" s="4626"/>
      <c r="AD7" s="4626"/>
      <c r="AE7" s="4627"/>
      <c r="AF7" s="2010"/>
    </row>
    <row r="8" spans="2:32" ht="8.25" hidden="1" customHeight="1">
      <c r="B8" s="2851"/>
      <c r="AF8" s="2010"/>
    </row>
    <row r="9" spans="2:32" ht="6" customHeight="1">
      <c r="B9" s="2851"/>
      <c r="AF9" s="2010"/>
    </row>
    <row r="10" spans="2:32" s="2015" customFormat="1" ht="18.95" customHeight="1">
      <c r="B10" s="2852"/>
      <c r="C10" s="4605" t="s">
        <v>1100</v>
      </c>
      <c r="D10" s="4606"/>
      <c r="E10" s="4606"/>
      <c r="F10" s="4606"/>
      <c r="G10" s="4606"/>
      <c r="H10" s="4606"/>
      <c r="I10" s="4606"/>
      <c r="J10" s="4606"/>
      <c r="K10" s="4606"/>
      <c r="L10" s="4606"/>
      <c r="M10" s="4606"/>
      <c r="N10" s="4606"/>
      <c r="O10" s="4606"/>
      <c r="P10" s="4606"/>
      <c r="Q10" s="4606"/>
      <c r="R10" s="4606"/>
      <c r="S10" s="4606"/>
      <c r="T10" s="4606"/>
      <c r="U10" s="4606"/>
      <c r="V10" s="4606"/>
      <c r="W10" s="4606"/>
      <c r="X10" s="4606"/>
      <c r="Y10" s="4606"/>
      <c r="Z10" s="4606"/>
      <c r="AA10" s="4606"/>
      <c r="AB10" s="4606"/>
      <c r="AC10" s="4606"/>
      <c r="AD10" s="4606"/>
      <c r="AE10" s="4607"/>
      <c r="AF10" s="2014"/>
    </row>
    <row r="11" spans="2:32" s="2015" customFormat="1" ht="18" customHeight="1">
      <c r="B11" s="2852"/>
      <c r="C11" s="4608" t="s">
        <v>1101</v>
      </c>
      <c r="D11" s="4609"/>
      <c r="E11" s="4609"/>
      <c r="F11" s="4609"/>
      <c r="G11" s="4609"/>
      <c r="H11" s="4609"/>
      <c r="I11" s="4609"/>
      <c r="J11" s="4609"/>
      <c r="K11" s="4609"/>
      <c r="L11" s="4609"/>
      <c r="M11" s="4609"/>
      <c r="N11" s="4609"/>
      <c r="O11" s="4609"/>
      <c r="P11" s="4609"/>
      <c r="Q11" s="4609"/>
      <c r="R11" s="4609"/>
      <c r="S11" s="4609"/>
      <c r="T11" s="4609"/>
      <c r="U11" s="4609"/>
      <c r="V11" s="4609"/>
      <c r="W11" s="4609"/>
      <c r="X11" s="4609"/>
      <c r="Y11" s="4609"/>
      <c r="Z11" s="4609"/>
      <c r="AA11" s="4609"/>
      <c r="AB11" s="4609"/>
      <c r="AC11" s="4609"/>
      <c r="AD11" s="4609"/>
      <c r="AE11" s="4610"/>
      <c r="AF11" s="2014"/>
    </row>
    <row r="12" spans="2:32" s="2015" customFormat="1" ht="6" customHeight="1">
      <c r="B12" s="2852"/>
      <c r="AF12" s="2014"/>
    </row>
    <row r="13" spans="2:32" s="2015" customFormat="1" ht="15.75">
      <c r="B13" s="2852"/>
      <c r="C13" s="2853" t="s">
        <v>95</v>
      </c>
      <c r="D13" s="2854"/>
      <c r="AF13" s="2014"/>
    </row>
    <row r="14" spans="2:32" s="2016" customFormat="1" ht="16.5" customHeight="1">
      <c r="B14" s="2808"/>
      <c r="C14" s="2018" t="s">
        <v>600</v>
      </c>
      <c r="D14" s="2019"/>
      <c r="J14" s="2020" t="s">
        <v>27</v>
      </c>
      <c r="K14" s="4617" t="str">
        <f>Details!B4</f>
        <v xml:space="preserve">PT Itamatra Nusantara </v>
      </c>
      <c r="L14" s="4617"/>
      <c r="M14" s="4617"/>
      <c r="N14" s="4617"/>
      <c r="O14" s="4617"/>
      <c r="P14" s="4617"/>
      <c r="Q14" s="4617"/>
      <c r="R14" s="4617"/>
      <c r="S14" s="4617"/>
      <c r="T14" s="4617"/>
      <c r="U14" s="4617"/>
      <c r="V14" s="4617"/>
      <c r="W14" s="4617"/>
      <c r="X14" s="2019" t="s">
        <v>394</v>
      </c>
      <c r="AB14" s="2019" t="s">
        <v>27</v>
      </c>
      <c r="AC14" s="4617" t="s">
        <v>1332</v>
      </c>
      <c r="AD14" s="4617"/>
      <c r="AF14" s="2017"/>
    </row>
    <row r="15" spans="2:32" s="2016" customFormat="1" ht="16.5" customHeight="1">
      <c r="B15" s="2808"/>
      <c r="C15" s="2018" t="s">
        <v>842</v>
      </c>
      <c r="D15" s="2019"/>
      <c r="J15" s="2020" t="s">
        <v>27</v>
      </c>
      <c r="K15" s="4618" t="str">
        <f>Details!B8</f>
        <v>hidroplogi</v>
      </c>
      <c r="L15" s="4618"/>
      <c r="M15" s="4618"/>
      <c r="N15" s="4618"/>
      <c r="O15" s="4618"/>
      <c r="P15" s="4618"/>
      <c r="Q15" s="4618"/>
      <c r="R15" s="4618"/>
      <c r="S15" s="4618"/>
      <c r="T15" s="4618"/>
      <c r="U15" s="4618"/>
      <c r="V15" s="4618"/>
      <c r="W15" s="4618"/>
      <c r="X15" s="2019" t="s">
        <v>822</v>
      </c>
      <c r="AB15" s="2019" t="s">
        <v>27</v>
      </c>
      <c r="AC15" s="4618" t="str">
        <f>'Cu_Multi Graph'!P13</f>
        <v>001/PKS GQT-MGS/VIII/2025</v>
      </c>
      <c r="AD15" s="4618"/>
      <c r="AF15" s="2017"/>
    </row>
    <row r="16" spans="2:32" s="2016" customFormat="1" ht="16.5" customHeight="1">
      <c r="B16" s="2808"/>
      <c r="C16" s="2018" t="s">
        <v>1312</v>
      </c>
      <c r="D16" s="2019"/>
      <c r="J16" s="2020" t="s">
        <v>27</v>
      </c>
      <c r="K16" s="4618" t="str">
        <f>'DS RS Curve'!K91</f>
        <v>23-GQT--19-UDS-1-BH-05-0,00-0,50-100726-001</v>
      </c>
      <c r="L16" s="4618"/>
      <c r="M16" s="4618"/>
      <c r="N16" s="4618"/>
      <c r="O16" s="4618"/>
      <c r="P16" s="4618"/>
      <c r="Q16" s="4618"/>
      <c r="R16" s="4618"/>
      <c r="S16" s="4618"/>
      <c r="T16" s="4618"/>
      <c r="U16" s="4618"/>
      <c r="V16" s="4618"/>
      <c r="W16" s="4618"/>
      <c r="X16" s="2019" t="s">
        <v>395</v>
      </c>
      <c r="AB16" s="2019" t="s">
        <v>27</v>
      </c>
      <c r="AC16" s="4628">
        <f>Details!B37</f>
        <v>46225</v>
      </c>
      <c r="AD16" s="4628"/>
      <c r="AF16" s="2017"/>
    </row>
    <row r="17" spans="2:32" s="2016" customFormat="1" ht="16.5" customHeight="1">
      <c r="B17" s="2808"/>
      <c r="C17" s="2018" t="s">
        <v>601</v>
      </c>
      <c r="D17" s="2019"/>
      <c r="J17" s="2020" t="s">
        <v>27</v>
      </c>
      <c r="K17" s="4617" t="str">
        <f>Details!B1</f>
        <v>BH-05_UDS-01</v>
      </c>
      <c r="L17" s="4617"/>
      <c r="M17" s="4617"/>
      <c r="N17" s="4617"/>
      <c r="O17" s="4617"/>
      <c r="P17" s="4617"/>
      <c r="Q17" s="4617"/>
      <c r="R17" s="4617"/>
      <c r="S17" s="4617"/>
      <c r="T17" s="4617"/>
      <c r="U17" s="4617"/>
      <c r="V17" s="4617"/>
      <c r="W17" s="4617"/>
      <c r="X17" s="2019" t="s">
        <v>396</v>
      </c>
      <c r="AB17" s="2019" t="s">
        <v>27</v>
      </c>
      <c r="AC17" s="4618" t="str">
        <f>Details!B22</f>
        <v>AS Sumartadji</v>
      </c>
      <c r="AD17" s="4618"/>
      <c r="AF17" s="2017"/>
    </row>
    <row r="18" spans="2:32" s="2016" customFormat="1" ht="16.5" customHeight="1">
      <c r="B18" s="2808"/>
      <c r="C18" s="2018" t="s">
        <v>602</v>
      </c>
      <c r="D18" s="2019"/>
      <c r="J18" s="2020" t="s">
        <v>27</v>
      </c>
      <c r="K18" s="4618" t="str">
        <f>Details!B13</f>
        <v>0,00-0,50</v>
      </c>
      <c r="L18" s="4618"/>
      <c r="M18" s="4618"/>
      <c r="N18" s="4618"/>
      <c r="O18" s="4618"/>
      <c r="P18" s="4618"/>
      <c r="Q18" s="4618"/>
      <c r="R18" s="4618"/>
      <c r="S18" s="4618"/>
      <c r="T18" s="4618"/>
      <c r="U18" s="4618"/>
      <c r="V18" s="4618"/>
      <c r="W18" s="4618"/>
      <c r="X18" s="2019" t="s">
        <v>186</v>
      </c>
      <c r="AB18" s="2019" t="s">
        <v>27</v>
      </c>
      <c r="AC18" s="4618" t="str">
        <f>Details!B2</f>
        <v>MGS/02/VI/2026</v>
      </c>
      <c r="AD18" s="4618"/>
      <c r="AF18" s="2017"/>
    </row>
    <row r="19" spans="2:32" s="2016" customFormat="1" ht="16.5" customHeight="1">
      <c r="B19" s="2808"/>
      <c r="C19" s="2018" t="s">
        <v>843</v>
      </c>
      <c r="D19" s="2019"/>
      <c r="J19" s="2020" t="s">
        <v>27</v>
      </c>
      <c r="K19" s="4618" t="str">
        <f>'A. GS'!H12</f>
        <v>silty CLAY with sand</v>
      </c>
      <c r="L19" s="4618"/>
      <c r="M19" s="4618"/>
      <c r="N19" s="4618"/>
      <c r="O19" s="4618"/>
      <c r="P19" s="4618"/>
      <c r="Q19" s="4618"/>
      <c r="R19" s="4618"/>
      <c r="S19" s="4618"/>
      <c r="T19" s="4618"/>
      <c r="U19" s="4618"/>
      <c r="V19" s="4618"/>
      <c r="W19" s="4618"/>
      <c r="AF19" s="2017"/>
    </row>
    <row r="20" spans="2:32" s="2016" customFormat="1">
      <c r="B20" s="2808"/>
      <c r="C20" s="2018" t="s">
        <v>603</v>
      </c>
      <c r="D20" s="2019"/>
      <c r="J20" s="2020" t="s">
        <v>27</v>
      </c>
      <c r="K20" s="4618" t="str">
        <f>Details!B15</f>
        <v>Abu-abu / Gray</v>
      </c>
      <c r="L20" s="4618"/>
      <c r="M20" s="4618"/>
      <c r="N20" s="4618"/>
      <c r="O20" s="4618"/>
      <c r="P20" s="4618"/>
      <c r="Q20" s="4618"/>
      <c r="R20" s="4618"/>
      <c r="S20" s="4618"/>
      <c r="T20" s="4618"/>
      <c r="U20" s="4618"/>
      <c r="V20" s="4618"/>
      <c r="W20" s="4618"/>
      <c r="AF20" s="2017"/>
    </row>
    <row r="21" spans="2:32" s="2022" customFormat="1" ht="15.75">
      <c r="B21" s="2808"/>
      <c r="C21" s="2018" t="s">
        <v>844</v>
      </c>
      <c r="D21" s="2021"/>
      <c r="E21" s="2016"/>
      <c r="F21" s="2016"/>
      <c r="G21" s="2016"/>
      <c r="H21" s="2016"/>
      <c r="I21" s="2016"/>
      <c r="J21" s="2021" t="s">
        <v>27</v>
      </c>
      <c r="K21" s="4618" t="str">
        <f>Details!B16</f>
        <v>Undisturbed Sample / UDS</v>
      </c>
      <c r="L21" s="4618"/>
      <c r="M21" s="4618"/>
      <c r="N21" s="4618"/>
      <c r="O21" s="4618"/>
      <c r="P21" s="4618"/>
      <c r="Q21" s="4618"/>
      <c r="R21" s="4618"/>
      <c r="S21" s="4618"/>
      <c r="T21" s="4618"/>
      <c r="U21" s="4618"/>
      <c r="V21" s="4618"/>
      <c r="W21" s="4618"/>
      <c r="X21" s="2016"/>
      <c r="Y21" s="2016"/>
      <c r="Z21" s="2016"/>
      <c r="AA21" s="2016"/>
      <c r="AB21" s="2016"/>
      <c r="AC21" s="2016"/>
      <c r="AD21" s="2016"/>
      <c r="AE21" s="2016"/>
      <c r="AF21" s="2017"/>
    </row>
    <row r="22" spans="2:32" s="2015" customFormat="1">
      <c r="B22" s="2855"/>
      <c r="C22" s="2022"/>
      <c r="D22" s="2022"/>
      <c r="E22" s="2022" t="str">
        <f>Details!C15</f>
        <v>Disclaimer :</v>
      </c>
      <c r="F22" s="2022"/>
      <c r="G22" s="2022"/>
      <c r="H22" s="2022" t="str">
        <f>Details!C16</f>
        <v>The samples were received as Undisturbed Sample / UDS and the validity of the sampling process was not verified by the laboratory.</v>
      </c>
      <c r="I22" s="2022"/>
      <c r="J22" s="2022"/>
      <c r="K22" s="2022"/>
      <c r="L22" s="2022"/>
      <c r="M22" s="2022"/>
      <c r="N22" s="2022"/>
      <c r="O22" s="2022"/>
      <c r="P22" s="2022"/>
      <c r="Q22" s="2022"/>
      <c r="R22" s="2022"/>
      <c r="S22" s="2022"/>
      <c r="T22" s="2022"/>
      <c r="U22" s="2022"/>
      <c r="V22" s="2022"/>
      <c r="W22" s="2022"/>
      <c r="X22" s="2022"/>
      <c r="Y22" s="2022"/>
      <c r="Z22" s="2022"/>
      <c r="AA22" s="2022"/>
      <c r="AB22" s="2022"/>
      <c r="AC22" s="2022"/>
      <c r="AD22" s="2022"/>
      <c r="AE22" s="2022"/>
      <c r="AF22" s="2023"/>
    </row>
    <row r="23" spans="2:32" s="2015" customFormat="1">
      <c r="B23" s="2852"/>
      <c r="C23" s="2856"/>
      <c r="D23" s="2856"/>
      <c r="E23" s="2856"/>
      <c r="F23" s="2856"/>
      <c r="G23" s="2856"/>
      <c r="H23" s="2856"/>
      <c r="I23" s="2856"/>
      <c r="J23" s="2856"/>
      <c r="K23" s="2856"/>
      <c r="L23" s="2856"/>
      <c r="M23" s="2856"/>
      <c r="N23" s="2856"/>
      <c r="O23" s="2856"/>
      <c r="P23" s="2856"/>
      <c r="Q23" s="2856"/>
      <c r="R23" s="2856"/>
      <c r="S23" s="2856"/>
      <c r="T23" s="2856"/>
      <c r="U23" s="2856"/>
      <c r="V23" s="2856"/>
      <c r="W23" s="2856"/>
      <c r="X23" s="2856"/>
      <c r="Y23" s="2856"/>
      <c r="Z23" s="2856"/>
      <c r="AA23" s="2856"/>
      <c r="AB23" s="2856"/>
      <c r="AC23" s="2856"/>
      <c r="AD23" s="2856"/>
      <c r="AF23" s="2014"/>
    </row>
    <row r="24" spans="2:32" s="2015" customFormat="1">
      <c r="B24" s="2852"/>
      <c r="AF24" s="2014"/>
    </row>
    <row r="25" spans="2:32" s="2015" customFormat="1">
      <c r="B25" s="2852"/>
      <c r="AC25" s="2015" t="s">
        <v>1105</v>
      </c>
      <c r="AF25" s="2014"/>
    </row>
    <row r="26" spans="2:32" s="2015" customFormat="1">
      <c r="B26" s="2852"/>
      <c r="AF26" s="2014"/>
    </row>
    <row r="27" spans="2:32" s="2015" customFormat="1">
      <c r="B27" s="2852"/>
      <c r="AF27" s="2014"/>
    </row>
    <row r="28" spans="2:32" s="2015" customFormat="1">
      <c r="B28" s="2852"/>
      <c r="AF28" s="2014"/>
    </row>
    <row r="29" spans="2:32" s="2015" customFormat="1">
      <c r="B29" s="2852"/>
      <c r="AF29" s="2014"/>
    </row>
    <row r="30" spans="2:32" s="2015" customFormat="1" ht="15" customHeight="1">
      <c r="B30" s="2852"/>
      <c r="AF30" s="2014"/>
    </row>
    <row r="31" spans="2:32" s="2015" customFormat="1" ht="15" customHeight="1">
      <c r="B31" s="2852"/>
      <c r="AF31" s="2014"/>
    </row>
    <row r="32" spans="2:32" s="2015" customFormat="1" ht="15" customHeight="1">
      <c r="B32" s="2852"/>
      <c r="AF32" s="2014"/>
    </row>
    <row r="33" spans="2:32" s="2015" customFormat="1" ht="15" customHeight="1">
      <c r="B33" s="2852"/>
      <c r="AF33" s="2014"/>
    </row>
    <row r="34" spans="2:32" s="2015" customFormat="1" ht="15" customHeight="1">
      <c r="B34" s="2852"/>
      <c r="AF34" s="2014"/>
    </row>
    <row r="35" spans="2:32" s="2015" customFormat="1" ht="15" customHeight="1">
      <c r="B35" s="2852"/>
      <c r="AF35" s="2014"/>
    </row>
    <row r="36" spans="2:32" s="2015" customFormat="1" ht="15" customHeight="1">
      <c r="B36" s="2852"/>
      <c r="AF36" s="2014"/>
    </row>
    <row r="37" spans="2:32" s="2015" customFormat="1">
      <c r="B37" s="2852"/>
      <c r="AC37" s="2015" t="s">
        <v>1108</v>
      </c>
      <c r="AF37" s="2014"/>
    </row>
    <row r="38" spans="2:32" s="2015" customFormat="1" ht="15" customHeight="1">
      <c r="B38" s="2852"/>
      <c r="AF38" s="2014"/>
    </row>
    <row r="39" spans="2:32" s="2015" customFormat="1" ht="15" customHeight="1">
      <c r="B39" s="2852"/>
      <c r="AF39" s="2014"/>
    </row>
    <row r="40" spans="2:32" s="2015" customFormat="1" ht="15" customHeight="1">
      <c r="B40" s="2852"/>
      <c r="AF40" s="2014"/>
    </row>
    <row r="41" spans="2:32" s="2015" customFormat="1" ht="15" customHeight="1">
      <c r="B41" s="2852"/>
      <c r="AF41" s="2014"/>
    </row>
    <row r="42" spans="2:32" s="2015" customFormat="1" ht="15" customHeight="1">
      <c r="B42" s="2852"/>
      <c r="AF42" s="2014"/>
    </row>
    <row r="43" spans="2:32" s="2015" customFormat="1" ht="15" customHeight="1">
      <c r="B43" s="2852"/>
      <c r="AF43" s="2014"/>
    </row>
    <row r="44" spans="2:32" s="2015" customFormat="1" ht="15" customHeight="1">
      <c r="B44" s="2852"/>
      <c r="AF44" s="2014"/>
    </row>
    <row r="45" spans="2:32" s="2015" customFormat="1" ht="15" customHeight="1">
      <c r="B45" s="2852"/>
      <c r="AF45" s="2014"/>
    </row>
    <row r="46" spans="2:32" s="2015" customFormat="1" ht="15" customHeight="1">
      <c r="B46" s="2852"/>
      <c r="AF46" s="2014"/>
    </row>
    <row r="47" spans="2:32" s="2015" customFormat="1" ht="15" customHeight="1">
      <c r="B47" s="2852"/>
      <c r="AF47" s="2014"/>
    </row>
    <row r="48" spans="2:32" s="2015" customFormat="1" ht="15" customHeight="1">
      <c r="B48" s="2852"/>
      <c r="AF48" s="2014"/>
    </row>
    <row r="49" spans="2:38" s="2015" customFormat="1" ht="15" customHeight="1">
      <c r="B49" s="2852"/>
      <c r="AC49" s="2015" t="s">
        <v>1109</v>
      </c>
      <c r="AF49" s="2014"/>
    </row>
    <row r="50" spans="2:38" s="2015" customFormat="1" ht="15" customHeight="1">
      <c r="B50" s="2852"/>
      <c r="AF50" s="2014"/>
      <c r="AI50" s="2026" t="s">
        <v>1111</v>
      </c>
      <c r="AJ50" s="2027"/>
      <c r="AK50" s="2028" t="s">
        <v>1112</v>
      </c>
      <c r="AL50" s="2028"/>
    </row>
    <row r="51" spans="2:38" s="2015" customFormat="1" ht="15" customHeight="1">
      <c r="B51" s="2852"/>
      <c r="AF51" s="2014"/>
      <c r="AI51" s="2029">
        <f>Y59</f>
        <v>5.2414732020763868</v>
      </c>
      <c r="AJ51" s="2029">
        <v>0</v>
      </c>
      <c r="AK51" s="2030">
        <v>0</v>
      </c>
      <c r="AL51" s="2031">
        <f>ABS(((AL53*AK52)-(AL52*AK53))/(AK53-AK52))</f>
        <v>5.2414732020763868</v>
      </c>
    </row>
    <row r="52" spans="2:38" s="2015" customFormat="1" ht="15" customHeight="1">
      <c r="B52" s="2852"/>
      <c r="AF52" s="2014"/>
      <c r="AI52" s="2032">
        <f>X56</f>
        <v>10.482946404152768</v>
      </c>
      <c r="AJ52" s="2032">
        <f>X55</f>
        <v>10.825762207386683</v>
      </c>
      <c r="AK52" s="2033">
        <f>AJ53</f>
        <v>21.651524414773366</v>
      </c>
      <c r="AL52" s="2033">
        <f>AI53</f>
        <v>16.77271424664443</v>
      </c>
    </row>
    <row r="53" spans="2:38" s="2015" customFormat="1" ht="15" customHeight="1">
      <c r="B53" s="2852"/>
      <c r="AF53" s="2014"/>
      <c r="AI53" s="2032">
        <f>Y56</f>
        <v>16.77271424664443</v>
      </c>
      <c r="AJ53" s="2032">
        <f>Y55</f>
        <v>21.651524414773366</v>
      </c>
      <c r="AK53" s="2033">
        <f>AJ54</f>
        <v>43.303048829546732</v>
      </c>
      <c r="AL53" s="2033">
        <f>AI54</f>
        <v>28.303955291212475</v>
      </c>
    </row>
    <row r="54" spans="2:38" s="2015" customFormat="1" ht="15" customHeight="1">
      <c r="B54" s="2852"/>
      <c r="T54" s="4612" t="s">
        <v>1113</v>
      </c>
      <c r="U54" s="4612"/>
      <c r="V54" s="4612"/>
      <c r="W54" s="4612"/>
      <c r="X54" s="2034">
        <v>1</v>
      </c>
      <c r="Y54" s="2034">
        <v>2</v>
      </c>
      <c r="Z54" s="2034">
        <v>3</v>
      </c>
      <c r="AA54" s="2857"/>
      <c r="AF54" s="2014"/>
      <c r="AI54" s="2038">
        <f>Z56</f>
        <v>28.303955291212475</v>
      </c>
      <c r="AJ54" s="2038">
        <f>Z55</f>
        <v>43.303048829546732</v>
      </c>
      <c r="AK54" s="2039"/>
      <c r="AL54" s="2039"/>
    </row>
    <row r="55" spans="2:38" s="2015" customFormat="1">
      <c r="B55" s="2852"/>
      <c r="T55" s="4613" t="s">
        <v>1114</v>
      </c>
      <c r="U55" s="4613"/>
      <c r="V55" s="4613"/>
      <c r="W55" s="2035" t="s">
        <v>546</v>
      </c>
      <c r="X55" s="2036">
        <f>IF('Cons.Ds CD'!V22="","",'Cons.Ds CD'!V22)</f>
        <v>10.825762207386683</v>
      </c>
      <c r="Y55" s="2036">
        <f>IF('Cons.Ds CD'!AH22="","",'Cons.Ds CD'!AH22)</f>
        <v>21.651524414773366</v>
      </c>
      <c r="Z55" s="2037">
        <f>IF('Cons.Ds CD'!AT22="","",'Cons.Ds CD'!AT22)</f>
        <v>43.303048829546732</v>
      </c>
      <c r="AA55" s="2857"/>
      <c r="AF55" s="2014"/>
      <c r="AI55" s="2042"/>
      <c r="AJ55" s="2042"/>
      <c r="AK55" s="2039"/>
      <c r="AL55" s="2039"/>
    </row>
    <row r="56" spans="2:38" s="2015" customFormat="1">
      <c r="B56" s="2852"/>
      <c r="T56" s="4613" t="s">
        <v>1115</v>
      </c>
      <c r="U56" s="4613"/>
      <c r="V56" s="4613"/>
      <c r="W56" s="2035" t="s">
        <v>546</v>
      </c>
      <c r="X56" s="2040">
        <f>MAX('Shearing Ds CD'!BI30:BI58)</f>
        <v>10.482946404152768</v>
      </c>
      <c r="Y56" s="2040">
        <f>MAX('Shearing Ds CD'!BJ30:BJ58)</f>
        <v>16.77271424664443</v>
      </c>
      <c r="Z56" s="2041">
        <f>MAX('Shearing Ds CD'!BK30:BK58)</f>
        <v>28.303955291212475</v>
      </c>
      <c r="AA56" s="2857"/>
      <c r="AF56" s="2014"/>
      <c r="AI56" s="2029">
        <v>0</v>
      </c>
      <c r="AJ56" s="2029">
        <v>0</v>
      </c>
      <c r="AK56" s="2039"/>
      <c r="AL56" s="2039"/>
    </row>
    <row r="57" spans="2:38" s="2015" customFormat="1" ht="15.75" thickBot="1">
      <c r="B57" s="2852"/>
      <c r="T57" s="2857"/>
      <c r="U57" s="2857"/>
      <c r="V57" s="2857"/>
      <c r="W57" s="2857"/>
      <c r="X57" s="2857"/>
      <c r="Y57" s="2857"/>
      <c r="Z57" s="2857"/>
      <c r="AA57" s="2857"/>
      <c r="AF57" s="2014"/>
      <c r="AI57" s="2043">
        <f>AI54</f>
        <v>28.303955291212475</v>
      </c>
      <c r="AJ57" s="2044">
        <f>AJ54</f>
        <v>43.303048829546732</v>
      </c>
      <c r="AK57" s="2039"/>
      <c r="AL57" s="2039"/>
    </row>
    <row r="58" spans="2:38" s="2015" customFormat="1" ht="15.75" thickTop="1">
      <c r="B58" s="2852"/>
      <c r="T58" s="4614" t="s">
        <v>1116</v>
      </c>
      <c r="U58" s="4614"/>
      <c r="V58" s="4614"/>
      <c r="W58" s="4614"/>
      <c r="X58" s="4614"/>
      <c r="Y58" s="4614"/>
      <c r="Z58" s="2857"/>
      <c r="AA58" s="2857"/>
      <c r="AF58" s="2014"/>
      <c r="AH58" s="2046">
        <f>Y59</f>
        <v>5.2414732020763868</v>
      </c>
      <c r="AI58" s="2048" t="e">
        <f>AVERAGE(W70:AD70)</f>
        <v>#DIV/0!</v>
      </c>
      <c r="AJ58" s="2048" t="e">
        <f>AVERAGE(W71:AD71)</f>
        <v>#DIV/0!</v>
      </c>
      <c r="AK58" s="2039"/>
      <c r="AL58" s="2039"/>
    </row>
    <row r="59" spans="2:38" s="2015" customFormat="1">
      <c r="B59" s="2852"/>
      <c r="T59" s="4613" t="s">
        <v>343</v>
      </c>
      <c r="U59" s="4613"/>
      <c r="V59" s="4613"/>
      <c r="W59" s="4613"/>
      <c r="X59" s="2034" t="s">
        <v>1118</v>
      </c>
      <c r="Y59" s="4615">
        <f>AL51</f>
        <v>5.2414732020763868</v>
      </c>
      <c r="Z59" s="4616"/>
      <c r="AA59" s="2045" t="s">
        <v>1061</v>
      </c>
      <c r="AB59" s="2858"/>
      <c r="AF59" s="2014"/>
      <c r="AH59" s="2046">
        <f>Y60</f>
        <v>29.3623940633045</v>
      </c>
      <c r="AI59" s="2032" t="e">
        <f>AVERAGE(Z69:AG69)</f>
        <v>#DIV/0!</v>
      </c>
      <c r="AJ59" s="2032" t="e">
        <f>AVERAGE(AA70:AH70)</f>
        <v>#DIV/0!</v>
      </c>
      <c r="AK59" s="2039"/>
      <c r="AL59" s="2039"/>
    </row>
    <row r="60" spans="2:38" s="2015" customFormat="1">
      <c r="B60" s="2852"/>
      <c r="T60" s="4613" t="s">
        <v>1119</v>
      </c>
      <c r="U60" s="4613"/>
      <c r="V60" s="4613"/>
      <c r="W60" s="4613"/>
      <c r="X60" s="2034" t="s">
        <v>1065</v>
      </c>
      <c r="Y60" s="4615">
        <f>ATAN((AL53-AL51)/AK53)*60</f>
        <v>29.3623940633045</v>
      </c>
      <c r="Z60" s="4616"/>
      <c r="AA60" s="2049" t="s">
        <v>188</v>
      </c>
      <c r="AB60" s="2858"/>
      <c r="AF60" s="2014"/>
      <c r="AI60" s="2032">
        <f>AI56</f>
        <v>0</v>
      </c>
      <c r="AJ60" s="2050" t="e">
        <f>((-AI58/(AI59-AI58))*(AJ59-AJ58))+AJ58</f>
        <v>#DIV/0!</v>
      </c>
      <c r="AK60" s="2039"/>
      <c r="AL60" s="2039"/>
    </row>
    <row r="61" spans="2:38" s="2015" customFormat="1">
      <c r="B61" s="2852"/>
      <c r="AF61" s="2014"/>
      <c r="AI61" s="2038">
        <f>AI57+0.1</f>
        <v>28.403955291212476</v>
      </c>
      <c r="AJ61" s="2038" t="e">
        <f>(((AI59-AI58)/(-AI58))*(AJ59-AJ58))+AJ58</f>
        <v>#DIV/0!</v>
      </c>
      <c r="AK61" s="2039"/>
      <c r="AL61" s="2039"/>
    </row>
    <row r="62" spans="2:38" s="2015" customFormat="1">
      <c r="B62" s="2852"/>
      <c r="AF62" s="2014"/>
      <c r="AJ62" s="2051"/>
    </row>
    <row r="63" spans="2:38" s="2015" customFormat="1">
      <c r="B63" s="2852"/>
      <c r="AF63" s="2014"/>
      <c r="AJ63" s="2051"/>
    </row>
    <row r="64" spans="2:38" s="2015" customFormat="1">
      <c r="B64" s="2852"/>
      <c r="AF64" s="2014"/>
    </row>
    <row r="65" spans="2:34" s="2015" customFormat="1">
      <c r="B65" s="2852"/>
      <c r="AF65" s="2014"/>
    </row>
    <row r="66" spans="2:34" s="2015" customFormat="1">
      <c r="B66" s="2852"/>
      <c r="AF66" s="2014"/>
    </row>
    <row r="67" spans="2:34" s="2015" customFormat="1">
      <c r="B67" s="2852"/>
      <c r="AF67" s="2014"/>
    </row>
    <row r="68" spans="2:34" s="2015" customFormat="1" ht="6.95" customHeight="1">
      <c r="B68" s="2852"/>
      <c r="AF68" s="2014"/>
      <c r="AG68" s="2025"/>
      <c r="AH68" s="2025"/>
    </row>
    <row r="69" spans="2:34" s="2015" customFormat="1" ht="15" customHeight="1">
      <c r="B69" s="2852"/>
      <c r="C69" s="2859" t="s">
        <v>1120</v>
      </c>
      <c r="P69" s="2025"/>
      <c r="Q69" s="2025"/>
      <c r="R69" s="2025"/>
      <c r="S69" s="2025"/>
      <c r="T69" s="2025"/>
      <c r="U69" s="2025"/>
      <c r="V69" s="2025"/>
      <c r="W69" s="2025"/>
      <c r="X69" s="2025"/>
      <c r="Y69" s="2025"/>
      <c r="Z69" s="2025"/>
      <c r="AA69" s="2025"/>
      <c r="AB69" s="2025"/>
      <c r="AC69" s="2025"/>
      <c r="AD69" s="2025"/>
      <c r="AE69" s="2025"/>
      <c r="AF69" s="2052"/>
      <c r="AG69" s="2055"/>
      <c r="AH69" s="2055"/>
    </row>
    <row r="70" spans="2:34" s="2015" customFormat="1" ht="15" customHeight="1">
      <c r="B70" s="2852"/>
      <c r="C70" s="4611" t="s">
        <v>1121</v>
      </c>
      <c r="D70" s="4611"/>
      <c r="E70" s="4611"/>
      <c r="F70" s="4611"/>
      <c r="G70" s="4611"/>
      <c r="H70" s="4611"/>
      <c r="I70" s="4611"/>
      <c r="J70" s="4611"/>
      <c r="K70" s="4611"/>
      <c r="L70" s="4611"/>
      <c r="M70" s="4611"/>
      <c r="N70" s="4611"/>
      <c r="O70" s="4611"/>
      <c r="P70" s="4611"/>
      <c r="Q70" s="4611"/>
      <c r="R70" s="4611"/>
      <c r="S70" s="4611"/>
      <c r="T70" s="4611"/>
      <c r="U70" s="4611"/>
      <c r="V70" s="4611"/>
      <c r="W70" s="4611"/>
      <c r="X70" s="4611"/>
      <c r="Y70" s="4611"/>
      <c r="Z70" s="4611"/>
      <c r="AA70" s="4611"/>
      <c r="AB70" s="4611"/>
      <c r="AC70" s="4611"/>
      <c r="AD70" s="4611"/>
      <c r="AE70" s="4611"/>
      <c r="AF70" s="2054"/>
      <c r="AG70" s="2055"/>
      <c r="AH70" s="2055"/>
    </row>
    <row r="71" spans="2:34" s="2015" customFormat="1">
      <c r="B71" s="2852"/>
      <c r="C71" s="4611"/>
      <c r="D71" s="4611"/>
      <c r="E71" s="4611"/>
      <c r="F71" s="4611"/>
      <c r="G71" s="4611"/>
      <c r="H71" s="4611"/>
      <c r="I71" s="4611"/>
      <c r="J71" s="4611"/>
      <c r="K71" s="4611"/>
      <c r="L71" s="4611"/>
      <c r="M71" s="4611"/>
      <c r="N71" s="4611"/>
      <c r="O71" s="4611"/>
      <c r="P71" s="4611"/>
      <c r="Q71" s="4611"/>
      <c r="R71" s="4611"/>
      <c r="S71" s="4611"/>
      <c r="T71" s="4611"/>
      <c r="U71" s="4611"/>
      <c r="V71" s="4611"/>
      <c r="W71" s="4611"/>
      <c r="X71" s="4611"/>
      <c r="Y71" s="4611"/>
      <c r="Z71" s="4611"/>
      <c r="AA71" s="4611"/>
      <c r="AB71" s="4611"/>
      <c r="AC71" s="4611"/>
      <c r="AD71" s="4611"/>
      <c r="AE71" s="4611"/>
      <c r="AF71" s="2054"/>
    </row>
    <row r="72" spans="2:34" s="2015" customFormat="1">
      <c r="B72" s="2852"/>
      <c r="C72" s="4611"/>
      <c r="D72" s="4611"/>
      <c r="E72" s="4611"/>
      <c r="F72" s="4611"/>
      <c r="G72" s="4611"/>
      <c r="H72" s="4611"/>
      <c r="I72" s="4611"/>
      <c r="J72" s="4611"/>
      <c r="K72" s="4611"/>
      <c r="L72" s="4611"/>
      <c r="M72" s="4611"/>
      <c r="N72" s="4611"/>
      <c r="O72" s="4611"/>
      <c r="P72" s="4611"/>
      <c r="Q72" s="4611"/>
      <c r="R72" s="4611"/>
      <c r="S72" s="4611"/>
      <c r="T72" s="4611"/>
      <c r="U72" s="4611"/>
      <c r="V72" s="4611"/>
      <c r="W72" s="4611"/>
      <c r="X72" s="4611"/>
      <c r="Y72" s="4611"/>
      <c r="Z72" s="4611"/>
      <c r="AA72" s="4611"/>
      <c r="AB72" s="4611"/>
      <c r="AC72" s="4611"/>
      <c r="AD72" s="4611"/>
      <c r="AE72" s="4611"/>
      <c r="AF72" s="2014"/>
    </row>
    <row r="73" spans="2:34" s="2015" customFormat="1">
      <c r="B73" s="2056"/>
      <c r="C73" s="2047"/>
      <c r="D73" s="2047"/>
      <c r="E73" s="2047"/>
      <c r="F73" s="2047"/>
      <c r="G73" s="2047"/>
      <c r="H73" s="2047"/>
      <c r="I73" s="2047"/>
      <c r="J73" s="2047"/>
      <c r="K73" s="2047"/>
      <c r="L73" s="2047"/>
      <c r="M73" s="2047"/>
      <c r="N73" s="2047"/>
      <c r="O73" s="2047"/>
      <c r="P73" s="2047"/>
      <c r="Q73" s="2047"/>
      <c r="R73" s="2047"/>
      <c r="S73" s="2047"/>
      <c r="T73" s="2047"/>
      <c r="U73" s="2047"/>
      <c r="V73" s="2047"/>
      <c r="W73" s="2047"/>
      <c r="X73" s="2047"/>
      <c r="Y73" s="2047"/>
      <c r="Z73" s="2047"/>
      <c r="AA73" s="2047"/>
      <c r="AB73" s="2047"/>
      <c r="AC73" s="2047"/>
      <c r="AD73" s="2047"/>
      <c r="AE73" s="2047"/>
      <c r="AF73" s="2057"/>
    </row>
    <row r="74" spans="2:34" s="2015" customFormat="1"/>
    <row r="75" spans="2:34" s="2015" customFormat="1"/>
    <row r="76" spans="2:34">
      <c r="B76" s="2015"/>
      <c r="C76" s="2015"/>
      <c r="D76" s="2015"/>
      <c r="E76" s="2015"/>
      <c r="F76" s="2015"/>
      <c r="G76" s="2015"/>
      <c r="H76" s="2015"/>
      <c r="I76" s="2015"/>
      <c r="J76" s="2015"/>
      <c r="K76" s="2015"/>
      <c r="L76" s="2015"/>
      <c r="M76" s="2015"/>
      <c r="N76" s="2015"/>
      <c r="O76" s="2015"/>
      <c r="P76" s="2015"/>
      <c r="Q76" s="2015"/>
      <c r="R76" s="2015"/>
      <c r="S76" s="2015"/>
      <c r="T76" s="2015"/>
      <c r="U76" s="2015"/>
      <c r="V76" s="2015"/>
      <c r="W76" s="2015"/>
      <c r="X76" s="2015"/>
      <c r="Y76" s="2015"/>
      <c r="Z76" s="2015"/>
      <c r="AA76" s="2015"/>
      <c r="AB76" s="2015"/>
      <c r="AC76" s="2015"/>
      <c r="AD76" s="2015"/>
      <c r="AE76" s="2015"/>
      <c r="AF76" s="2015"/>
    </row>
  </sheetData>
  <mergeCells count="29">
    <mergeCell ref="K19:W19"/>
    <mergeCell ref="K20:W20"/>
    <mergeCell ref="K21:W21"/>
    <mergeCell ref="AC14:AD14"/>
    <mergeCell ref="AC15:AD15"/>
    <mergeCell ref="AC16:AD16"/>
    <mergeCell ref="AC17:AD17"/>
    <mergeCell ref="AC18:AD18"/>
    <mergeCell ref="H3:AE3"/>
    <mergeCell ref="H4:AE4"/>
    <mergeCell ref="H5:AE5"/>
    <mergeCell ref="H6:AE6"/>
    <mergeCell ref="H7:AE7"/>
    <mergeCell ref="C10:AE10"/>
    <mergeCell ref="C11:AE11"/>
    <mergeCell ref="C70:AE72"/>
    <mergeCell ref="T54:W54"/>
    <mergeCell ref="T55:V55"/>
    <mergeCell ref="T56:V56"/>
    <mergeCell ref="T58:Y58"/>
    <mergeCell ref="T59:W59"/>
    <mergeCell ref="Y59:Z59"/>
    <mergeCell ref="T60:W60"/>
    <mergeCell ref="Y60:Z60"/>
    <mergeCell ref="K14:W14"/>
    <mergeCell ref="K15:W15"/>
    <mergeCell ref="K16:W16"/>
    <mergeCell ref="K17:W17"/>
    <mergeCell ref="K18:W18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77" fitToHeight="0" orientation="portrait" r:id="rId1"/>
  <headerFooter scaleWithDoc="0">
    <oddFooter>&amp;R&amp;"Aptos,Regular"&amp;8Page &amp;P of &amp;N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FD3BA-9C21-4848-965D-A995DD97B2F7}">
  <sheetPr>
    <tabColor theme="9"/>
  </sheetPr>
  <dimension ref="A1:BN64"/>
  <sheetViews>
    <sheetView showGridLines="0" topLeftCell="A10" zoomScaleNormal="100" zoomScaleSheetLayoutView="100" workbookViewId="0">
      <selection activeCell="AH45" sqref="AH45:AM45"/>
    </sheetView>
  </sheetViews>
  <sheetFormatPr defaultColWidth="8" defaultRowHeight="13.5"/>
  <cols>
    <col min="1" max="3" width="2.625" style="2324" customWidth="1"/>
    <col min="4" max="56" width="1.5" style="2324" customWidth="1"/>
    <col min="57" max="57" width="1.75" style="2324" customWidth="1"/>
    <col min="58" max="58" width="6.75" style="2324" customWidth="1"/>
    <col min="59" max="16384" width="8" style="2324"/>
  </cols>
  <sheetData>
    <row r="1" spans="1:66" ht="23.1" customHeight="1">
      <c r="A1" s="2319" t="s">
        <v>1308</v>
      </c>
      <c r="B1" s="2320"/>
      <c r="C1" s="2320"/>
      <c r="D1" s="2320"/>
      <c r="E1" s="2320"/>
      <c r="F1" s="2320"/>
      <c r="G1" s="2320"/>
      <c r="H1" s="2320"/>
      <c r="I1" s="2320"/>
      <c r="J1" s="2320"/>
      <c r="K1" s="2320"/>
      <c r="L1" s="2320"/>
      <c r="M1" s="2320"/>
      <c r="N1" s="2320"/>
      <c r="O1" s="2320"/>
      <c r="P1" s="2320"/>
      <c r="Q1" s="2320"/>
      <c r="R1" s="2320"/>
      <c r="S1" s="2320"/>
      <c r="T1" s="2320"/>
      <c r="U1" s="2320"/>
      <c r="V1" s="2320"/>
      <c r="W1" s="2320"/>
      <c r="X1" s="2320"/>
      <c r="Y1" s="2320"/>
      <c r="Z1" s="2320"/>
      <c r="AA1" s="2320"/>
      <c r="AB1" s="2320"/>
      <c r="AC1" s="2320"/>
      <c r="AD1" s="2320"/>
      <c r="AE1" s="2320"/>
      <c r="AF1" s="2320"/>
      <c r="AG1" s="2320"/>
      <c r="AH1" s="2320"/>
      <c r="AI1" s="2320"/>
      <c r="AJ1" s="2320"/>
      <c r="AK1" s="2320"/>
      <c r="AL1" s="2320"/>
      <c r="AM1" s="2320"/>
      <c r="AN1" s="2320"/>
      <c r="AO1" s="2320"/>
      <c r="AP1" s="2320"/>
      <c r="AQ1" s="2320"/>
      <c r="AR1" s="2320"/>
      <c r="AS1" s="2320"/>
      <c r="AT1" s="2320"/>
      <c r="AU1" s="2320"/>
      <c r="AV1" s="2320"/>
      <c r="AW1" s="2320"/>
      <c r="AX1" s="2320"/>
      <c r="AY1" s="2320"/>
      <c r="AZ1" s="2320"/>
      <c r="BA1" s="2320"/>
      <c r="BB1" s="2320"/>
      <c r="BC1" s="2320"/>
      <c r="BD1" s="2320"/>
      <c r="BE1" s="2320"/>
      <c r="BF1" s="2321"/>
    </row>
    <row r="2" spans="1:66" ht="15" customHeight="1">
      <c r="A2" s="2323"/>
      <c r="BF2" s="2326"/>
    </row>
    <row r="3" spans="1:66" ht="15" customHeight="1">
      <c r="A3" s="2323"/>
      <c r="BF3" s="2326"/>
    </row>
    <row r="4" spans="1:66" ht="15" customHeight="1">
      <c r="A4" s="2370"/>
      <c r="B4" s="2371"/>
      <c r="C4" s="2371"/>
      <c r="D4" s="2371"/>
      <c r="E4" s="2371"/>
      <c r="F4" s="2371"/>
      <c r="G4" s="2371"/>
      <c r="H4" s="2371"/>
      <c r="I4" s="2371"/>
      <c r="J4" s="2371"/>
      <c r="K4" s="2371"/>
      <c r="L4" s="2371"/>
      <c r="M4" s="2371"/>
      <c r="N4" s="2371"/>
      <c r="O4" s="2371"/>
      <c r="P4" s="2371"/>
      <c r="Q4" s="2371"/>
      <c r="R4" s="2371"/>
      <c r="S4" s="2371"/>
      <c r="T4" s="2371"/>
      <c r="U4" s="2371"/>
      <c r="V4" s="2371"/>
      <c r="W4" s="2371"/>
      <c r="X4" s="2371"/>
      <c r="Y4" s="2371"/>
      <c r="Z4" s="2371"/>
      <c r="AA4" s="2371"/>
      <c r="AB4" s="2371"/>
      <c r="AC4" s="2371"/>
      <c r="AD4" s="2371"/>
      <c r="AE4" s="2371"/>
      <c r="AF4" s="2371"/>
      <c r="AG4" s="2371"/>
      <c r="AH4" s="2371"/>
      <c r="AI4" s="2371"/>
      <c r="AJ4" s="2371"/>
      <c r="AK4" s="2371"/>
      <c r="AL4" s="2371"/>
      <c r="AM4" s="2371"/>
      <c r="AN4" s="2371"/>
      <c r="AO4" s="2371"/>
      <c r="AP4" s="2371"/>
      <c r="AQ4" s="2371"/>
      <c r="AR4" s="2371"/>
      <c r="AS4" s="2371"/>
      <c r="AT4" s="2371"/>
      <c r="AU4" s="2371"/>
      <c r="AV4" s="2371"/>
      <c r="AW4" s="2371"/>
      <c r="AX4" s="2371"/>
      <c r="AY4" s="2371"/>
      <c r="AZ4" s="2371"/>
      <c r="BA4" s="2371"/>
      <c r="BB4" s="2371"/>
      <c r="BC4" s="2371"/>
      <c r="BD4" s="2371"/>
      <c r="BE4" s="2371"/>
      <c r="BF4" s="2372"/>
    </row>
    <row r="5" spans="1:66">
      <c r="A5" s="2319"/>
      <c r="B5" s="2320"/>
      <c r="C5" s="2320"/>
      <c r="D5" s="2320"/>
      <c r="E5" s="2320"/>
      <c r="F5" s="2320"/>
      <c r="G5" s="2320"/>
      <c r="H5" s="2320"/>
      <c r="I5" s="2320"/>
      <c r="J5" s="2320"/>
      <c r="K5" s="2320"/>
      <c r="L5" s="2320"/>
      <c r="M5" s="2320"/>
      <c r="N5" s="2320"/>
      <c r="O5" s="2320"/>
      <c r="P5" s="2320"/>
      <c r="Q5" s="2320"/>
      <c r="R5" s="2320"/>
      <c r="S5" s="2320"/>
      <c r="T5" s="2320"/>
      <c r="U5" s="2320"/>
      <c r="V5" s="2320"/>
      <c r="W5" s="2320"/>
      <c r="X5" s="2320"/>
      <c r="Y5" s="2320"/>
      <c r="Z5" s="2320"/>
      <c r="AA5" s="2320"/>
      <c r="AB5" s="2320"/>
      <c r="AC5" s="2320"/>
      <c r="AD5" s="2320"/>
      <c r="AE5" s="2320"/>
      <c r="AF5" s="2320"/>
      <c r="AG5" s="2320"/>
      <c r="AH5" s="2320"/>
      <c r="AI5" s="2320"/>
      <c r="AJ5" s="2320"/>
      <c r="AK5" s="2320"/>
      <c r="AL5" s="2320"/>
      <c r="AM5" s="2320"/>
      <c r="AN5" s="2320"/>
      <c r="AO5" s="2320"/>
      <c r="AP5" s="2320"/>
      <c r="AQ5" s="2320"/>
      <c r="AR5" s="2320"/>
      <c r="AS5" s="2320"/>
      <c r="AT5" s="2320"/>
      <c r="AU5" s="2320"/>
      <c r="AV5" s="2320"/>
      <c r="AW5" s="2320"/>
      <c r="AX5" s="2320"/>
      <c r="AY5" s="2320"/>
      <c r="AZ5" s="2320"/>
      <c r="BA5" s="2320"/>
      <c r="BB5" s="2320"/>
      <c r="BC5" s="2320"/>
      <c r="BD5" s="2320"/>
      <c r="BE5" s="2320"/>
      <c r="BF5" s="2321"/>
      <c r="BI5" s="4629" t="s">
        <v>1163</v>
      </c>
      <c r="BJ5" s="2322" t="s">
        <v>12</v>
      </c>
      <c r="BK5" s="2322" t="s">
        <v>285</v>
      </c>
      <c r="BL5" s="2322" t="s">
        <v>1164</v>
      </c>
      <c r="BM5" s="2322" t="s">
        <v>167</v>
      </c>
      <c r="BN5" s="2322" t="s">
        <v>287</v>
      </c>
    </row>
    <row r="6" spans="1:66" ht="15">
      <c r="A6" s="2323"/>
      <c r="D6" s="2324" t="s">
        <v>206</v>
      </c>
      <c r="K6" s="2324" t="s">
        <v>27</v>
      </c>
      <c r="AN6" s="2324" t="s">
        <v>1097</v>
      </c>
      <c r="AU6" s="2324" t="s">
        <v>27</v>
      </c>
      <c r="AV6" s="2325"/>
      <c r="BF6" s="2326"/>
      <c r="BI6" s="4630"/>
      <c r="BJ6" s="2327" t="s">
        <v>1165</v>
      </c>
      <c r="BK6" s="2327" t="s">
        <v>1165</v>
      </c>
      <c r="BL6" s="2327" t="s">
        <v>1166</v>
      </c>
      <c r="BM6" s="2327" t="s">
        <v>1290</v>
      </c>
      <c r="BN6" s="2327" t="s">
        <v>1291</v>
      </c>
    </row>
    <row r="7" spans="1:66">
      <c r="A7" s="2323"/>
      <c r="D7" s="2324" t="s">
        <v>82</v>
      </c>
      <c r="K7" s="2324" t="s">
        <v>27</v>
      </c>
      <c r="AN7" s="2324" t="s">
        <v>1098</v>
      </c>
      <c r="AU7" s="2324" t="s">
        <v>27</v>
      </c>
      <c r="AV7" s="4631"/>
      <c r="AW7" s="4631"/>
      <c r="AX7" s="4631"/>
      <c r="AY7" s="4631"/>
      <c r="AZ7" s="4631"/>
      <c r="BA7" s="4631"/>
      <c r="BF7" s="2326"/>
      <c r="BI7" s="2328">
        <v>1</v>
      </c>
      <c r="BJ7" s="2329">
        <v>5.94</v>
      </c>
      <c r="BK7" s="2329">
        <v>2.4900000000000002</v>
      </c>
      <c r="BL7" s="2329">
        <v>63.16</v>
      </c>
      <c r="BM7" s="2330">
        <f>IF(BJ7="","",PI()*BJ7^2/4)</f>
        <v>27.711674638050212</v>
      </c>
      <c r="BN7" s="2330">
        <f>IF(OR(BJ7="",BK7=""),"",BM7*BK7)</f>
        <v>69.002069848745037</v>
      </c>
    </row>
    <row r="8" spans="1:66">
      <c r="A8" s="2323"/>
      <c r="D8" s="2324" t="s">
        <v>208</v>
      </c>
      <c r="K8" s="2324" t="s">
        <v>27</v>
      </c>
      <c r="AN8" s="2324" t="s">
        <v>1099</v>
      </c>
      <c r="AU8" s="2324" t="s">
        <v>27</v>
      </c>
      <c r="AV8" s="4631"/>
      <c r="AW8" s="4631"/>
      <c r="AX8" s="4631"/>
      <c r="AY8" s="4631"/>
      <c r="AZ8" s="4631"/>
      <c r="BA8" s="4631"/>
      <c r="BF8" s="2326"/>
      <c r="BI8" s="2331"/>
      <c r="BJ8" s="2332"/>
      <c r="BK8" s="2332"/>
      <c r="BL8" s="2332"/>
      <c r="BM8" s="2333" t="str">
        <f>IF(BJ8="","",PI()*BJ8^2/4)</f>
        <v/>
      </c>
      <c r="BN8" s="2333" t="str">
        <f t="shared" ref="BN8:BN26" si="0">IF(OR(BJ8="",BK8=""),"",BM8*BK8)</f>
        <v/>
      </c>
    </row>
    <row r="9" spans="1:66">
      <c r="A9" s="2323"/>
      <c r="BF9" s="2326"/>
      <c r="BI9" s="2334"/>
      <c r="BJ9" s="2335"/>
      <c r="BK9" s="2335"/>
      <c r="BL9" s="2335"/>
      <c r="BM9" s="2336" t="str">
        <f t="shared" ref="BM9:BM26" si="1">IF(BJ9="","",PI()*BJ9^2/4)</f>
        <v/>
      </c>
      <c r="BN9" s="2336" t="str">
        <f t="shared" si="0"/>
        <v/>
      </c>
    </row>
    <row r="10" spans="1:66">
      <c r="A10" s="2323"/>
      <c r="BF10" s="2326"/>
      <c r="BI10" s="2331"/>
      <c r="BJ10" s="2332"/>
      <c r="BK10" s="2332"/>
      <c r="BL10" s="2332"/>
      <c r="BM10" s="2333" t="str">
        <f t="shared" si="1"/>
        <v/>
      </c>
      <c r="BN10" s="2333" t="str">
        <f t="shared" si="0"/>
        <v/>
      </c>
    </row>
    <row r="11" spans="1:66">
      <c r="A11" s="2323"/>
      <c r="D11" s="4632" t="s">
        <v>1167</v>
      </c>
      <c r="E11" s="4632"/>
      <c r="F11" s="4632"/>
      <c r="G11" s="4632"/>
      <c r="H11" s="4632"/>
      <c r="I11" s="4632"/>
      <c r="J11" s="4632"/>
      <c r="K11" s="4632"/>
      <c r="L11" s="4632"/>
      <c r="M11" s="4632"/>
      <c r="N11" s="4632"/>
      <c r="O11" s="4632"/>
      <c r="P11" s="4632"/>
      <c r="Q11" s="4632"/>
      <c r="R11" s="4632"/>
      <c r="S11" s="4632"/>
      <c r="T11" s="4632"/>
      <c r="U11" s="4632"/>
      <c r="V11" s="4632"/>
      <c r="W11" s="4632"/>
      <c r="X11" s="4632"/>
      <c r="Y11" s="4632"/>
      <c r="Z11" s="4632"/>
      <c r="AA11" s="4632"/>
      <c r="AB11" s="4632"/>
      <c r="AC11" s="4632"/>
      <c r="AD11" s="4632"/>
      <c r="AE11" s="4632"/>
      <c r="AF11" s="4632"/>
      <c r="AG11" s="4632"/>
      <c r="AH11" s="4632"/>
      <c r="AI11" s="4632"/>
      <c r="AJ11" s="4632"/>
      <c r="AK11" s="4632"/>
      <c r="AL11" s="4632"/>
      <c r="AM11" s="4632"/>
      <c r="AN11" s="4632"/>
      <c r="AO11" s="4632"/>
      <c r="AP11" s="4632"/>
      <c r="AQ11" s="4632"/>
      <c r="AR11" s="4632"/>
      <c r="AS11" s="4632"/>
      <c r="AT11" s="4632"/>
      <c r="AU11" s="4632"/>
      <c r="AV11" s="4632"/>
      <c r="AW11" s="4632"/>
      <c r="AX11" s="4632"/>
      <c r="AY11" s="4632"/>
      <c r="AZ11" s="4632"/>
      <c r="BA11" s="4632"/>
      <c r="BB11" s="4632"/>
      <c r="BC11" s="4632"/>
      <c r="BD11" s="4632"/>
      <c r="BE11" s="4632"/>
      <c r="BF11" s="2326"/>
      <c r="BI11" s="2331"/>
      <c r="BJ11" s="2332"/>
      <c r="BK11" s="2332"/>
      <c r="BL11" s="2332"/>
      <c r="BM11" s="2333" t="str">
        <f t="shared" si="1"/>
        <v/>
      </c>
      <c r="BN11" s="2333" t="str">
        <f t="shared" si="0"/>
        <v/>
      </c>
    </row>
    <row r="12" spans="1:66">
      <c r="A12" s="2323"/>
      <c r="D12" s="4633" t="s">
        <v>1102</v>
      </c>
      <c r="E12" s="4633"/>
      <c r="F12" s="4633"/>
      <c r="G12" s="4633"/>
      <c r="H12" s="4633"/>
      <c r="I12" s="4633"/>
      <c r="J12" s="4633"/>
      <c r="K12" s="4633"/>
      <c r="L12" s="4633"/>
      <c r="M12" s="4633"/>
      <c r="N12" s="4633"/>
      <c r="O12" s="4633"/>
      <c r="P12" s="4633"/>
      <c r="Q12" s="4633"/>
      <c r="R12" s="4633"/>
      <c r="S12" s="4633"/>
      <c r="T12" s="4633"/>
      <c r="U12" s="4633"/>
      <c r="V12" s="4633"/>
      <c r="W12" s="4633"/>
      <c r="X12" s="4633"/>
      <c r="Y12" s="4633"/>
      <c r="Z12" s="4633"/>
      <c r="AA12" s="4633"/>
      <c r="AB12" s="4633"/>
      <c r="AC12" s="4633"/>
      <c r="AD12" s="4633"/>
      <c r="AE12" s="4633"/>
      <c r="AF12" s="4633"/>
      <c r="AG12" s="4633"/>
      <c r="AH12" s="4633"/>
      <c r="AI12" s="4633"/>
      <c r="AJ12" s="4633"/>
      <c r="AK12" s="4633"/>
      <c r="AL12" s="4633"/>
      <c r="AM12" s="4633"/>
      <c r="AN12" s="4633"/>
      <c r="AO12" s="4633"/>
      <c r="AP12" s="4633"/>
      <c r="AQ12" s="4633"/>
      <c r="AR12" s="4633"/>
      <c r="AS12" s="4633"/>
      <c r="AT12" s="4633"/>
      <c r="AU12" s="4633"/>
      <c r="AV12" s="4633"/>
      <c r="AW12" s="4633"/>
      <c r="AX12" s="4633"/>
      <c r="AY12" s="4633"/>
      <c r="AZ12" s="4633"/>
      <c r="BA12" s="4633"/>
      <c r="BB12" s="4633"/>
      <c r="BC12" s="4633"/>
      <c r="BD12" s="4633"/>
      <c r="BE12" s="4633"/>
      <c r="BF12" s="2326"/>
      <c r="BI12" s="2331"/>
      <c r="BJ12" s="2332"/>
      <c r="BK12" s="2332"/>
      <c r="BL12" s="2332"/>
      <c r="BM12" s="2333" t="str">
        <f t="shared" si="1"/>
        <v/>
      </c>
      <c r="BN12" s="2333" t="str">
        <f t="shared" si="0"/>
        <v/>
      </c>
    </row>
    <row r="13" spans="1:66">
      <c r="A13" s="2323"/>
      <c r="BF13" s="2326"/>
      <c r="BI13" s="2331"/>
      <c r="BJ13" s="2332"/>
      <c r="BK13" s="2332"/>
      <c r="BL13" s="2332"/>
      <c r="BM13" s="2332" t="str">
        <f t="shared" si="1"/>
        <v/>
      </c>
      <c r="BN13" s="2332" t="str">
        <f t="shared" si="0"/>
        <v/>
      </c>
    </row>
    <row r="14" spans="1:66">
      <c r="A14" s="2323"/>
      <c r="D14" s="2324" t="s">
        <v>1103</v>
      </c>
      <c r="K14" s="2324" t="s">
        <v>27</v>
      </c>
      <c r="BF14" s="2326"/>
      <c r="BI14" s="2331"/>
      <c r="BJ14" s="2332"/>
      <c r="BK14" s="2332"/>
      <c r="BL14" s="2332"/>
      <c r="BM14" s="2333" t="str">
        <f t="shared" si="1"/>
        <v/>
      </c>
      <c r="BN14" s="2333" t="str">
        <f t="shared" si="0"/>
        <v/>
      </c>
    </row>
    <row r="15" spans="1:66">
      <c r="A15" s="2323"/>
      <c r="D15" s="2324" t="s">
        <v>240</v>
      </c>
      <c r="K15" s="2324" t="s">
        <v>27</v>
      </c>
      <c r="BF15" s="2326"/>
      <c r="BI15" s="2331"/>
      <c r="BJ15" s="2332"/>
      <c r="BK15" s="2332"/>
      <c r="BL15" s="2332"/>
      <c r="BM15" s="2333" t="str">
        <f t="shared" si="1"/>
        <v/>
      </c>
      <c r="BN15" s="2333" t="str">
        <f t="shared" si="0"/>
        <v/>
      </c>
    </row>
    <row r="16" spans="1:66">
      <c r="A16" s="2323"/>
      <c r="D16" s="2324" t="s">
        <v>210</v>
      </c>
      <c r="K16" s="2324" t="s">
        <v>27</v>
      </c>
      <c r="T16" s="2324" t="s">
        <v>68</v>
      </c>
      <c r="BF16" s="2326"/>
      <c r="BI16" s="2331"/>
      <c r="BJ16" s="2332"/>
      <c r="BK16" s="2332"/>
      <c r="BL16" s="2332"/>
      <c r="BM16" s="2333" t="str">
        <f t="shared" si="1"/>
        <v/>
      </c>
      <c r="BN16" s="2333" t="str">
        <f t="shared" si="0"/>
        <v/>
      </c>
    </row>
    <row r="17" spans="1:66">
      <c r="A17" s="2323"/>
      <c r="D17" s="2324" t="s">
        <v>1104</v>
      </c>
      <c r="K17" s="2324" t="s">
        <v>27</v>
      </c>
      <c r="L17" s="4634"/>
      <c r="M17" s="4634"/>
      <c r="N17" s="4634"/>
      <c r="O17" s="4634"/>
      <c r="P17" s="4634"/>
      <c r="Q17" s="4634"/>
      <c r="R17" s="4634"/>
      <c r="S17" s="4634"/>
      <c r="T17" s="4634"/>
      <c r="U17" s="4634"/>
      <c r="BF17" s="2326"/>
      <c r="BI17" s="2331"/>
      <c r="BJ17" s="2332"/>
      <c r="BK17" s="2332"/>
      <c r="BL17" s="2332"/>
      <c r="BM17" s="2333" t="str">
        <f t="shared" si="1"/>
        <v/>
      </c>
      <c r="BN17" s="2333" t="str">
        <f t="shared" si="0"/>
        <v/>
      </c>
    </row>
    <row r="18" spans="1:66">
      <c r="A18" s="2323"/>
      <c r="AB18" s="2338"/>
      <c r="AC18" s="2338"/>
      <c r="AD18" s="2338"/>
      <c r="AE18" s="2338"/>
      <c r="AF18" s="2338"/>
      <c r="AG18" s="2338"/>
      <c r="AH18" s="2338"/>
      <c r="AI18" s="2338"/>
      <c r="AJ18" s="2338"/>
      <c r="AK18" s="2338"/>
      <c r="AL18" s="2338"/>
      <c r="AM18" s="2338"/>
      <c r="AN18" s="2338"/>
      <c r="AO18" s="2338"/>
      <c r="AP18" s="2338"/>
      <c r="AQ18" s="2338"/>
      <c r="AR18" s="2338"/>
      <c r="AS18" s="2338"/>
      <c r="AT18" s="2338"/>
      <c r="AU18" s="2338"/>
      <c r="AV18" s="2338"/>
      <c r="AW18" s="2338"/>
      <c r="AX18" s="2338"/>
      <c r="AY18" s="2338"/>
      <c r="AZ18" s="2338"/>
      <c r="BA18" s="2338"/>
      <c r="BB18" s="2338"/>
      <c r="BC18" s="2338"/>
      <c r="BD18" s="2338"/>
      <c r="BE18" s="2338"/>
      <c r="BF18" s="2326"/>
      <c r="BI18" s="2331"/>
      <c r="BJ18" s="2332"/>
      <c r="BK18" s="2332"/>
      <c r="BL18" s="2332"/>
      <c r="BM18" s="2333" t="str">
        <f t="shared" si="1"/>
        <v/>
      </c>
      <c r="BN18" s="2333" t="str">
        <f t="shared" si="0"/>
        <v/>
      </c>
    </row>
    <row r="19" spans="1:66">
      <c r="A19" s="4642"/>
      <c r="B19" s="4643"/>
      <c r="D19" s="2339" t="s">
        <v>1168</v>
      </c>
      <c r="E19" s="2340"/>
      <c r="F19" s="2340"/>
      <c r="G19" s="2340"/>
      <c r="H19" s="2340"/>
      <c r="I19" s="2340"/>
      <c r="J19" s="2340"/>
      <c r="K19" s="2340"/>
      <c r="L19" s="2340"/>
      <c r="M19" s="2340"/>
      <c r="N19" s="2340"/>
      <c r="O19" s="2340"/>
      <c r="P19" s="2340"/>
      <c r="Q19" s="2340"/>
      <c r="R19" s="2341"/>
      <c r="S19" s="2341"/>
      <c r="T19" s="2341"/>
      <c r="U19" s="2342"/>
      <c r="V19" s="4644">
        <v>1</v>
      </c>
      <c r="W19" s="4645"/>
      <c r="X19" s="4645"/>
      <c r="Y19" s="4645"/>
      <c r="Z19" s="4645"/>
      <c r="AA19" s="4645"/>
      <c r="AB19" s="4645"/>
      <c r="AC19" s="4645"/>
      <c r="AD19" s="4645"/>
      <c r="AE19" s="4645"/>
      <c r="AF19" s="4645"/>
      <c r="AG19" s="4646"/>
      <c r="AH19" s="4644">
        <v>2</v>
      </c>
      <c r="AI19" s="4645"/>
      <c r="AJ19" s="4645"/>
      <c r="AK19" s="4645"/>
      <c r="AL19" s="4645"/>
      <c r="AM19" s="4645"/>
      <c r="AN19" s="4645"/>
      <c r="AO19" s="4645"/>
      <c r="AP19" s="4645"/>
      <c r="AQ19" s="4645"/>
      <c r="AR19" s="4645"/>
      <c r="AS19" s="4646"/>
      <c r="AT19" s="4644">
        <v>3</v>
      </c>
      <c r="AU19" s="4645"/>
      <c r="AV19" s="4645"/>
      <c r="AW19" s="4645"/>
      <c r="AX19" s="4645"/>
      <c r="AY19" s="4645"/>
      <c r="AZ19" s="4645"/>
      <c r="BA19" s="4645"/>
      <c r="BB19" s="4645"/>
      <c r="BC19" s="4645"/>
      <c r="BD19" s="4645"/>
      <c r="BE19" s="4646"/>
      <c r="BF19" s="2326"/>
      <c r="BI19" s="2331"/>
      <c r="BJ19" s="2332"/>
      <c r="BK19" s="2332"/>
      <c r="BL19" s="2332"/>
      <c r="BM19" s="2333" t="str">
        <f t="shared" si="1"/>
        <v/>
      </c>
      <c r="BN19" s="2333" t="str">
        <f t="shared" si="0"/>
        <v/>
      </c>
    </row>
    <row r="20" spans="1:66">
      <c r="A20" s="4642"/>
      <c r="B20" s="4643"/>
      <c r="D20" s="2345" t="s">
        <v>1169</v>
      </c>
      <c r="E20" s="2346"/>
      <c r="F20" s="2346"/>
      <c r="G20" s="2346"/>
      <c r="H20" s="2346"/>
      <c r="I20" s="2346"/>
      <c r="J20" s="2346"/>
      <c r="K20" s="2346"/>
      <c r="L20" s="2346"/>
      <c r="M20" s="2346"/>
      <c r="N20" s="2346"/>
      <c r="O20" s="2346"/>
      <c r="P20" s="2346"/>
      <c r="Q20" s="2346"/>
      <c r="R20" s="4638" t="s">
        <v>68</v>
      </c>
      <c r="S20" s="4638"/>
      <c r="T20" s="4638"/>
      <c r="U20" s="2348"/>
      <c r="V20" s="4647" t="s">
        <v>1170</v>
      </c>
      <c r="W20" s="4648"/>
      <c r="X20" s="4648"/>
      <c r="Y20" s="4648"/>
      <c r="Z20" s="4648"/>
      <c r="AA20" s="4648"/>
      <c r="AB20" s="4648"/>
      <c r="AC20" s="4648"/>
      <c r="AD20" s="4648"/>
      <c r="AE20" s="4648"/>
      <c r="AF20" s="4648"/>
      <c r="AG20" s="4649"/>
      <c r="AH20" s="4647" t="str">
        <f>V20</f>
        <v>0.00 - 00.00</v>
      </c>
      <c r="AI20" s="4648"/>
      <c r="AJ20" s="4648"/>
      <c r="AK20" s="4648"/>
      <c r="AL20" s="4648"/>
      <c r="AM20" s="4648"/>
      <c r="AN20" s="4648"/>
      <c r="AO20" s="4648"/>
      <c r="AP20" s="4648"/>
      <c r="AQ20" s="4648"/>
      <c r="AR20" s="4648"/>
      <c r="AS20" s="4649"/>
      <c r="AT20" s="4647" t="str">
        <f>V20</f>
        <v>0.00 - 00.00</v>
      </c>
      <c r="AU20" s="4648"/>
      <c r="AV20" s="4648"/>
      <c r="AW20" s="4648"/>
      <c r="AX20" s="4648"/>
      <c r="AY20" s="4648"/>
      <c r="AZ20" s="4648"/>
      <c r="BA20" s="4648"/>
      <c r="BB20" s="4648"/>
      <c r="BC20" s="4648"/>
      <c r="BD20" s="4648"/>
      <c r="BE20" s="4649"/>
      <c r="BF20" s="2326"/>
      <c r="BI20" s="2331"/>
      <c r="BJ20" s="2332"/>
      <c r="BK20" s="2332"/>
      <c r="BL20" s="2332"/>
      <c r="BM20" s="2333" t="str">
        <f t="shared" si="1"/>
        <v/>
      </c>
      <c r="BN20" s="2333" t="str">
        <f t="shared" si="0"/>
        <v/>
      </c>
    </row>
    <row r="21" spans="1:66">
      <c r="A21" s="4642"/>
      <c r="B21" s="4643"/>
      <c r="D21" s="2345" t="s">
        <v>1171</v>
      </c>
      <c r="E21" s="2346"/>
      <c r="F21" s="2346"/>
      <c r="G21" s="2346"/>
      <c r="H21" s="2346"/>
      <c r="I21" s="2346"/>
      <c r="J21" s="2346"/>
      <c r="K21" s="2346"/>
      <c r="L21" s="2346"/>
      <c r="M21" s="2346"/>
      <c r="N21" s="2346"/>
      <c r="O21" s="2346"/>
      <c r="P21" s="2346"/>
      <c r="Q21" s="2346"/>
      <c r="R21" s="4638" t="s">
        <v>1172</v>
      </c>
      <c r="S21" s="4638"/>
      <c r="T21" s="4638"/>
      <c r="U21" s="2348"/>
      <c r="V21" s="4635">
        <v>3</v>
      </c>
      <c r="W21" s="4636"/>
      <c r="X21" s="4636"/>
      <c r="Y21" s="4636"/>
      <c r="Z21" s="4636"/>
      <c r="AA21" s="4636"/>
      <c r="AB21" s="4636"/>
      <c r="AC21" s="4636"/>
      <c r="AD21" s="4636"/>
      <c r="AE21" s="4636"/>
      <c r="AF21" s="4636"/>
      <c r="AG21" s="4637"/>
      <c r="AH21" s="4635">
        <v>6</v>
      </c>
      <c r="AI21" s="4636"/>
      <c r="AJ21" s="4636"/>
      <c r="AK21" s="4636"/>
      <c r="AL21" s="4636"/>
      <c r="AM21" s="4636"/>
      <c r="AN21" s="4636"/>
      <c r="AO21" s="4636"/>
      <c r="AP21" s="4636"/>
      <c r="AQ21" s="4636"/>
      <c r="AR21" s="4636"/>
      <c r="AS21" s="4637"/>
      <c r="AT21" s="4635">
        <v>12</v>
      </c>
      <c r="AU21" s="4636"/>
      <c r="AV21" s="4636"/>
      <c r="AW21" s="4636"/>
      <c r="AX21" s="4636"/>
      <c r="AY21" s="4636"/>
      <c r="AZ21" s="4636"/>
      <c r="BA21" s="4636"/>
      <c r="BB21" s="4636"/>
      <c r="BC21" s="4636"/>
      <c r="BD21" s="4636"/>
      <c r="BE21" s="4637"/>
      <c r="BF21" s="2326"/>
      <c r="BI21" s="2331"/>
      <c r="BJ21" s="2332"/>
      <c r="BK21" s="2332"/>
      <c r="BL21" s="2332"/>
      <c r="BM21" s="2333" t="str">
        <f t="shared" si="1"/>
        <v/>
      </c>
      <c r="BN21" s="2333" t="str">
        <f t="shared" si="0"/>
        <v/>
      </c>
    </row>
    <row r="22" spans="1:66">
      <c r="A22" s="4642"/>
      <c r="B22" s="4643"/>
      <c r="D22" s="2345" t="s">
        <v>1114</v>
      </c>
      <c r="E22" s="2346"/>
      <c r="F22" s="2346"/>
      <c r="G22" s="2346"/>
      <c r="H22" s="2346"/>
      <c r="I22" s="2346"/>
      <c r="J22" s="2346"/>
      <c r="K22" s="2346"/>
      <c r="L22" s="2346"/>
      <c r="M22" s="2346"/>
      <c r="N22" s="2346"/>
      <c r="O22" s="2346"/>
      <c r="P22" s="2346"/>
      <c r="Q22" s="2346"/>
      <c r="R22" s="4638" t="s">
        <v>546</v>
      </c>
      <c r="S22" s="4638"/>
      <c r="T22" s="4638"/>
      <c r="U22" s="2348"/>
      <c r="V22" s="4639">
        <f>IF(OR(V21="",V25=""),"",V21/V28*100)</f>
        <v>10.825762207386683</v>
      </c>
      <c r="W22" s="4640"/>
      <c r="X22" s="4640"/>
      <c r="Y22" s="4640"/>
      <c r="Z22" s="4640"/>
      <c r="AA22" s="4640"/>
      <c r="AB22" s="4640"/>
      <c r="AC22" s="4640"/>
      <c r="AD22" s="4640"/>
      <c r="AE22" s="4640"/>
      <c r="AF22" s="4640"/>
      <c r="AG22" s="4641"/>
      <c r="AH22" s="4639">
        <f>IF(OR(AH21="",AH25=""),"",AH21/AH28*100)</f>
        <v>21.651524414773366</v>
      </c>
      <c r="AI22" s="4640"/>
      <c r="AJ22" s="4640"/>
      <c r="AK22" s="4640"/>
      <c r="AL22" s="4640"/>
      <c r="AM22" s="4640"/>
      <c r="AN22" s="4640"/>
      <c r="AO22" s="4640"/>
      <c r="AP22" s="4640"/>
      <c r="AQ22" s="4640"/>
      <c r="AR22" s="4640"/>
      <c r="AS22" s="4641"/>
      <c r="AT22" s="4639">
        <f>IF(OR(AT21="",AT25=""),"",AT21/AT28*100)</f>
        <v>43.303048829546732</v>
      </c>
      <c r="AU22" s="4640"/>
      <c r="AV22" s="4640"/>
      <c r="AW22" s="4640"/>
      <c r="AX22" s="4640"/>
      <c r="AY22" s="4640"/>
      <c r="AZ22" s="4640"/>
      <c r="BA22" s="4640"/>
      <c r="BB22" s="4640"/>
      <c r="BC22" s="4640"/>
      <c r="BD22" s="4640"/>
      <c r="BE22" s="4641"/>
      <c r="BF22" s="2326"/>
      <c r="BI22" s="2331"/>
      <c r="BJ22" s="2332"/>
      <c r="BK22" s="2332"/>
      <c r="BL22" s="2332"/>
      <c r="BM22" s="2333" t="str">
        <f t="shared" si="1"/>
        <v/>
      </c>
      <c r="BN22" s="2333" t="str">
        <f t="shared" si="0"/>
        <v/>
      </c>
    </row>
    <row r="23" spans="1:66">
      <c r="A23" s="2307" t="s">
        <v>27</v>
      </c>
      <c r="B23" s="2306" t="s">
        <v>27</v>
      </c>
      <c r="D23" s="2349"/>
      <c r="E23" s="2350"/>
      <c r="F23" s="2350"/>
      <c r="G23" s="2350"/>
      <c r="H23" s="2350"/>
      <c r="I23" s="2350"/>
      <c r="J23" s="2350"/>
      <c r="K23" s="2350"/>
      <c r="L23" s="2350"/>
      <c r="M23" s="2350"/>
      <c r="N23" s="2350"/>
      <c r="O23" s="2350"/>
      <c r="P23" s="2350"/>
      <c r="Q23" s="2350"/>
      <c r="R23" s="4650"/>
      <c r="S23" s="4650"/>
      <c r="T23" s="4650"/>
      <c r="U23" s="2352"/>
      <c r="V23" s="4651"/>
      <c r="W23" s="4652"/>
      <c r="X23" s="4652"/>
      <c r="Y23" s="4652"/>
      <c r="Z23" s="4652"/>
      <c r="AA23" s="4652"/>
      <c r="AB23" s="4652"/>
      <c r="AC23" s="4652"/>
      <c r="AD23" s="4652"/>
      <c r="AE23" s="4652"/>
      <c r="AF23" s="4652"/>
      <c r="AG23" s="4653"/>
      <c r="AH23" s="4651"/>
      <c r="AI23" s="4652"/>
      <c r="AJ23" s="4652"/>
      <c r="AK23" s="4652"/>
      <c r="AL23" s="4652"/>
      <c r="AM23" s="4652"/>
      <c r="AN23" s="4652"/>
      <c r="AO23" s="4652"/>
      <c r="AP23" s="4652"/>
      <c r="AQ23" s="4652"/>
      <c r="AR23" s="4652"/>
      <c r="AS23" s="4653"/>
      <c r="AT23" s="4651"/>
      <c r="AU23" s="4652"/>
      <c r="AV23" s="4652"/>
      <c r="AW23" s="4652"/>
      <c r="AX23" s="4652"/>
      <c r="AY23" s="4652"/>
      <c r="AZ23" s="4652"/>
      <c r="BA23" s="4652"/>
      <c r="BB23" s="4652"/>
      <c r="BC23" s="4652"/>
      <c r="BD23" s="4652"/>
      <c r="BE23" s="4653"/>
      <c r="BF23" s="2326"/>
      <c r="BI23" s="2331"/>
      <c r="BJ23" s="2332"/>
      <c r="BK23" s="2332"/>
      <c r="BL23" s="2332"/>
      <c r="BM23" s="2333" t="str">
        <f t="shared" si="1"/>
        <v/>
      </c>
      <c r="BN23" s="2333" t="str">
        <f t="shared" si="0"/>
        <v/>
      </c>
    </row>
    <row r="24" spans="1:66">
      <c r="A24" s="4654" t="s">
        <v>76</v>
      </c>
      <c r="B24" s="4643" t="s">
        <v>76</v>
      </c>
      <c r="D24" s="2353"/>
      <c r="E24" s="2354"/>
      <c r="F24" s="2354"/>
      <c r="G24" s="2354"/>
      <c r="H24" s="2354"/>
      <c r="I24" s="2354"/>
      <c r="J24" s="2354"/>
      <c r="K24" s="2354"/>
      <c r="L24" s="2354"/>
      <c r="M24" s="2354"/>
      <c r="N24" s="2354"/>
      <c r="O24" s="2354"/>
      <c r="P24" s="2354"/>
      <c r="Q24" s="2354"/>
      <c r="R24" s="2343"/>
      <c r="S24" s="2343"/>
      <c r="T24" s="2343"/>
      <c r="U24" s="2344"/>
      <c r="V24" s="4644" t="s">
        <v>543</v>
      </c>
      <c r="W24" s="4645"/>
      <c r="X24" s="4645"/>
      <c r="Y24" s="4645"/>
      <c r="Z24" s="4645"/>
      <c r="AA24" s="4646"/>
      <c r="AB24" s="4644" t="s">
        <v>1173</v>
      </c>
      <c r="AC24" s="4645"/>
      <c r="AD24" s="4645"/>
      <c r="AE24" s="4645"/>
      <c r="AF24" s="4645"/>
      <c r="AG24" s="4646"/>
      <c r="AH24" s="4644" t="s">
        <v>543</v>
      </c>
      <c r="AI24" s="4645"/>
      <c r="AJ24" s="4645"/>
      <c r="AK24" s="4645"/>
      <c r="AL24" s="4645"/>
      <c r="AM24" s="4646"/>
      <c r="AN24" s="4644" t="s">
        <v>1173</v>
      </c>
      <c r="AO24" s="4645"/>
      <c r="AP24" s="4645"/>
      <c r="AQ24" s="4645"/>
      <c r="AR24" s="4645"/>
      <c r="AS24" s="4646"/>
      <c r="AT24" s="4644" t="s">
        <v>543</v>
      </c>
      <c r="AU24" s="4645"/>
      <c r="AV24" s="4645"/>
      <c r="AW24" s="4645"/>
      <c r="AX24" s="4645"/>
      <c r="AY24" s="4646"/>
      <c r="AZ24" s="4644" t="s">
        <v>1173</v>
      </c>
      <c r="BA24" s="4645"/>
      <c r="BB24" s="4645"/>
      <c r="BC24" s="4645"/>
      <c r="BD24" s="4645"/>
      <c r="BE24" s="4646"/>
      <c r="BF24" s="2326"/>
      <c r="BI24" s="2331"/>
      <c r="BJ24" s="2332"/>
      <c r="BK24" s="2332"/>
      <c r="BL24" s="2332"/>
      <c r="BM24" s="2333" t="str">
        <f t="shared" si="1"/>
        <v/>
      </c>
      <c r="BN24" s="2333" t="str">
        <f t="shared" si="0"/>
        <v/>
      </c>
    </row>
    <row r="25" spans="1:66">
      <c r="A25" s="4654"/>
      <c r="B25" s="4643"/>
      <c r="D25" s="2339" t="s">
        <v>1163</v>
      </c>
      <c r="E25" s="2340"/>
      <c r="F25" s="2340"/>
      <c r="G25" s="2340"/>
      <c r="H25" s="2340"/>
      <c r="I25" s="2340"/>
      <c r="J25" s="2340"/>
      <c r="K25" s="2340"/>
      <c r="L25" s="2340"/>
      <c r="M25" s="2340"/>
      <c r="N25" s="2340"/>
      <c r="O25" s="2340"/>
      <c r="P25" s="2340"/>
      <c r="Q25" s="2340"/>
      <c r="R25" s="2341"/>
      <c r="S25" s="2341"/>
      <c r="T25" s="2341"/>
      <c r="U25" s="2342"/>
      <c r="V25" s="4655">
        <v>1</v>
      </c>
      <c r="W25" s="4656"/>
      <c r="X25" s="4656"/>
      <c r="Y25" s="4656"/>
      <c r="Z25" s="4656"/>
      <c r="AA25" s="4657"/>
      <c r="AB25" s="4655">
        <v>1</v>
      </c>
      <c r="AC25" s="4656"/>
      <c r="AD25" s="4656"/>
      <c r="AE25" s="4656"/>
      <c r="AF25" s="4656"/>
      <c r="AG25" s="4657"/>
      <c r="AH25" s="4655">
        <v>1</v>
      </c>
      <c r="AI25" s="4656"/>
      <c r="AJ25" s="4656"/>
      <c r="AK25" s="4656"/>
      <c r="AL25" s="4656"/>
      <c r="AM25" s="4657"/>
      <c r="AN25" s="4655">
        <v>1</v>
      </c>
      <c r="AO25" s="4656"/>
      <c r="AP25" s="4656"/>
      <c r="AQ25" s="4656"/>
      <c r="AR25" s="4656"/>
      <c r="AS25" s="4657"/>
      <c r="AT25" s="4655">
        <v>1</v>
      </c>
      <c r="AU25" s="4656"/>
      <c r="AV25" s="4656"/>
      <c r="AW25" s="4656"/>
      <c r="AX25" s="4656"/>
      <c r="AY25" s="4657"/>
      <c r="AZ25" s="4655">
        <v>1</v>
      </c>
      <c r="BA25" s="4656"/>
      <c r="BB25" s="4656"/>
      <c r="BC25" s="4656"/>
      <c r="BD25" s="4656"/>
      <c r="BE25" s="4657"/>
      <c r="BF25" s="2326"/>
      <c r="BI25" s="2331"/>
      <c r="BJ25" s="2332"/>
      <c r="BK25" s="2332"/>
      <c r="BL25" s="2332"/>
      <c r="BM25" s="2333" t="str">
        <f t="shared" si="1"/>
        <v/>
      </c>
      <c r="BN25" s="2333" t="str">
        <f t="shared" si="0"/>
        <v/>
      </c>
    </row>
    <row r="26" spans="1:66">
      <c r="A26" s="4654"/>
      <c r="B26" s="4643"/>
      <c r="D26" s="2345" t="s">
        <v>1174</v>
      </c>
      <c r="E26" s="2346"/>
      <c r="F26" s="2346"/>
      <c r="G26" s="2346"/>
      <c r="H26" s="2346"/>
      <c r="I26" s="2346"/>
      <c r="J26" s="2346"/>
      <c r="K26" s="2346"/>
      <c r="L26" s="2346"/>
      <c r="M26" s="2346"/>
      <c r="N26" s="2346"/>
      <c r="O26" s="2346"/>
      <c r="P26" s="2346"/>
      <c r="Q26" s="2346"/>
      <c r="R26" s="2347" t="s">
        <v>104</v>
      </c>
      <c r="S26" s="2347"/>
      <c r="T26" s="2347"/>
      <c r="U26" s="2348"/>
      <c r="V26" s="4639">
        <f>IF(V25="","",VLOOKUP(V25,$BI$7:$BN$26,2))</f>
        <v>5.94</v>
      </c>
      <c r="W26" s="4640"/>
      <c r="X26" s="4640"/>
      <c r="Y26" s="4640"/>
      <c r="Z26" s="4640"/>
      <c r="AA26" s="4641"/>
      <c r="AB26" s="4639">
        <f>IF(AB25="","",VLOOKUP(AB25,$BI$7:$BN$26,2))</f>
        <v>5.94</v>
      </c>
      <c r="AC26" s="4640"/>
      <c r="AD26" s="4640"/>
      <c r="AE26" s="4640"/>
      <c r="AF26" s="4640"/>
      <c r="AG26" s="4641"/>
      <c r="AH26" s="4639">
        <f>IF(AH25="","",VLOOKUP(AH25,$BI$7:$BN$26,2))</f>
        <v>5.94</v>
      </c>
      <c r="AI26" s="4640"/>
      <c r="AJ26" s="4640"/>
      <c r="AK26" s="4640"/>
      <c r="AL26" s="4640"/>
      <c r="AM26" s="4641"/>
      <c r="AN26" s="4639">
        <f>IF(AN25="","",VLOOKUP(AN25,$BI$7:$BN$26,2))</f>
        <v>5.94</v>
      </c>
      <c r="AO26" s="4640"/>
      <c r="AP26" s="4640"/>
      <c r="AQ26" s="4640"/>
      <c r="AR26" s="4640"/>
      <c r="AS26" s="4641"/>
      <c r="AT26" s="4639">
        <f>IF(AT25="","",VLOOKUP(AT25,$BI$7:$BN$26,2))</f>
        <v>5.94</v>
      </c>
      <c r="AU26" s="4640"/>
      <c r="AV26" s="4640"/>
      <c r="AW26" s="4640"/>
      <c r="AX26" s="4640"/>
      <c r="AY26" s="4641"/>
      <c r="AZ26" s="4639">
        <f>IF(AZ25="","",VLOOKUP(AZ25,$BI$7:$BN$26,2))</f>
        <v>5.94</v>
      </c>
      <c r="BA26" s="4640"/>
      <c r="BB26" s="4640"/>
      <c r="BC26" s="4640"/>
      <c r="BD26" s="4640"/>
      <c r="BE26" s="4641"/>
      <c r="BF26" s="2326"/>
      <c r="BI26" s="2355"/>
      <c r="BJ26" s="2356"/>
      <c r="BK26" s="2356"/>
      <c r="BL26" s="2356"/>
      <c r="BM26" s="2357" t="str">
        <f t="shared" si="1"/>
        <v/>
      </c>
      <c r="BN26" s="2357" t="str">
        <f t="shared" si="0"/>
        <v/>
      </c>
    </row>
    <row r="27" spans="1:66">
      <c r="A27" s="4654"/>
      <c r="B27" s="4643"/>
      <c r="D27" s="2345" t="s">
        <v>1175</v>
      </c>
      <c r="E27" s="2346"/>
      <c r="F27" s="2346"/>
      <c r="G27" s="2346"/>
      <c r="H27" s="2346"/>
      <c r="I27" s="2346"/>
      <c r="J27" s="2346"/>
      <c r="K27" s="2346"/>
      <c r="L27" s="2346"/>
      <c r="M27" s="2346"/>
      <c r="N27" s="2346"/>
      <c r="O27" s="2346"/>
      <c r="P27" s="2346"/>
      <c r="Q27" s="2346"/>
      <c r="R27" s="2347" t="s">
        <v>104</v>
      </c>
      <c r="S27" s="2347"/>
      <c r="T27" s="2347"/>
      <c r="U27" s="2358"/>
      <c r="V27" s="4639">
        <f>IF(V25="","",VLOOKUP(V25,$BI$7:$BN$26,3))</f>
        <v>2.4900000000000002</v>
      </c>
      <c r="W27" s="4640"/>
      <c r="X27" s="4640"/>
      <c r="Y27" s="4640"/>
      <c r="Z27" s="4640"/>
      <c r="AA27" s="4641"/>
      <c r="AB27" s="4639">
        <f>IF(AB25="","",VLOOKUP(AB25,$BI$7:$BN$26,3))</f>
        <v>2.4900000000000002</v>
      </c>
      <c r="AC27" s="4640"/>
      <c r="AD27" s="4640"/>
      <c r="AE27" s="4640"/>
      <c r="AF27" s="4640"/>
      <c r="AG27" s="4641"/>
      <c r="AH27" s="4639">
        <f>IF(AH25="","",VLOOKUP(AH25,$BI$7:$BN$26,3))</f>
        <v>2.4900000000000002</v>
      </c>
      <c r="AI27" s="4640"/>
      <c r="AJ27" s="4640"/>
      <c r="AK27" s="4640"/>
      <c r="AL27" s="4640"/>
      <c r="AM27" s="4641"/>
      <c r="AN27" s="4639">
        <f>IF(AN25="","",VLOOKUP(AN25,$BI$7:$BN$26,3))</f>
        <v>2.4900000000000002</v>
      </c>
      <c r="AO27" s="4640"/>
      <c r="AP27" s="4640"/>
      <c r="AQ27" s="4640"/>
      <c r="AR27" s="4640"/>
      <c r="AS27" s="4641"/>
      <c r="AT27" s="4639">
        <f>IF(AT25="","",VLOOKUP(AT25,$BI$7:$BN$26,3))</f>
        <v>2.4900000000000002</v>
      </c>
      <c r="AU27" s="4640"/>
      <c r="AV27" s="4640"/>
      <c r="AW27" s="4640"/>
      <c r="AX27" s="4640"/>
      <c r="AY27" s="4641"/>
      <c r="AZ27" s="4639">
        <f>IF(AZ25="","",VLOOKUP(AZ25,$BI$7:$BN$26,3))</f>
        <v>2.4900000000000002</v>
      </c>
      <c r="BA27" s="4640"/>
      <c r="BB27" s="4640"/>
      <c r="BC27" s="4640"/>
      <c r="BD27" s="4640"/>
      <c r="BE27" s="4641"/>
      <c r="BF27" s="2326"/>
      <c r="BI27" s="2359" t="s">
        <v>1176</v>
      </c>
      <c r="BJ27" s="2360">
        <f>AVERAGE(BJ7:BJ26)</f>
        <v>5.94</v>
      </c>
      <c r="BK27" s="2360">
        <f>AVERAGE(BK7:BK26)</f>
        <v>2.4900000000000002</v>
      </c>
      <c r="BL27" s="2360">
        <f>AVERAGE(BL7:BL26)</f>
        <v>63.16</v>
      </c>
      <c r="BM27" s="2360">
        <f>AVERAGE(BM7:BM26)</f>
        <v>27.711674638050212</v>
      </c>
      <c r="BN27" s="2360">
        <f>AVERAGE(BN7:BN26)</f>
        <v>69.002069848745037</v>
      </c>
    </row>
    <row r="28" spans="1:66" ht="15">
      <c r="A28" s="2308"/>
      <c r="B28" s="2309"/>
      <c r="D28" s="2345" t="s">
        <v>1177</v>
      </c>
      <c r="E28" s="2346"/>
      <c r="F28" s="2346"/>
      <c r="G28" s="2346"/>
      <c r="H28" s="2346"/>
      <c r="I28" s="2346"/>
      <c r="J28" s="2346"/>
      <c r="K28" s="2346"/>
      <c r="L28" s="2346"/>
      <c r="M28" s="2346"/>
      <c r="N28" s="2346"/>
      <c r="O28" s="2346"/>
      <c r="P28" s="2346"/>
      <c r="Q28" s="2346"/>
      <c r="R28" s="2347" t="s">
        <v>473</v>
      </c>
      <c r="S28" s="2347"/>
      <c r="T28" s="2347"/>
      <c r="U28" s="2358"/>
      <c r="V28" s="4639">
        <f>IF(V25="","",VLOOKUP(V25,$BI$7:$BN$26,5))</f>
        <v>27.711674638050212</v>
      </c>
      <c r="W28" s="4640"/>
      <c r="X28" s="4640"/>
      <c r="Y28" s="4640"/>
      <c r="Z28" s="4640"/>
      <c r="AA28" s="4641"/>
      <c r="AB28" s="4639">
        <f>IF(AB25="","",VLOOKUP(AB25,$BI$7:$BN$26,5))</f>
        <v>27.711674638050212</v>
      </c>
      <c r="AC28" s="4640"/>
      <c r="AD28" s="4640"/>
      <c r="AE28" s="4640"/>
      <c r="AF28" s="4640"/>
      <c r="AG28" s="4641"/>
      <c r="AH28" s="4639">
        <f>IF(AH25="","",VLOOKUP(AH25,$BI$7:$BN$26,5))</f>
        <v>27.711674638050212</v>
      </c>
      <c r="AI28" s="4640"/>
      <c r="AJ28" s="4640"/>
      <c r="AK28" s="4640"/>
      <c r="AL28" s="4640"/>
      <c r="AM28" s="4641"/>
      <c r="AN28" s="4639">
        <f>IF(AN25="","",VLOOKUP(AN25,$BI$7:$BN$26,5))</f>
        <v>27.711674638050212</v>
      </c>
      <c r="AO28" s="4640"/>
      <c r="AP28" s="4640"/>
      <c r="AQ28" s="4640"/>
      <c r="AR28" s="4640"/>
      <c r="AS28" s="4641"/>
      <c r="AT28" s="4639">
        <f>IF(AT25="","",VLOOKUP(AT25,$BI$7:$BN$26,5))</f>
        <v>27.711674638050212</v>
      </c>
      <c r="AU28" s="4640"/>
      <c r="AV28" s="4640"/>
      <c r="AW28" s="4640"/>
      <c r="AX28" s="4640"/>
      <c r="AY28" s="4641"/>
      <c r="AZ28" s="4639">
        <f>IF(AZ25="","",VLOOKUP(AZ25,$BI$7:$BN$26,5))</f>
        <v>27.711674638050212</v>
      </c>
      <c r="BA28" s="4640"/>
      <c r="BB28" s="4640"/>
      <c r="BC28" s="4640"/>
      <c r="BD28" s="4640"/>
      <c r="BE28" s="4641"/>
      <c r="BF28" s="2326"/>
    </row>
    <row r="29" spans="1:66" ht="15">
      <c r="A29" s="2308"/>
      <c r="B29" s="2309"/>
      <c r="D29" s="2345" t="s">
        <v>1178</v>
      </c>
      <c r="E29" s="2346"/>
      <c r="F29" s="2346"/>
      <c r="G29" s="2346"/>
      <c r="H29" s="2346"/>
      <c r="I29" s="2346"/>
      <c r="J29" s="2346"/>
      <c r="K29" s="2346"/>
      <c r="L29" s="2346"/>
      <c r="M29" s="2346"/>
      <c r="N29" s="2346"/>
      <c r="O29" s="2346"/>
      <c r="P29" s="2346"/>
      <c r="Q29" s="2346"/>
      <c r="R29" s="2347" t="s">
        <v>475</v>
      </c>
      <c r="S29" s="2347"/>
      <c r="T29" s="2347"/>
      <c r="U29" s="2358"/>
      <c r="V29" s="4639">
        <f>IF(V25="","",VLOOKUP(V25,$BI$7:$BN$26,6))</f>
        <v>69.002069848745037</v>
      </c>
      <c r="W29" s="4640"/>
      <c r="X29" s="4640"/>
      <c r="Y29" s="4640"/>
      <c r="Z29" s="4640"/>
      <c r="AA29" s="4641"/>
      <c r="AB29" s="4639">
        <f>IF(AB25="","",VLOOKUP(AB25,$BI$7:$BN$26,6))</f>
        <v>69.002069848745037</v>
      </c>
      <c r="AC29" s="4640"/>
      <c r="AD29" s="4640"/>
      <c r="AE29" s="4640"/>
      <c r="AF29" s="4640"/>
      <c r="AG29" s="4641"/>
      <c r="AH29" s="4639">
        <f>IF(AH25="","",VLOOKUP(AH25,$BI$7:$BN$26,6))</f>
        <v>69.002069848745037</v>
      </c>
      <c r="AI29" s="4640"/>
      <c r="AJ29" s="4640"/>
      <c r="AK29" s="4640"/>
      <c r="AL29" s="4640"/>
      <c r="AM29" s="4641"/>
      <c r="AN29" s="4639">
        <f>IF(AN25="","",VLOOKUP(AN25,$BI$7:$BN$26,6))</f>
        <v>69.002069848745037</v>
      </c>
      <c r="AO29" s="4640"/>
      <c r="AP29" s="4640"/>
      <c r="AQ29" s="4640"/>
      <c r="AR29" s="4640"/>
      <c r="AS29" s="4641"/>
      <c r="AT29" s="4639">
        <f>IF(AT25="","",VLOOKUP(AT25,$BI$7:$BN$26,6))</f>
        <v>69.002069848745037</v>
      </c>
      <c r="AU29" s="4640"/>
      <c r="AV29" s="4640"/>
      <c r="AW29" s="4640"/>
      <c r="AX29" s="4640"/>
      <c r="AY29" s="4641"/>
      <c r="AZ29" s="4639">
        <f>IF(AZ25="","",VLOOKUP(AZ25,$BI$7:$BN$26,6))</f>
        <v>69.002069848745037</v>
      </c>
      <c r="BA29" s="4640"/>
      <c r="BB29" s="4640"/>
      <c r="BC29" s="4640"/>
      <c r="BD29" s="4640"/>
      <c r="BE29" s="4641"/>
      <c r="BF29" s="2326"/>
    </row>
    <row r="30" spans="1:66">
      <c r="A30" s="2307" t="s">
        <v>27</v>
      </c>
      <c r="B30" s="2306" t="s">
        <v>27</v>
      </c>
      <c r="D30" s="2345" t="s">
        <v>1179</v>
      </c>
      <c r="E30" s="2346"/>
      <c r="F30" s="2346"/>
      <c r="G30" s="2346"/>
      <c r="H30" s="2346"/>
      <c r="I30" s="2346"/>
      <c r="J30" s="2346"/>
      <c r="K30" s="2346"/>
      <c r="L30" s="2346"/>
      <c r="M30" s="2346"/>
      <c r="N30" s="2346"/>
      <c r="O30" s="2346"/>
      <c r="P30" s="2346"/>
      <c r="Q30" s="2346"/>
      <c r="R30" s="2347" t="s">
        <v>37</v>
      </c>
      <c r="S30" s="2347"/>
      <c r="T30" s="2347"/>
      <c r="U30" s="2358"/>
      <c r="V30" s="4639">
        <f>IF(V25="","",VLOOKUP(V25,$BI$7:$BN$26,4))</f>
        <v>63.16</v>
      </c>
      <c r="W30" s="4640"/>
      <c r="X30" s="4640"/>
      <c r="Y30" s="4640"/>
      <c r="Z30" s="4640"/>
      <c r="AA30" s="4641"/>
      <c r="AB30" s="4639">
        <f>IF(AB25="","",VLOOKUP(AB25,$BI$7:$BN$26,4))</f>
        <v>63.16</v>
      </c>
      <c r="AC30" s="4640"/>
      <c r="AD30" s="4640"/>
      <c r="AE30" s="4640"/>
      <c r="AF30" s="4640"/>
      <c r="AG30" s="4641"/>
      <c r="AH30" s="4639">
        <f>IF(AH25="","",VLOOKUP(AH25,$BI$7:$BN$26,4))</f>
        <v>63.16</v>
      </c>
      <c r="AI30" s="4640"/>
      <c r="AJ30" s="4640"/>
      <c r="AK30" s="4640"/>
      <c r="AL30" s="4640"/>
      <c r="AM30" s="4641"/>
      <c r="AN30" s="4639">
        <f>IF(AN25="","",VLOOKUP(AN25,$BI$7:$BN$26,4))</f>
        <v>63.16</v>
      </c>
      <c r="AO30" s="4640"/>
      <c r="AP30" s="4640"/>
      <c r="AQ30" s="4640"/>
      <c r="AR30" s="4640"/>
      <c r="AS30" s="4641"/>
      <c r="AT30" s="4639">
        <f>IF(AT25="","",VLOOKUP(AT25,$BI$7:$BN$26,4))</f>
        <v>63.16</v>
      </c>
      <c r="AU30" s="4640"/>
      <c r="AV30" s="4640"/>
      <c r="AW30" s="4640"/>
      <c r="AX30" s="4640"/>
      <c r="AY30" s="4641"/>
      <c r="AZ30" s="4639">
        <f>IF(AZ25="","",VLOOKUP(AZ25,$BI$7:$BN$26,4))</f>
        <v>63.16</v>
      </c>
      <c r="BA30" s="4640"/>
      <c r="BB30" s="4640"/>
      <c r="BC30" s="4640"/>
      <c r="BD30" s="4640"/>
      <c r="BE30" s="4641"/>
      <c r="BF30" s="2326"/>
    </row>
    <row r="31" spans="1:66">
      <c r="A31" s="4654" t="s">
        <v>1106</v>
      </c>
      <c r="B31" s="4643" t="s">
        <v>1107</v>
      </c>
      <c r="D31" s="2345" t="s">
        <v>1180</v>
      </c>
      <c r="E31" s="2346"/>
      <c r="F31" s="2346"/>
      <c r="G31" s="2346"/>
      <c r="H31" s="2346"/>
      <c r="I31" s="2346"/>
      <c r="J31" s="2346"/>
      <c r="K31" s="2346"/>
      <c r="L31" s="2346"/>
      <c r="M31" s="2346"/>
      <c r="N31" s="2346"/>
      <c r="O31" s="2346"/>
      <c r="P31" s="2346"/>
      <c r="Q31" s="2346"/>
      <c r="R31" s="2347" t="s">
        <v>37</v>
      </c>
      <c r="S31" s="2347"/>
      <c r="T31" s="2347"/>
      <c r="U31" s="2358"/>
      <c r="V31" s="4658">
        <v>181.49</v>
      </c>
      <c r="W31" s="4659"/>
      <c r="X31" s="4659"/>
      <c r="Y31" s="4659"/>
      <c r="Z31" s="4659"/>
      <c r="AA31" s="4660"/>
      <c r="AB31" s="4658">
        <v>176.23</v>
      </c>
      <c r="AC31" s="4659"/>
      <c r="AD31" s="4659"/>
      <c r="AE31" s="4659"/>
      <c r="AF31" s="4659"/>
      <c r="AG31" s="4660"/>
      <c r="AH31" s="4658">
        <v>181.95</v>
      </c>
      <c r="AI31" s="4659"/>
      <c r="AJ31" s="4659"/>
      <c r="AK31" s="4659"/>
      <c r="AL31" s="4659"/>
      <c r="AM31" s="4660"/>
      <c r="AN31" s="4658">
        <v>181.96</v>
      </c>
      <c r="AO31" s="4659"/>
      <c r="AP31" s="4659"/>
      <c r="AQ31" s="4659"/>
      <c r="AR31" s="4659"/>
      <c r="AS31" s="4660"/>
      <c r="AT31" s="4658">
        <v>182.47</v>
      </c>
      <c r="AU31" s="4659"/>
      <c r="AV31" s="4659"/>
      <c r="AW31" s="4659"/>
      <c r="AX31" s="4659"/>
      <c r="AY31" s="4660"/>
      <c r="AZ31" s="4658">
        <v>182.65</v>
      </c>
      <c r="BA31" s="4659"/>
      <c r="BB31" s="4659"/>
      <c r="BC31" s="4659"/>
      <c r="BD31" s="4659"/>
      <c r="BE31" s="4660"/>
      <c r="BF31" s="2326"/>
    </row>
    <row r="32" spans="1:66">
      <c r="A32" s="4654"/>
      <c r="B32" s="4643"/>
      <c r="D32" s="2345" t="s">
        <v>1181</v>
      </c>
      <c r="E32" s="2346"/>
      <c r="F32" s="2346"/>
      <c r="G32" s="2346"/>
      <c r="H32" s="2346"/>
      <c r="I32" s="2346"/>
      <c r="J32" s="2346"/>
      <c r="K32" s="2346"/>
      <c r="L32" s="2346"/>
      <c r="M32" s="2346"/>
      <c r="N32" s="2346"/>
      <c r="O32" s="2346"/>
      <c r="P32" s="2346"/>
      <c r="Q32" s="2346"/>
      <c r="R32" s="2347"/>
      <c r="S32" s="2347"/>
      <c r="T32" s="2347"/>
      <c r="U32" s="2358"/>
      <c r="V32" s="4658">
        <v>175.26</v>
      </c>
      <c r="W32" s="4659"/>
      <c r="X32" s="4659"/>
      <c r="Y32" s="4659"/>
      <c r="Z32" s="4659"/>
      <c r="AA32" s="4660"/>
      <c r="AB32" s="4658">
        <v>174.26</v>
      </c>
      <c r="AC32" s="4659"/>
      <c r="AD32" s="4659"/>
      <c r="AE32" s="4659"/>
      <c r="AF32" s="4659"/>
      <c r="AG32" s="4660"/>
      <c r="AH32" s="4658">
        <v>176.25</v>
      </c>
      <c r="AI32" s="4659"/>
      <c r="AJ32" s="4659"/>
      <c r="AK32" s="4659"/>
      <c r="AL32" s="4659"/>
      <c r="AM32" s="4660"/>
      <c r="AN32" s="4658">
        <v>176.45</v>
      </c>
      <c r="AO32" s="4659"/>
      <c r="AP32" s="4659"/>
      <c r="AQ32" s="4659"/>
      <c r="AR32" s="4659"/>
      <c r="AS32" s="4660"/>
      <c r="AT32" s="4658">
        <v>176.48</v>
      </c>
      <c r="AU32" s="4659"/>
      <c r="AV32" s="4659"/>
      <c r="AW32" s="4659"/>
      <c r="AX32" s="4659"/>
      <c r="AY32" s="4660"/>
      <c r="AZ32" s="4658">
        <v>176.52</v>
      </c>
      <c r="BA32" s="4659"/>
      <c r="BB32" s="4659"/>
      <c r="BC32" s="4659"/>
      <c r="BD32" s="4659"/>
      <c r="BE32" s="4660"/>
      <c r="BF32" s="2326"/>
    </row>
    <row r="33" spans="1:63">
      <c r="A33" s="4654"/>
      <c r="B33" s="4643"/>
      <c r="D33" s="2345" t="s">
        <v>315</v>
      </c>
      <c r="E33" s="2346"/>
      <c r="F33" s="2346"/>
      <c r="G33" s="2346"/>
      <c r="H33" s="2346"/>
      <c r="I33" s="2346"/>
      <c r="J33" s="2346"/>
      <c r="K33" s="2346"/>
      <c r="L33" s="2346"/>
      <c r="M33" s="2346"/>
      <c r="N33" s="2346"/>
      <c r="O33" s="2346"/>
      <c r="P33" s="2346"/>
      <c r="Q33" s="2346"/>
      <c r="R33" s="2347" t="s">
        <v>1</v>
      </c>
      <c r="S33" s="2347"/>
      <c r="T33" s="2347"/>
      <c r="U33" s="2348"/>
      <c r="V33" s="4661">
        <f>(V31-V32)/(V32-V30)*100</f>
        <v>5.5575379125780717</v>
      </c>
      <c r="W33" s="4662"/>
      <c r="X33" s="4662"/>
      <c r="Y33" s="4662"/>
      <c r="Z33" s="4662"/>
      <c r="AA33" s="4663"/>
      <c r="AB33" s="4661">
        <f>(AB31-AB32)/(AB32-AB30)*100</f>
        <v>1.7731773177317722</v>
      </c>
      <c r="AC33" s="4662"/>
      <c r="AD33" s="4662"/>
      <c r="AE33" s="4662"/>
      <c r="AF33" s="4662"/>
      <c r="AG33" s="4663"/>
      <c r="AH33" s="4661">
        <f>(AH31-AH32)/(AH32-AH30)*100</f>
        <v>5.0402334423910062</v>
      </c>
      <c r="AI33" s="4662"/>
      <c r="AJ33" s="4662"/>
      <c r="AK33" s="4662"/>
      <c r="AL33" s="4662"/>
      <c r="AM33" s="4663"/>
      <c r="AN33" s="4661">
        <f>(AN31-AN32)/(AN32-AN30)*100</f>
        <v>4.8636243269485568</v>
      </c>
      <c r="AO33" s="4662"/>
      <c r="AP33" s="4662"/>
      <c r="AQ33" s="4662"/>
      <c r="AR33" s="4662"/>
      <c r="AS33" s="4663"/>
      <c r="AT33" s="4661">
        <f>(AT31-AT32)/(AT32-AT30)*100</f>
        <v>5.285915990116492</v>
      </c>
      <c r="AU33" s="4662"/>
      <c r="AV33" s="4662"/>
      <c r="AW33" s="4662"/>
      <c r="AX33" s="4662"/>
      <c r="AY33" s="4663"/>
      <c r="AZ33" s="4661">
        <f>(AZ31-AZ32)/(AZ32-AZ30)*100</f>
        <v>5.4075511644318937</v>
      </c>
      <c r="BA33" s="4662"/>
      <c r="BB33" s="4662"/>
      <c r="BC33" s="4662"/>
      <c r="BD33" s="4662"/>
      <c r="BE33" s="4663"/>
      <c r="BF33" s="2326"/>
    </row>
    <row r="34" spans="1:63" ht="15">
      <c r="A34" s="4654"/>
      <c r="B34" s="4643"/>
      <c r="D34" s="2345" t="s">
        <v>1182</v>
      </c>
      <c r="E34" s="2346"/>
      <c r="F34" s="2346"/>
      <c r="G34" s="2346"/>
      <c r="H34" s="2346"/>
      <c r="I34" s="2346"/>
      <c r="J34" s="2346"/>
      <c r="K34" s="2346"/>
      <c r="L34" s="2346"/>
      <c r="M34" s="2346"/>
      <c r="N34" s="2346"/>
      <c r="O34" s="2346"/>
      <c r="P34" s="2346"/>
      <c r="Q34" s="2346"/>
      <c r="R34" s="2347" t="s">
        <v>1292</v>
      </c>
      <c r="S34" s="2347"/>
      <c r="T34" s="2347"/>
      <c r="U34" s="2358"/>
      <c r="V34" s="4639">
        <f>IF(OR(V25="",V29="",V30="",V31=""),"",(V31-V30)/V29)</f>
        <v>1.7148760937082543</v>
      </c>
      <c r="W34" s="4640"/>
      <c r="X34" s="4640"/>
      <c r="Y34" s="4640"/>
      <c r="Z34" s="4640"/>
      <c r="AA34" s="4641"/>
      <c r="AB34" s="4639">
        <f>IF(OR(AB25="",AB29="",AB30="",AB31=""),"",(AB31-AB30)/AB29)</f>
        <v>1.6386464963711003</v>
      </c>
      <c r="AC34" s="4640"/>
      <c r="AD34" s="4640"/>
      <c r="AE34" s="4640"/>
      <c r="AF34" s="4640"/>
      <c r="AG34" s="4641"/>
      <c r="AH34" s="4639">
        <f>IF(OR(AH25="",AH29="",AH30="",AH31=""),"",(AH31-AH30)/AH29)</f>
        <v>1.7215425603955337</v>
      </c>
      <c r="AI34" s="4640"/>
      <c r="AJ34" s="4640"/>
      <c r="AK34" s="4640"/>
      <c r="AL34" s="4640"/>
      <c r="AM34" s="4641"/>
      <c r="AN34" s="4639">
        <f>IF(OR(AN25="",AN29="",AN30="",AN31=""),"",(AN31-AN30)/AN29)</f>
        <v>1.7216874835843878</v>
      </c>
      <c r="AO34" s="4640"/>
      <c r="AP34" s="4640"/>
      <c r="AQ34" s="4640"/>
      <c r="AR34" s="4640"/>
      <c r="AS34" s="4641"/>
      <c r="AT34" s="4639">
        <f>IF(OR(AT25="",AT29="",AT30="",AT31=""),"",(AT31-AT30)/AT29)</f>
        <v>1.7290785662159369</v>
      </c>
      <c r="AU34" s="4640"/>
      <c r="AV34" s="4640"/>
      <c r="AW34" s="4640"/>
      <c r="AX34" s="4640"/>
      <c r="AY34" s="4641"/>
      <c r="AZ34" s="4639">
        <f>IF(OR(AZ25="",AZ29="",AZ30="",AZ31=""),"",(AZ31-AZ30)/AZ29)</f>
        <v>1.7316871836153074</v>
      </c>
      <c r="BA34" s="4640"/>
      <c r="BB34" s="4640"/>
      <c r="BC34" s="4640"/>
      <c r="BD34" s="4640"/>
      <c r="BE34" s="4641"/>
      <c r="BF34" s="2326"/>
      <c r="BH34" s="2363"/>
    </row>
    <row r="35" spans="1:63" ht="15">
      <c r="A35" s="4654"/>
      <c r="B35" s="4643"/>
      <c r="D35" s="2345" t="s">
        <v>317</v>
      </c>
      <c r="E35" s="2346"/>
      <c r="F35" s="2346"/>
      <c r="G35" s="2346"/>
      <c r="H35" s="2346"/>
      <c r="I35" s="2346"/>
      <c r="J35" s="2346"/>
      <c r="K35" s="2346"/>
      <c r="L35" s="2346"/>
      <c r="M35" s="2346"/>
      <c r="N35" s="2346"/>
      <c r="O35" s="2346"/>
      <c r="P35" s="2346"/>
      <c r="Q35" s="2346"/>
      <c r="R35" s="2347" t="s">
        <v>1292</v>
      </c>
      <c r="S35" s="2347"/>
      <c r="T35" s="2347"/>
      <c r="U35" s="2348"/>
      <c r="V35" s="4639">
        <f>IF(OR(V25="",V29="",V30="",V31="",V33=""),"",V34/(1+V33/100))</f>
        <v>1.6245889470522714</v>
      </c>
      <c r="W35" s="4640"/>
      <c r="X35" s="4640"/>
      <c r="Y35" s="4640"/>
      <c r="Z35" s="4640"/>
      <c r="AA35" s="4641"/>
      <c r="AB35" s="4639">
        <f>IF(OR(AB25="",AB29="",AB30="",AB31="",AB33=""),"",AB34/(1+AB33/100))</f>
        <v>1.6100966281668811</v>
      </c>
      <c r="AC35" s="4640"/>
      <c r="AD35" s="4640"/>
      <c r="AE35" s="4640"/>
      <c r="AF35" s="4640"/>
      <c r="AG35" s="4641"/>
      <c r="AH35" s="4639">
        <f>IF(OR(AH25="",AH29="",AH30="",AH31="",AH33=""),"",AH34/(1+AH33/100))</f>
        <v>1.6389363427488084</v>
      </c>
      <c r="AI35" s="4640"/>
      <c r="AJ35" s="4640"/>
      <c r="AK35" s="4640"/>
      <c r="AL35" s="4640"/>
      <c r="AM35" s="4641"/>
      <c r="AN35" s="4639">
        <f>IF(OR(AN25="",AN29="",AN30="",AN31="",AN33=""),"",AN34/(1+AN33/100))</f>
        <v>1.6418348065258861</v>
      </c>
      <c r="AO35" s="4640"/>
      <c r="AP35" s="4640"/>
      <c r="AQ35" s="4640"/>
      <c r="AR35" s="4640"/>
      <c r="AS35" s="4641"/>
      <c r="AT35" s="4639">
        <f>IF(OR(AT25="",AT29="",AT30="",AT31="",AT33=""),"",AT34/(1+AT33/100))</f>
        <v>1.6422695760924477</v>
      </c>
      <c r="AU35" s="4640"/>
      <c r="AV35" s="4640"/>
      <c r="AW35" s="4640"/>
      <c r="AX35" s="4640"/>
      <c r="AY35" s="4641"/>
      <c r="AZ35" s="4639">
        <f>IF(OR(AZ25="",AZ29="",AZ30="",AZ31="",AZ33=""),"",AZ34/(1+AZ33/100))</f>
        <v>1.6428492688478638</v>
      </c>
      <c r="BA35" s="4640"/>
      <c r="BB35" s="4640"/>
      <c r="BC35" s="4640"/>
      <c r="BD35" s="4640"/>
      <c r="BE35" s="4641"/>
      <c r="BF35" s="2326"/>
    </row>
    <row r="36" spans="1:63" ht="15" customHeight="1">
      <c r="A36" s="4642" t="str">
        <f ca="1">MID(CELL("filename",A1),FIND("[",CELL("filename",A1))+1, FIND("]",CELL("filename",A1))-FIND("[",CELL("filename",A1))-1)</f>
        <v>LHU Template New 7 (Recovered) revisi.xlsx</v>
      </c>
      <c r="B36" s="4643"/>
      <c r="D36" s="2345" t="s">
        <v>1183</v>
      </c>
      <c r="E36" s="2346"/>
      <c r="F36" s="2346"/>
      <c r="G36" s="2346"/>
      <c r="H36" s="2346"/>
      <c r="I36" s="2346"/>
      <c r="J36" s="2346"/>
      <c r="K36" s="2346"/>
      <c r="L36" s="2346"/>
      <c r="M36" s="2346"/>
      <c r="N36" s="2346"/>
      <c r="O36" s="2346"/>
      <c r="P36" s="2346"/>
      <c r="Q36" s="2346"/>
      <c r="R36" s="2347"/>
      <c r="S36" s="2347"/>
      <c r="T36" s="2347"/>
      <c r="U36" s="2348"/>
      <c r="V36" s="4661">
        <f>PP!J24</f>
        <v>2.6497359418773012</v>
      </c>
      <c r="W36" s="4662"/>
      <c r="X36" s="4662"/>
      <c r="Y36" s="4662"/>
      <c r="Z36" s="4662"/>
      <c r="AA36" s="4663"/>
      <c r="AB36" s="4658">
        <f>V36</f>
        <v>2.6497359418773012</v>
      </c>
      <c r="AC36" s="4659"/>
      <c r="AD36" s="4659"/>
      <c r="AE36" s="4659"/>
      <c r="AF36" s="4659"/>
      <c r="AG36" s="4660"/>
      <c r="AH36" s="4658">
        <f>V36</f>
        <v>2.6497359418773012</v>
      </c>
      <c r="AI36" s="4659"/>
      <c r="AJ36" s="4659"/>
      <c r="AK36" s="4659"/>
      <c r="AL36" s="4659"/>
      <c r="AM36" s="4660"/>
      <c r="AN36" s="4658">
        <f>V36</f>
        <v>2.6497359418773012</v>
      </c>
      <c r="AO36" s="4659"/>
      <c r="AP36" s="4659"/>
      <c r="AQ36" s="4659"/>
      <c r="AR36" s="4659"/>
      <c r="AS36" s="4660"/>
      <c r="AT36" s="4658">
        <f>V36</f>
        <v>2.6497359418773012</v>
      </c>
      <c r="AU36" s="4659"/>
      <c r="AV36" s="4659"/>
      <c r="AW36" s="4659"/>
      <c r="AX36" s="4659"/>
      <c r="AY36" s="4660"/>
      <c r="AZ36" s="4658">
        <f>V36</f>
        <v>2.6497359418773012</v>
      </c>
      <c r="BA36" s="4659"/>
      <c r="BB36" s="4659"/>
      <c r="BC36" s="4659"/>
      <c r="BD36" s="4659"/>
      <c r="BE36" s="4660"/>
      <c r="BF36" s="2326"/>
    </row>
    <row r="37" spans="1:63">
      <c r="A37" s="4642"/>
      <c r="B37" s="4643"/>
      <c r="D37" s="2345" t="s">
        <v>889</v>
      </c>
      <c r="E37" s="2346"/>
      <c r="F37" s="2346"/>
      <c r="G37" s="2346"/>
      <c r="H37" s="2346"/>
      <c r="I37" s="2346"/>
      <c r="J37" s="2346"/>
      <c r="K37" s="2346"/>
      <c r="L37" s="2346"/>
      <c r="M37" s="2346"/>
      <c r="N37" s="2346"/>
      <c r="O37" s="2346"/>
      <c r="P37" s="2346"/>
      <c r="Q37" s="2346"/>
      <c r="R37" s="2347"/>
      <c r="S37" s="2347"/>
      <c r="T37" s="2347"/>
      <c r="U37" s="2348"/>
      <c r="V37" s="4639">
        <f>IF(OR(V25="",V29="",V30="",V31="",V33="",V36=""),"",(V36/V35-1))</f>
        <v>0.63101930902897219</v>
      </c>
      <c r="W37" s="4640"/>
      <c r="X37" s="4640"/>
      <c r="Y37" s="4640"/>
      <c r="Z37" s="4640"/>
      <c r="AA37" s="4641"/>
      <c r="AB37" s="4639">
        <f>IF(OR(AB25="",AB29="",AB30="",AB31="",AB33="",AB36=""),"",(AB36/AB35-1))</f>
        <v>0.64569995087441723</v>
      </c>
      <c r="AC37" s="4640"/>
      <c r="AD37" s="4640"/>
      <c r="AE37" s="4640"/>
      <c r="AF37" s="4640"/>
      <c r="AG37" s="4641"/>
      <c r="AH37" s="4639">
        <f>IF(OR(AH25="",AH29="",AH30="",AH31="",AH33="",AH36=""),"",(AH36/AH35-1))</f>
        <v>0.61674121975548446</v>
      </c>
      <c r="AI37" s="4640"/>
      <c r="AJ37" s="4640"/>
      <c r="AK37" s="4640"/>
      <c r="AL37" s="4640"/>
      <c r="AM37" s="4641"/>
      <c r="AN37" s="4639">
        <f>IF(OR(AN25="",AN29="",AN30="",AN31="",AN33="",AN36=""),"",(AN36/AN35-1))</f>
        <v>0.61388705571672508</v>
      </c>
      <c r="AO37" s="4640"/>
      <c r="AP37" s="4640"/>
      <c r="AQ37" s="4640"/>
      <c r="AR37" s="4640"/>
      <c r="AS37" s="4641"/>
      <c r="AT37" s="4639">
        <f>IF(OR(AT25="",AT29="",AT30="",AT31="",AT33="",AT36=""),"",(AT36/AT35-1))</f>
        <v>0.61345980005425149</v>
      </c>
      <c r="AU37" s="4640"/>
      <c r="AV37" s="4640"/>
      <c r="AW37" s="4640"/>
      <c r="AX37" s="4640"/>
      <c r="AY37" s="4641"/>
      <c r="AZ37" s="4639">
        <f>IF(OR(AZ25="",AZ29="",AZ30="",AZ31="",AZ33="",AZ36=""),"",(AZ36/AZ35-1))</f>
        <v>0.61289047761245374</v>
      </c>
      <c r="BA37" s="4640"/>
      <c r="BB37" s="4640"/>
      <c r="BC37" s="4640"/>
      <c r="BD37" s="4640"/>
      <c r="BE37" s="4641"/>
      <c r="BF37" s="2326"/>
    </row>
    <row r="38" spans="1:63">
      <c r="A38" s="4642"/>
      <c r="B38" s="4643"/>
      <c r="D38" s="2349" t="s">
        <v>409</v>
      </c>
      <c r="E38" s="2350"/>
      <c r="F38" s="2350"/>
      <c r="G38" s="2350"/>
      <c r="H38" s="2350"/>
      <c r="I38" s="2350"/>
      <c r="J38" s="2350"/>
      <c r="K38" s="2350"/>
      <c r="L38" s="2350"/>
      <c r="M38" s="2350"/>
      <c r="N38" s="2350"/>
      <c r="O38" s="2350"/>
      <c r="P38" s="2350"/>
      <c r="Q38" s="2350"/>
      <c r="R38" s="2351" t="s">
        <v>1</v>
      </c>
      <c r="S38" s="2351"/>
      <c r="T38" s="2351"/>
      <c r="U38" s="2352"/>
      <c r="V38" s="4664">
        <f>V36*V33/V37</f>
        <v>23.336857913214423</v>
      </c>
      <c r="W38" s="4665"/>
      <c r="X38" s="4665"/>
      <c r="Y38" s="4665"/>
      <c r="Z38" s="4665"/>
      <c r="AA38" s="4666"/>
      <c r="AB38" s="4664">
        <f>AB36*AB33/AB37</f>
        <v>7.2765247445856938</v>
      </c>
      <c r="AC38" s="4665"/>
      <c r="AD38" s="4665"/>
      <c r="AE38" s="4665"/>
      <c r="AF38" s="4665"/>
      <c r="AG38" s="4666"/>
      <c r="AH38" s="4664">
        <f>AH36*AH33/AH37</f>
        <v>21.65460533520087</v>
      </c>
      <c r="AI38" s="4665"/>
      <c r="AJ38" s="4665"/>
      <c r="AK38" s="4665"/>
      <c r="AL38" s="4665"/>
      <c r="AM38" s="4666"/>
      <c r="AN38" s="4664">
        <f>AN36*AN33/AN37</f>
        <v>20.992982449936484</v>
      </c>
      <c r="AO38" s="4665"/>
      <c r="AP38" s="4665"/>
      <c r="AQ38" s="4665"/>
      <c r="AR38" s="4665"/>
      <c r="AS38" s="4666"/>
      <c r="AT38" s="4664">
        <f>AT36*AT33/AT37</f>
        <v>22.831620887818502</v>
      </c>
      <c r="AU38" s="4665"/>
      <c r="AV38" s="4665"/>
      <c r="AW38" s="4665"/>
      <c r="AX38" s="4665"/>
      <c r="AY38" s="4666"/>
      <c r="AZ38" s="4664">
        <f>AZ36*AZ33/AZ37</f>
        <v>23.378700112544362</v>
      </c>
      <c r="BA38" s="4665"/>
      <c r="BB38" s="4665"/>
      <c r="BC38" s="4665"/>
      <c r="BD38" s="4665"/>
      <c r="BE38" s="4666"/>
      <c r="BF38" s="2326"/>
    </row>
    <row r="39" spans="1:63">
      <c r="A39" s="4642"/>
      <c r="B39" s="4643"/>
      <c r="R39" s="2362"/>
      <c r="S39" s="2362"/>
      <c r="T39" s="2362"/>
      <c r="U39" s="2362"/>
      <c r="AB39" s="2363"/>
      <c r="BF39" s="2326"/>
    </row>
    <row r="40" spans="1:63" ht="15" customHeight="1">
      <c r="A40" s="4642"/>
      <c r="B40" s="2309"/>
      <c r="D40" s="2364" t="s">
        <v>1184</v>
      </c>
      <c r="K40" s="2365"/>
      <c r="L40" s="2365"/>
      <c r="M40" s="2365"/>
      <c r="N40" s="2365"/>
      <c r="O40" s="2365"/>
      <c r="P40" s="2365"/>
      <c r="Q40" s="2365"/>
      <c r="BF40" s="2326"/>
    </row>
    <row r="41" spans="1:63">
      <c r="A41" s="4642"/>
      <c r="B41" s="2309"/>
      <c r="D41" s="4644" t="s">
        <v>124</v>
      </c>
      <c r="E41" s="4645"/>
      <c r="F41" s="4645"/>
      <c r="G41" s="4645"/>
      <c r="H41" s="4645"/>
      <c r="I41" s="4645"/>
      <c r="J41" s="4645"/>
      <c r="K41" s="4645"/>
      <c r="L41" s="4645"/>
      <c r="M41" s="4645"/>
      <c r="N41" s="4645"/>
      <c r="O41" s="4645"/>
      <c r="P41" s="4645"/>
      <c r="Q41" s="4645"/>
      <c r="R41" s="4645"/>
      <c r="S41" s="4645"/>
      <c r="T41" s="4645"/>
      <c r="U41" s="4646"/>
      <c r="V41" s="4644" t="s">
        <v>123</v>
      </c>
      <c r="W41" s="4645"/>
      <c r="X41" s="4645"/>
      <c r="Y41" s="4645"/>
      <c r="Z41" s="4645"/>
      <c r="AA41" s="4645"/>
      <c r="AB41" s="4645"/>
      <c r="AC41" s="4645"/>
      <c r="AD41" s="4645"/>
      <c r="AE41" s="4645"/>
      <c r="AF41" s="4645"/>
      <c r="AG41" s="4645"/>
      <c r="AH41" s="4645"/>
      <c r="AI41" s="4645"/>
      <c r="AJ41" s="4645"/>
      <c r="AK41" s="4645"/>
      <c r="AL41" s="4645"/>
      <c r="AM41" s="4646"/>
      <c r="AN41" s="4644" t="s">
        <v>163</v>
      </c>
      <c r="AO41" s="4645"/>
      <c r="AP41" s="4645"/>
      <c r="AQ41" s="4645"/>
      <c r="AR41" s="4645"/>
      <c r="AS41" s="4645"/>
      <c r="AT41" s="4645"/>
      <c r="AU41" s="4645"/>
      <c r="AV41" s="4645"/>
      <c r="AW41" s="4645"/>
      <c r="AX41" s="4645"/>
      <c r="AY41" s="4645"/>
      <c r="AZ41" s="4645"/>
      <c r="BA41" s="4645"/>
      <c r="BB41" s="4645"/>
      <c r="BC41" s="4645"/>
      <c r="BD41" s="4645"/>
      <c r="BE41" s="4646"/>
      <c r="BF41" s="2326"/>
    </row>
    <row r="42" spans="1:63" ht="15" customHeight="1">
      <c r="A42" s="4642"/>
      <c r="B42" s="2309"/>
      <c r="D42" s="4667" t="s">
        <v>16</v>
      </c>
      <c r="E42" s="4668"/>
      <c r="F42" s="4668"/>
      <c r="G42" s="4668"/>
      <c r="H42" s="4668"/>
      <c r="I42" s="4669"/>
      <c r="J42" s="4667" t="s">
        <v>1185</v>
      </c>
      <c r="K42" s="4668"/>
      <c r="L42" s="4668"/>
      <c r="M42" s="4668"/>
      <c r="N42" s="4668"/>
      <c r="O42" s="4669"/>
      <c r="P42" s="4667" t="s">
        <v>1186</v>
      </c>
      <c r="Q42" s="4668"/>
      <c r="R42" s="4668"/>
      <c r="S42" s="4668"/>
      <c r="T42" s="4668"/>
      <c r="U42" s="4669"/>
      <c r="V42" s="4667" t="s">
        <v>16</v>
      </c>
      <c r="W42" s="4668"/>
      <c r="X42" s="4668"/>
      <c r="Y42" s="4668"/>
      <c r="Z42" s="4668"/>
      <c r="AA42" s="4669"/>
      <c r="AB42" s="4667" t="s">
        <v>1185</v>
      </c>
      <c r="AC42" s="4668"/>
      <c r="AD42" s="4668"/>
      <c r="AE42" s="4668"/>
      <c r="AF42" s="4668"/>
      <c r="AG42" s="4669"/>
      <c r="AH42" s="4667" t="s">
        <v>1186</v>
      </c>
      <c r="AI42" s="4668"/>
      <c r="AJ42" s="4668"/>
      <c r="AK42" s="4668"/>
      <c r="AL42" s="4668"/>
      <c r="AM42" s="4669"/>
      <c r="AN42" s="4667" t="s">
        <v>16</v>
      </c>
      <c r="AO42" s="4668"/>
      <c r="AP42" s="4668"/>
      <c r="AQ42" s="4668"/>
      <c r="AR42" s="4668"/>
      <c r="AS42" s="4669"/>
      <c r="AT42" s="4667" t="s">
        <v>1185</v>
      </c>
      <c r="AU42" s="4668"/>
      <c r="AV42" s="4668"/>
      <c r="AW42" s="4668"/>
      <c r="AX42" s="4668"/>
      <c r="AY42" s="4669"/>
      <c r="AZ42" s="4667" t="s">
        <v>1186</v>
      </c>
      <c r="BA42" s="4668"/>
      <c r="BB42" s="4668"/>
      <c r="BC42" s="4668"/>
      <c r="BD42" s="4668"/>
      <c r="BE42" s="4669"/>
      <c r="BF42" s="2326"/>
    </row>
    <row r="43" spans="1:63">
      <c r="A43" s="4642"/>
      <c r="B43" s="4673" t="str">
        <f>IF(AV8="","",AV8)</f>
        <v/>
      </c>
      <c r="D43" s="4670"/>
      <c r="E43" s="4671"/>
      <c r="F43" s="4671"/>
      <c r="G43" s="4671"/>
      <c r="H43" s="4671"/>
      <c r="I43" s="4672"/>
      <c r="J43" s="4670"/>
      <c r="K43" s="4671"/>
      <c r="L43" s="4671"/>
      <c r="M43" s="4671"/>
      <c r="N43" s="4671"/>
      <c r="O43" s="4672"/>
      <c r="P43" s="4670"/>
      <c r="Q43" s="4671"/>
      <c r="R43" s="4671"/>
      <c r="S43" s="4671"/>
      <c r="T43" s="4671"/>
      <c r="U43" s="4672"/>
      <c r="V43" s="4670"/>
      <c r="W43" s="4671"/>
      <c r="X43" s="4671"/>
      <c r="Y43" s="4671"/>
      <c r="Z43" s="4671"/>
      <c r="AA43" s="4672"/>
      <c r="AB43" s="4670"/>
      <c r="AC43" s="4671"/>
      <c r="AD43" s="4671"/>
      <c r="AE43" s="4671"/>
      <c r="AF43" s="4671"/>
      <c r="AG43" s="4672"/>
      <c r="AH43" s="4670"/>
      <c r="AI43" s="4671"/>
      <c r="AJ43" s="4671"/>
      <c r="AK43" s="4671"/>
      <c r="AL43" s="4671"/>
      <c r="AM43" s="4672"/>
      <c r="AN43" s="4670"/>
      <c r="AO43" s="4671"/>
      <c r="AP43" s="4671"/>
      <c r="AQ43" s="4671"/>
      <c r="AR43" s="4671"/>
      <c r="AS43" s="4672"/>
      <c r="AT43" s="4670"/>
      <c r="AU43" s="4671"/>
      <c r="AV43" s="4671"/>
      <c r="AW43" s="4671"/>
      <c r="AX43" s="4671"/>
      <c r="AY43" s="4672"/>
      <c r="AZ43" s="4670"/>
      <c r="BA43" s="4671"/>
      <c r="BB43" s="4671"/>
      <c r="BC43" s="4671"/>
      <c r="BD43" s="4671"/>
      <c r="BE43" s="4672"/>
      <c r="BF43" s="2326"/>
      <c r="BH43" s="2324" t="s">
        <v>1187</v>
      </c>
    </row>
    <row r="44" spans="1:63">
      <c r="A44" s="4642"/>
      <c r="B44" s="4673"/>
      <c r="D44" s="4674" t="s">
        <v>466</v>
      </c>
      <c r="E44" s="4675"/>
      <c r="F44" s="4675"/>
      <c r="G44" s="4675"/>
      <c r="H44" s="4675"/>
      <c r="I44" s="4676"/>
      <c r="J44" s="4674"/>
      <c r="K44" s="4675"/>
      <c r="L44" s="4675"/>
      <c r="M44" s="4675"/>
      <c r="N44" s="4675"/>
      <c r="O44" s="4676"/>
      <c r="P44" s="4674" t="s">
        <v>583</v>
      </c>
      <c r="Q44" s="4675"/>
      <c r="R44" s="4675"/>
      <c r="S44" s="4675"/>
      <c r="T44" s="4675"/>
      <c r="U44" s="4676"/>
      <c r="V44" s="4674" t="s">
        <v>466</v>
      </c>
      <c r="W44" s="4675"/>
      <c r="X44" s="4675"/>
      <c r="Y44" s="4675"/>
      <c r="Z44" s="4675"/>
      <c r="AA44" s="4676"/>
      <c r="AB44" s="4674"/>
      <c r="AC44" s="4675"/>
      <c r="AD44" s="4675"/>
      <c r="AE44" s="4675"/>
      <c r="AF44" s="4675"/>
      <c r="AG44" s="4676"/>
      <c r="AH44" s="4674" t="s">
        <v>583</v>
      </c>
      <c r="AI44" s="4675"/>
      <c r="AJ44" s="4675"/>
      <c r="AK44" s="4675"/>
      <c r="AL44" s="4675"/>
      <c r="AM44" s="4676"/>
      <c r="AN44" s="4674" t="s">
        <v>466</v>
      </c>
      <c r="AO44" s="4675"/>
      <c r="AP44" s="4675"/>
      <c r="AQ44" s="4675"/>
      <c r="AR44" s="4675"/>
      <c r="AS44" s="4676"/>
      <c r="AT44" s="4674"/>
      <c r="AU44" s="4675"/>
      <c r="AV44" s="4675"/>
      <c r="AW44" s="4675"/>
      <c r="AX44" s="4675"/>
      <c r="AY44" s="4676"/>
      <c r="AZ44" s="4674" t="s">
        <v>583</v>
      </c>
      <c r="BA44" s="4675"/>
      <c r="BB44" s="4675"/>
      <c r="BC44" s="4675"/>
      <c r="BD44" s="4675"/>
      <c r="BE44" s="4676"/>
      <c r="BF44" s="2326"/>
      <c r="BH44" s="2324" t="s">
        <v>16</v>
      </c>
      <c r="BI44" s="2362" t="s">
        <v>124</v>
      </c>
      <c r="BJ44" s="2362" t="s">
        <v>123</v>
      </c>
      <c r="BK44" s="2362" t="s">
        <v>163</v>
      </c>
    </row>
    <row r="45" spans="1:63">
      <c r="A45" s="4642"/>
      <c r="B45" s="4673"/>
      <c r="D45" s="4677">
        <v>0</v>
      </c>
      <c r="E45" s="4677"/>
      <c r="F45" s="4677"/>
      <c r="G45" s="4677"/>
      <c r="H45" s="4677"/>
      <c r="I45" s="4677"/>
      <c r="J45" s="4678">
        <v>959</v>
      </c>
      <c r="K45" s="4678"/>
      <c r="L45" s="4678"/>
      <c r="M45" s="4678"/>
      <c r="N45" s="4678"/>
      <c r="O45" s="4678"/>
      <c r="P45" s="4679">
        <f>IF(OR($V$27="",J45=""),"",$V27*10)</f>
        <v>24.900000000000002</v>
      </c>
      <c r="Q45" s="4679"/>
      <c r="R45" s="4679"/>
      <c r="S45" s="4679"/>
      <c r="T45" s="4679"/>
      <c r="U45" s="4679"/>
      <c r="V45" s="4680">
        <v>0</v>
      </c>
      <c r="W45" s="4680"/>
      <c r="X45" s="4680"/>
      <c r="Y45" s="4680"/>
      <c r="Z45" s="4680"/>
      <c r="AA45" s="4680"/>
      <c r="AB45" s="4678">
        <v>956.2</v>
      </c>
      <c r="AC45" s="4678"/>
      <c r="AD45" s="4678"/>
      <c r="AE45" s="4678"/>
      <c r="AF45" s="4678"/>
      <c r="AG45" s="4678"/>
      <c r="AH45" s="4679">
        <f>IF(OR($AH$27="",AB45=""),"",$AH$27*10)</f>
        <v>24.900000000000002</v>
      </c>
      <c r="AI45" s="4679"/>
      <c r="AJ45" s="4679"/>
      <c r="AK45" s="4679"/>
      <c r="AL45" s="4679"/>
      <c r="AM45" s="4679"/>
      <c r="AN45" s="4680">
        <v>0</v>
      </c>
      <c r="AO45" s="4680"/>
      <c r="AP45" s="4680"/>
      <c r="AQ45" s="4680"/>
      <c r="AR45" s="4680"/>
      <c r="AS45" s="4680"/>
      <c r="AT45" s="4678">
        <v>958.8</v>
      </c>
      <c r="AU45" s="4678"/>
      <c r="AV45" s="4678"/>
      <c r="AW45" s="4678"/>
      <c r="AX45" s="4678"/>
      <c r="AY45" s="4678"/>
      <c r="AZ45" s="4679">
        <f>IF(OR($AT$27="",AT45=""),"",$AT$27*10)</f>
        <v>24.900000000000002</v>
      </c>
      <c r="BA45" s="4679"/>
      <c r="BB45" s="4679"/>
      <c r="BC45" s="4679"/>
      <c r="BD45" s="4679"/>
      <c r="BE45" s="4679"/>
      <c r="BF45" s="2326"/>
      <c r="BH45" s="2368">
        <f>SQRT(D45)</f>
        <v>0</v>
      </c>
      <c r="BI45" s="2373">
        <f>P45</f>
        <v>24.900000000000002</v>
      </c>
      <c r="BJ45" s="2373">
        <f>AH45</f>
        <v>24.900000000000002</v>
      </c>
      <c r="BK45" s="2373">
        <f>AZ45</f>
        <v>24.900000000000002</v>
      </c>
    </row>
    <row r="46" spans="1:63">
      <c r="A46" s="4642"/>
      <c r="B46" s="4673"/>
      <c r="D46" s="4681">
        <v>0.25</v>
      </c>
      <c r="E46" s="4681"/>
      <c r="F46" s="4681"/>
      <c r="G46" s="4681"/>
      <c r="H46" s="4681"/>
      <c r="I46" s="4681"/>
      <c r="J46" s="4682">
        <v>929.3</v>
      </c>
      <c r="K46" s="4682"/>
      <c r="L46" s="4682"/>
      <c r="M46" s="4682"/>
      <c r="N46" s="4682"/>
      <c r="O46" s="4682"/>
      <c r="P46" s="4683">
        <f>IF(OR($V$27="",J46=""),"",$V$27*10-($J$45-J46)/100)</f>
        <v>24.603000000000002</v>
      </c>
      <c r="Q46" s="4683"/>
      <c r="R46" s="4683"/>
      <c r="S46" s="4683"/>
      <c r="T46" s="4683"/>
      <c r="U46" s="4683"/>
      <c r="V46" s="4684">
        <v>0.25</v>
      </c>
      <c r="W46" s="4684"/>
      <c r="X46" s="4684"/>
      <c r="Y46" s="4684"/>
      <c r="Z46" s="4684"/>
      <c r="AA46" s="4684"/>
      <c r="AB46" s="4682">
        <v>854.8</v>
      </c>
      <c r="AC46" s="4682"/>
      <c r="AD46" s="4682"/>
      <c r="AE46" s="4682"/>
      <c r="AF46" s="4682"/>
      <c r="AG46" s="4682"/>
      <c r="AH46" s="4685">
        <f>IF(OR($AH$27="",AB46=""),"",$AH$27*10-($AB$45-AB46)/100)</f>
        <v>23.886000000000003</v>
      </c>
      <c r="AI46" s="4686"/>
      <c r="AJ46" s="4686"/>
      <c r="AK46" s="4686"/>
      <c r="AL46" s="4686"/>
      <c r="AM46" s="4687"/>
      <c r="AN46" s="4684">
        <v>0.25</v>
      </c>
      <c r="AO46" s="4684"/>
      <c r="AP46" s="4684"/>
      <c r="AQ46" s="4684"/>
      <c r="AR46" s="4684"/>
      <c r="AS46" s="4684"/>
      <c r="AT46" s="4682">
        <v>718.2</v>
      </c>
      <c r="AU46" s="4682"/>
      <c r="AV46" s="4682"/>
      <c r="AW46" s="4682"/>
      <c r="AX46" s="4682"/>
      <c r="AY46" s="4682"/>
      <c r="AZ46" s="4683">
        <f>IF(OR($AT$27="",AT46=""),"",$AT$27*10-($AT$45-AT46)/100)</f>
        <v>22.494000000000003</v>
      </c>
      <c r="BA46" s="4683"/>
      <c r="BB46" s="4683"/>
      <c r="BC46" s="4683"/>
      <c r="BD46" s="4683"/>
      <c r="BE46" s="4683"/>
      <c r="BF46" s="2326"/>
      <c r="BH46" s="2368">
        <f t="shared" ref="BH46:BH58" si="2">SQRT(D46)</f>
        <v>0.5</v>
      </c>
      <c r="BI46" s="2373">
        <f t="shared" ref="BI46:BI58" si="3">P46</f>
        <v>24.603000000000002</v>
      </c>
      <c r="BJ46" s="2373">
        <f t="shared" ref="BJ46:BJ58" si="4">AH46</f>
        <v>23.886000000000003</v>
      </c>
      <c r="BK46" s="2373">
        <f t="shared" ref="BK46:BK58" si="5">AZ46</f>
        <v>22.494000000000003</v>
      </c>
    </row>
    <row r="47" spans="1:63">
      <c r="A47" s="4642"/>
      <c r="B47" s="4673"/>
      <c r="D47" s="4681">
        <v>1</v>
      </c>
      <c r="E47" s="4681"/>
      <c r="F47" s="4681"/>
      <c r="G47" s="4681"/>
      <c r="H47" s="4681"/>
      <c r="I47" s="4681"/>
      <c r="J47" s="4682">
        <v>927.2</v>
      </c>
      <c r="K47" s="4682"/>
      <c r="L47" s="4682"/>
      <c r="M47" s="4682"/>
      <c r="N47" s="4682"/>
      <c r="O47" s="4682"/>
      <c r="P47" s="4683">
        <f>IF(OR($V$27="",J47=""),"",$V$27*10-($J$45-J47)/100)</f>
        <v>24.582000000000004</v>
      </c>
      <c r="Q47" s="4683"/>
      <c r="R47" s="4683"/>
      <c r="S47" s="4683"/>
      <c r="T47" s="4683"/>
      <c r="U47" s="4683"/>
      <c r="V47" s="4684">
        <v>1</v>
      </c>
      <c r="W47" s="4684"/>
      <c r="X47" s="4684"/>
      <c r="Y47" s="4684"/>
      <c r="Z47" s="4684"/>
      <c r="AA47" s="4684"/>
      <c r="AB47" s="4682">
        <v>852.9</v>
      </c>
      <c r="AC47" s="4682"/>
      <c r="AD47" s="4682"/>
      <c r="AE47" s="4682"/>
      <c r="AF47" s="4682"/>
      <c r="AG47" s="4682"/>
      <c r="AH47" s="4685">
        <f t="shared" ref="AH47:AH58" si="6">IF(OR($AH$27="",AB47=""),"",$AH$27*10-($AB$45-AB47)/100)</f>
        <v>23.867000000000001</v>
      </c>
      <c r="AI47" s="4686"/>
      <c r="AJ47" s="4686"/>
      <c r="AK47" s="4686"/>
      <c r="AL47" s="4686"/>
      <c r="AM47" s="4687"/>
      <c r="AN47" s="4684">
        <v>1</v>
      </c>
      <c r="AO47" s="4684"/>
      <c r="AP47" s="4684"/>
      <c r="AQ47" s="4684"/>
      <c r="AR47" s="4684"/>
      <c r="AS47" s="4684"/>
      <c r="AT47" s="4682">
        <v>708.3</v>
      </c>
      <c r="AU47" s="4682"/>
      <c r="AV47" s="4682"/>
      <c r="AW47" s="4682"/>
      <c r="AX47" s="4682"/>
      <c r="AY47" s="4682"/>
      <c r="AZ47" s="4683">
        <f t="shared" ref="AZ47:AZ58" si="7">IF(OR($AT$27="",AT47=""),"",$AT$27*10-($AT$45-AT47)/100)</f>
        <v>22.395000000000003</v>
      </c>
      <c r="BA47" s="4683"/>
      <c r="BB47" s="4683"/>
      <c r="BC47" s="4683"/>
      <c r="BD47" s="4683"/>
      <c r="BE47" s="4683"/>
      <c r="BF47" s="2326"/>
      <c r="BH47" s="2368">
        <f t="shared" si="2"/>
        <v>1</v>
      </c>
      <c r="BI47" s="2373">
        <f t="shared" si="3"/>
        <v>24.582000000000004</v>
      </c>
      <c r="BJ47" s="2373">
        <f t="shared" si="4"/>
        <v>23.867000000000001</v>
      </c>
      <c r="BK47" s="2373">
        <f t="shared" si="5"/>
        <v>22.395000000000003</v>
      </c>
    </row>
    <row r="48" spans="1:63">
      <c r="A48" s="4642"/>
      <c r="B48" s="4673"/>
      <c r="D48" s="4681">
        <v>4</v>
      </c>
      <c r="E48" s="4681"/>
      <c r="F48" s="4681"/>
      <c r="G48" s="4681"/>
      <c r="H48" s="4681"/>
      <c r="I48" s="4681"/>
      <c r="J48" s="4682">
        <v>925.9</v>
      </c>
      <c r="K48" s="4682"/>
      <c r="L48" s="4682"/>
      <c r="M48" s="4682"/>
      <c r="N48" s="4682"/>
      <c r="O48" s="4682"/>
      <c r="P48" s="4683">
        <f t="shared" ref="P48:P57" si="8">IF(OR($V$27="",J48=""),"",$V$27*10-($J$45-J48)/100)</f>
        <v>24.569000000000003</v>
      </c>
      <c r="Q48" s="4683"/>
      <c r="R48" s="4683"/>
      <c r="S48" s="4683"/>
      <c r="T48" s="4683"/>
      <c r="U48" s="4683"/>
      <c r="V48" s="4684">
        <v>4</v>
      </c>
      <c r="W48" s="4684"/>
      <c r="X48" s="4684"/>
      <c r="Y48" s="4684"/>
      <c r="Z48" s="4684"/>
      <c r="AA48" s="4684"/>
      <c r="AB48" s="4682">
        <v>850.8</v>
      </c>
      <c r="AC48" s="4682"/>
      <c r="AD48" s="4682"/>
      <c r="AE48" s="4682"/>
      <c r="AF48" s="4682"/>
      <c r="AG48" s="4682"/>
      <c r="AH48" s="4685">
        <f t="shared" si="6"/>
        <v>23.846</v>
      </c>
      <c r="AI48" s="4686"/>
      <c r="AJ48" s="4686"/>
      <c r="AK48" s="4686"/>
      <c r="AL48" s="4686"/>
      <c r="AM48" s="4687"/>
      <c r="AN48" s="4684">
        <v>4</v>
      </c>
      <c r="AO48" s="4684"/>
      <c r="AP48" s="4684"/>
      <c r="AQ48" s="4684"/>
      <c r="AR48" s="4684"/>
      <c r="AS48" s="4684"/>
      <c r="AT48" s="4682">
        <v>703.9</v>
      </c>
      <c r="AU48" s="4682"/>
      <c r="AV48" s="4682"/>
      <c r="AW48" s="4682"/>
      <c r="AX48" s="4682"/>
      <c r="AY48" s="4682"/>
      <c r="AZ48" s="4683">
        <f t="shared" si="7"/>
        <v>22.351000000000003</v>
      </c>
      <c r="BA48" s="4683"/>
      <c r="BB48" s="4683"/>
      <c r="BC48" s="4683"/>
      <c r="BD48" s="4683"/>
      <c r="BE48" s="4683"/>
      <c r="BF48" s="2326"/>
      <c r="BH48" s="2368">
        <f t="shared" si="2"/>
        <v>2</v>
      </c>
      <c r="BI48" s="2373">
        <f t="shared" si="3"/>
        <v>24.569000000000003</v>
      </c>
      <c r="BJ48" s="2373">
        <f t="shared" si="4"/>
        <v>23.846</v>
      </c>
      <c r="BK48" s="2373">
        <f t="shared" si="5"/>
        <v>22.351000000000003</v>
      </c>
    </row>
    <row r="49" spans="1:63">
      <c r="A49" s="4642"/>
      <c r="B49" s="4673"/>
      <c r="D49" s="4681">
        <v>6.25</v>
      </c>
      <c r="E49" s="4681"/>
      <c r="F49" s="4681"/>
      <c r="G49" s="4681"/>
      <c r="H49" s="4681"/>
      <c r="I49" s="4681"/>
      <c r="J49" s="4682">
        <v>924.9</v>
      </c>
      <c r="K49" s="4682"/>
      <c r="L49" s="4682"/>
      <c r="M49" s="4682"/>
      <c r="N49" s="4682"/>
      <c r="O49" s="4682"/>
      <c r="P49" s="4683">
        <f t="shared" si="8"/>
        <v>24.559000000000001</v>
      </c>
      <c r="Q49" s="4683"/>
      <c r="R49" s="4683"/>
      <c r="S49" s="4683"/>
      <c r="T49" s="4683"/>
      <c r="U49" s="4683"/>
      <c r="V49" s="4684">
        <v>6.25</v>
      </c>
      <c r="W49" s="4684"/>
      <c r="X49" s="4684"/>
      <c r="Y49" s="4684"/>
      <c r="Z49" s="4684"/>
      <c r="AA49" s="4684"/>
      <c r="AB49" s="4682">
        <v>849.9</v>
      </c>
      <c r="AC49" s="4682"/>
      <c r="AD49" s="4682"/>
      <c r="AE49" s="4682"/>
      <c r="AF49" s="4682"/>
      <c r="AG49" s="4682"/>
      <c r="AH49" s="4685">
        <f t="shared" si="6"/>
        <v>23.837000000000003</v>
      </c>
      <c r="AI49" s="4686"/>
      <c r="AJ49" s="4686"/>
      <c r="AK49" s="4686"/>
      <c r="AL49" s="4686"/>
      <c r="AM49" s="4687"/>
      <c r="AN49" s="4684">
        <v>6.25</v>
      </c>
      <c r="AO49" s="4684"/>
      <c r="AP49" s="4684"/>
      <c r="AQ49" s="4684"/>
      <c r="AR49" s="4684"/>
      <c r="AS49" s="4684"/>
      <c r="AT49" s="4682">
        <v>702.8</v>
      </c>
      <c r="AU49" s="4682"/>
      <c r="AV49" s="4682"/>
      <c r="AW49" s="4682"/>
      <c r="AX49" s="4682"/>
      <c r="AY49" s="4682"/>
      <c r="AZ49" s="4683">
        <f t="shared" si="7"/>
        <v>22.340000000000003</v>
      </c>
      <c r="BA49" s="4683"/>
      <c r="BB49" s="4683"/>
      <c r="BC49" s="4683"/>
      <c r="BD49" s="4683"/>
      <c r="BE49" s="4683"/>
      <c r="BF49" s="2326"/>
      <c r="BH49" s="2368">
        <f t="shared" si="2"/>
        <v>2.5</v>
      </c>
      <c r="BI49" s="2373">
        <f t="shared" si="3"/>
        <v>24.559000000000001</v>
      </c>
      <c r="BJ49" s="2373">
        <f t="shared" si="4"/>
        <v>23.837000000000003</v>
      </c>
      <c r="BK49" s="2373">
        <f t="shared" si="5"/>
        <v>22.340000000000003</v>
      </c>
    </row>
    <row r="50" spans="1:63">
      <c r="A50" s="2307" t="s">
        <v>27</v>
      </c>
      <c r="B50" s="2306" t="s">
        <v>27</v>
      </c>
      <c r="D50" s="4681">
        <v>9</v>
      </c>
      <c r="E50" s="4681"/>
      <c r="F50" s="4681"/>
      <c r="G50" s="4681"/>
      <c r="H50" s="4681"/>
      <c r="I50" s="4681"/>
      <c r="J50" s="4682">
        <v>924</v>
      </c>
      <c r="K50" s="4682"/>
      <c r="L50" s="4682"/>
      <c r="M50" s="4682"/>
      <c r="N50" s="4682"/>
      <c r="O50" s="4682"/>
      <c r="P50" s="4683">
        <f t="shared" si="8"/>
        <v>24.55</v>
      </c>
      <c r="Q50" s="4683"/>
      <c r="R50" s="4683"/>
      <c r="S50" s="4683"/>
      <c r="T50" s="4683"/>
      <c r="U50" s="4683"/>
      <c r="V50" s="4684">
        <v>9</v>
      </c>
      <c r="W50" s="4684"/>
      <c r="X50" s="4684"/>
      <c r="Y50" s="4684"/>
      <c r="Z50" s="4684"/>
      <c r="AA50" s="4684"/>
      <c r="AB50" s="4682">
        <v>847.9</v>
      </c>
      <c r="AC50" s="4682"/>
      <c r="AD50" s="4682"/>
      <c r="AE50" s="4682"/>
      <c r="AF50" s="4682"/>
      <c r="AG50" s="4682"/>
      <c r="AH50" s="4685">
        <f t="shared" si="6"/>
        <v>23.817</v>
      </c>
      <c r="AI50" s="4686"/>
      <c r="AJ50" s="4686"/>
      <c r="AK50" s="4686"/>
      <c r="AL50" s="4686"/>
      <c r="AM50" s="4687"/>
      <c r="AN50" s="4684">
        <v>9</v>
      </c>
      <c r="AO50" s="4684"/>
      <c r="AP50" s="4684"/>
      <c r="AQ50" s="4684"/>
      <c r="AR50" s="4684"/>
      <c r="AS50" s="4684"/>
      <c r="AT50" s="4682">
        <v>701.9</v>
      </c>
      <c r="AU50" s="4682"/>
      <c r="AV50" s="4682"/>
      <c r="AW50" s="4682"/>
      <c r="AX50" s="4682"/>
      <c r="AY50" s="4682"/>
      <c r="AZ50" s="4683">
        <f t="shared" si="7"/>
        <v>22.331000000000003</v>
      </c>
      <c r="BA50" s="4683"/>
      <c r="BB50" s="4683"/>
      <c r="BC50" s="4683"/>
      <c r="BD50" s="4683"/>
      <c r="BE50" s="4683"/>
      <c r="BF50" s="2326"/>
      <c r="BH50" s="2368">
        <f t="shared" si="2"/>
        <v>3</v>
      </c>
      <c r="BI50" s="2373">
        <f t="shared" si="3"/>
        <v>24.55</v>
      </c>
      <c r="BJ50" s="2373">
        <f t="shared" si="4"/>
        <v>23.817</v>
      </c>
      <c r="BK50" s="2373">
        <f t="shared" si="5"/>
        <v>22.331000000000003</v>
      </c>
    </row>
    <row r="51" spans="1:63">
      <c r="A51" s="4654" t="s">
        <v>1110</v>
      </c>
      <c r="B51" s="4643" t="s">
        <v>76</v>
      </c>
      <c r="D51" s="4681">
        <v>12.25</v>
      </c>
      <c r="E51" s="4681"/>
      <c r="F51" s="4681"/>
      <c r="G51" s="4681"/>
      <c r="H51" s="4681"/>
      <c r="I51" s="4681"/>
      <c r="J51" s="4682">
        <v>923.8</v>
      </c>
      <c r="K51" s="4682"/>
      <c r="L51" s="4682"/>
      <c r="M51" s="4682"/>
      <c r="N51" s="4682"/>
      <c r="O51" s="4682"/>
      <c r="P51" s="4683">
        <f t="shared" si="8"/>
        <v>24.548000000000002</v>
      </c>
      <c r="Q51" s="4683"/>
      <c r="R51" s="4683"/>
      <c r="S51" s="4683"/>
      <c r="T51" s="4683"/>
      <c r="U51" s="4683"/>
      <c r="V51" s="4684">
        <v>12.25</v>
      </c>
      <c r="W51" s="4684"/>
      <c r="X51" s="4684"/>
      <c r="Y51" s="4684"/>
      <c r="Z51" s="4684"/>
      <c r="AA51" s="4684"/>
      <c r="AB51" s="4682">
        <v>846.1</v>
      </c>
      <c r="AC51" s="4682"/>
      <c r="AD51" s="4682"/>
      <c r="AE51" s="4682"/>
      <c r="AF51" s="4682"/>
      <c r="AG51" s="4682"/>
      <c r="AH51" s="4685">
        <f t="shared" si="6"/>
        <v>23.799000000000003</v>
      </c>
      <c r="AI51" s="4686"/>
      <c r="AJ51" s="4686"/>
      <c r="AK51" s="4686"/>
      <c r="AL51" s="4686"/>
      <c r="AM51" s="4687"/>
      <c r="AN51" s="4684">
        <v>12.25</v>
      </c>
      <c r="AO51" s="4684"/>
      <c r="AP51" s="4684"/>
      <c r="AQ51" s="4684"/>
      <c r="AR51" s="4684"/>
      <c r="AS51" s="4684"/>
      <c r="AT51" s="4682">
        <v>701</v>
      </c>
      <c r="AU51" s="4682"/>
      <c r="AV51" s="4682"/>
      <c r="AW51" s="4682"/>
      <c r="AX51" s="4682"/>
      <c r="AY51" s="4682"/>
      <c r="AZ51" s="4683">
        <f t="shared" si="7"/>
        <v>22.322000000000003</v>
      </c>
      <c r="BA51" s="4683"/>
      <c r="BB51" s="4683"/>
      <c r="BC51" s="4683"/>
      <c r="BD51" s="4683"/>
      <c r="BE51" s="4683"/>
      <c r="BF51" s="2326"/>
      <c r="BH51" s="2368">
        <f t="shared" si="2"/>
        <v>3.5</v>
      </c>
      <c r="BI51" s="2373">
        <f t="shared" si="3"/>
        <v>24.548000000000002</v>
      </c>
      <c r="BJ51" s="2373">
        <f t="shared" si="4"/>
        <v>23.799000000000003</v>
      </c>
      <c r="BK51" s="2373">
        <f t="shared" si="5"/>
        <v>22.322000000000003</v>
      </c>
    </row>
    <row r="52" spans="1:63">
      <c r="A52" s="4654"/>
      <c r="B52" s="4643"/>
      <c r="D52" s="4681">
        <v>16</v>
      </c>
      <c r="E52" s="4681"/>
      <c r="F52" s="4681"/>
      <c r="G52" s="4681"/>
      <c r="H52" s="4681"/>
      <c r="I52" s="4681"/>
      <c r="J52" s="4682">
        <v>923.2</v>
      </c>
      <c r="K52" s="4682"/>
      <c r="L52" s="4682"/>
      <c r="M52" s="4682"/>
      <c r="N52" s="4682"/>
      <c r="O52" s="4682"/>
      <c r="P52" s="4683">
        <f t="shared" si="8"/>
        <v>24.542000000000002</v>
      </c>
      <c r="Q52" s="4683"/>
      <c r="R52" s="4683"/>
      <c r="S52" s="4683"/>
      <c r="T52" s="4683"/>
      <c r="U52" s="4683"/>
      <c r="V52" s="4684">
        <v>16</v>
      </c>
      <c r="W52" s="4684"/>
      <c r="X52" s="4684"/>
      <c r="Y52" s="4684"/>
      <c r="Z52" s="4684"/>
      <c r="AA52" s="4684"/>
      <c r="AB52" s="4682">
        <v>845.9</v>
      </c>
      <c r="AC52" s="4682"/>
      <c r="AD52" s="4682"/>
      <c r="AE52" s="4682"/>
      <c r="AF52" s="4682"/>
      <c r="AG52" s="4682"/>
      <c r="AH52" s="4685">
        <f t="shared" si="6"/>
        <v>23.797000000000001</v>
      </c>
      <c r="AI52" s="4686"/>
      <c r="AJ52" s="4686"/>
      <c r="AK52" s="4686"/>
      <c r="AL52" s="4686"/>
      <c r="AM52" s="4687"/>
      <c r="AN52" s="4684">
        <v>16</v>
      </c>
      <c r="AO52" s="4684"/>
      <c r="AP52" s="4684"/>
      <c r="AQ52" s="4684"/>
      <c r="AR52" s="4684"/>
      <c r="AS52" s="4684"/>
      <c r="AT52" s="4682">
        <v>700.1</v>
      </c>
      <c r="AU52" s="4682"/>
      <c r="AV52" s="4682"/>
      <c r="AW52" s="4682"/>
      <c r="AX52" s="4682"/>
      <c r="AY52" s="4682"/>
      <c r="AZ52" s="4683">
        <f t="shared" si="7"/>
        <v>22.313000000000002</v>
      </c>
      <c r="BA52" s="4683"/>
      <c r="BB52" s="4683"/>
      <c r="BC52" s="4683"/>
      <c r="BD52" s="4683"/>
      <c r="BE52" s="4683"/>
      <c r="BF52" s="2326"/>
      <c r="BH52" s="2368">
        <f t="shared" si="2"/>
        <v>4</v>
      </c>
      <c r="BI52" s="2373">
        <f t="shared" si="3"/>
        <v>24.542000000000002</v>
      </c>
      <c r="BJ52" s="2373">
        <f t="shared" si="4"/>
        <v>23.797000000000001</v>
      </c>
      <c r="BK52" s="2373">
        <f t="shared" si="5"/>
        <v>22.313000000000002</v>
      </c>
    </row>
    <row r="53" spans="1:63">
      <c r="A53" s="4654"/>
      <c r="B53" s="4643"/>
      <c r="D53" s="4681">
        <v>20.25</v>
      </c>
      <c r="E53" s="4681"/>
      <c r="F53" s="4681"/>
      <c r="G53" s="4681"/>
      <c r="H53" s="4681"/>
      <c r="I53" s="4681"/>
      <c r="J53" s="4682">
        <v>921.3</v>
      </c>
      <c r="K53" s="4682"/>
      <c r="L53" s="4682"/>
      <c r="M53" s="4682"/>
      <c r="N53" s="4682"/>
      <c r="O53" s="4682"/>
      <c r="P53" s="4683">
        <f t="shared" si="8"/>
        <v>24.523000000000003</v>
      </c>
      <c r="Q53" s="4683"/>
      <c r="R53" s="4683"/>
      <c r="S53" s="4683"/>
      <c r="T53" s="4683"/>
      <c r="U53" s="4683"/>
      <c r="V53" s="4684">
        <v>20.25</v>
      </c>
      <c r="W53" s="4684"/>
      <c r="X53" s="4684"/>
      <c r="Y53" s="4684"/>
      <c r="Z53" s="4684"/>
      <c r="AA53" s="4684"/>
      <c r="AB53" s="4682">
        <v>844.7</v>
      </c>
      <c r="AC53" s="4682"/>
      <c r="AD53" s="4682"/>
      <c r="AE53" s="4682"/>
      <c r="AF53" s="4682"/>
      <c r="AG53" s="4682"/>
      <c r="AH53" s="4685">
        <f t="shared" si="6"/>
        <v>23.785000000000004</v>
      </c>
      <c r="AI53" s="4686"/>
      <c r="AJ53" s="4686"/>
      <c r="AK53" s="4686"/>
      <c r="AL53" s="4686"/>
      <c r="AM53" s="4687"/>
      <c r="AN53" s="4684">
        <v>20.25</v>
      </c>
      <c r="AO53" s="4684"/>
      <c r="AP53" s="4684"/>
      <c r="AQ53" s="4684"/>
      <c r="AR53" s="4684"/>
      <c r="AS53" s="4684"/>
      <c r="AT53" s="4682">
        <v>699.8</v>
      </c>
      <c r="AU53" s="4682"/>
      <c r="AV53" s="4682"/>
      <c r="AW53" s="4682"/>
      <c r="AX53" s="4682"/>
      <c r="AY53" s="4682"/>
      <c r="AZ53" s="4683">
        <f t="shared" si="7"/>
        <v>22.310000000000002</v>
      </c>
      <c r="BA53" s="4683"/>
      <c r="BB53" s="4683"/>
      <c r="BC53" s="4683"/>
      <c r="BD53" s="4683"/>
      <c r="BE53" s="4683"/>
      <c r="BF53" s="2326"/>
      <c r="BH53" s="2368">
        <f t="shared" si="2"/>
        <v>4.5</v>
      </c>
      <c r="BI53" s="2373">
        <f t="shared" si="3"/>
        <v>24.523000000000003</v>
      </c>
      <c r="BJ53" s="2373">
        <f t="shared" si="4"/>
        <v>23.785000000000004</v>
      </c>
      <c r="BK53" s="2373">
        <f t="shared" si="5"/>
        <v>22.310000000000002</v>
      </c>
    </row>
    <row r="54" spans="1:63">
      <c r="A54" s="4654"/>
      <c r="B54" s="4643"/>
      <c r="D54" s="4681">
        <v>60</v>
      </c>
      <c r="E54" s="4681"/>
      <c r="F54" s="4681"/>
      <c r="G54" s="4681"/>
      <c r="H54" s="4681"/>
      <c r="I54" s="4681"/>
      <c r="J54" s="4682">
        <v>920</v>
      </c>
      <c r="K54" s="4682"/>
      <c r="L54" s="4682"/>
      <c r="M54" s="4682"/>
      <c r="N54" s="4682"/>
      <c r="O54" s="4682"/>
      <c r="P54" s="4683">
        <f t="shared" si="8"/>
        <v>24.51</v>
      </c>
      <c r="Q54" s="4683"/>
      <c r="R54" s="4683"/>
      <c r="S54" s="4683"/>
      <c r="T54" s="4683"/>
      <c r="U54" s="4683"/>
      <c r="V54" s="4684">
        <v>60</v>
      </c>
      <c r="W54" s="4684"/>
      <c r="X54" s="4684"/>
      <c r="Y54" s="4684"/>
      <c r="Z54" s="4684"/>
      <c r="AA54" s="4684"/>
      <c r="AB54" s="4682">
        <v>843.2</v>
      </c>
      <c r="AC54" s="4682"/>
      <c r="AD54" s="4682"/>
      <c r="AE54" s="4682"/>
      <c r="AF54" s="4682"/>
      <c r="AG54" s="4682"/>
      <c r="AH54" s="4685">
        <f t="shared" si="6"/>
        <v>23.770000000000003</v>
      </c>
      <c r="AI54" s="4686"/>
      <c r="AJ54" s="4686"/>
      <c r="AK54" s="4686"/>
      <c r="AL54" s="4686"/>
      <c r="AM54" s="4687"/>
      <c r="AN54" s="4684">
        <v>60</v>
      </c>
      <c r="AO54" s="4684"/>
      <c r="AP54" s="4684"/>
      <c r="AQ54" s="4684"/>
      <c r="AR54" s="4684"/>
      <c r="AS54" s="4684"/>
      <c r="AT54" s="4682">
        <v>696.3</v>
      </c>
      <c r="AU54" s="4682"/>
      <c r="AV54" s="4682"/>
      <c r="AW54" s="4682"/>
      <c r="AX54" s="4682"/>
      <c r="AY54" s="4682"/>
      <c r="AZ54" s="4683">
        <f t="shared" si="7"/>
        <v>22.275000000000002</v>
      </c>
      <c r="BA54" s="4683"/>
      <c r="BB54" s="4683"/>
      <c r="BC54" s="4683"/>
      <c r="BD54" s="4683"/>
      <c r="BE54" s="4683"/>
      <c r="BF54" s="2326"/>
      <c r="BH54" s="2368">
        <f t="shared" si="2"/>
        <v>7.745966692414834</v>
      </c>
      <c r="BI54" s="2373">
        <f t="shared" si="3"/>
        <v>24.51</v>
      </c>
      <c r="BJ54" s="2373">
        <f t="shared" si="4"/>
        <v>23.770000000000003</v>
      </c>
      <c r="BK54" s="2373">
        <f t="shared" si="5"/>
        <v>22.275000000000002</v>
      </c>
    </row>
    <row r="55" spans="1:63">
      <c r="A55" s="2323"/>
      <c r="D55" s="4681">
        <v>120</v>
      </c>
      <c r="E55" s="4681"/>
      <c r="F55" s="4681"/>
      <c r="G55" s="4681"/>
      <c r="H55" s="4681"/>
      <c r="I55" s="4681"/>
      <c r="J55" s="4682">
        <v>919</v>
      </c>
      <c r="K55" s="4682"/>
      <c r="L55" s="4682"/>
      <c r="M55" s="4682"/>
      <c r="N55" s="4682"/>
      <c r="O55" s="4682"/>
      <c r="P55" s="4683">
        <f t="shared" si="8"/>
        <v>24.500000000000004</v>
      </c>
      <c r="Q55" s="4683"/>
      <c r="R55" s="4683"/>
      <c r="S55" s="4683"/>
      <c r="T55" s="4683"/>
      <c r="U55" s="4683"/>
      <c r="V55" s="4684">
        <v>120</v>
      </c>
      <c r="W55" s="4684"/>
      <c r="X55" s="4684"/>
      <c r="Y55" s="4684"/>
      <c r="Z55" s="4684"/>
      <c r="AA55" s="4684"/>
      <c r="AB55" s="4682">
        <v>841.1</v>
      </c>
      <c r="AC55" s="4682"/>
      <c r="AD55" s="4682"/>
      <c r="AE55" s="4682"/>
      <c r="AF55" s="4682"/>
      <c r="AG55" s="4682"/>
      <c r="AH55" s="4685">
        <f t="shared" si="6"/>
        <v>23.749000000000002</v>
      </c>
      <c r="AI55" s="4686"/>
      <c r="AJ55" s="4686"/>
      <c r="AK55" s="4686"/>
      <c r="AL55" s="4686"/>
      <c r="AM55" s="4687"/>
      <c r="AN55" s="4684">
        <v>120</v>
      </c>
      <c r="AO55" s="4684"/>
      <c r="AP55" s="4684"/>
      <c r="AQ55" s="4684"/>
      <c r="AR55" s="4684"/>
      <c r="AS55" s="4684"/>
      <c r="AT55" s="4682">
        <v>694.2</v>
      </c>
      <c r="AU55" s="4682"/>
      <c r="AV55" s="4682"/>
      <c r="AW55" s="4682"/>
      <c r="AX55" s="4682"/>
      <c r="AY55" s="4682"/>
      <c r="AZ55" s="4683">
        <f t="shared" si="7"/>
        <v>22.254000000000005</v>
      </c>
      <c r="BA55" s="4683"/>
      <c r="BB55" s="4683"/>
      <c r="BC55" s="4683"/>
      <c r="BD55" s="4683"/>
      <c r="BE55" s="4683"/>
      <c r="BF55" s="2326"/>
      <c r="BH55" s="2368">
        <f t="shared" si="2"/>
        <v>10.954451150103322</v>
      </c>
      <c r="BI55" s="2373">
        <f t="shared" si="3"/>
        <v>24.500000000000004</v>
      </c>
      <c r="BJ55" s="2373">
        <f t="shared" si="4"/>
        <v>23.749000000000002</v>
      </c>
      <c r="BK55" s="2373">
        <f t="shared" si="5"/>
        <v>22.254000000000005</v>
      </c>
    </row>
    <row r="56" spans="1:63">
      <c r="A56" s="2323"/>
      <c r="D56" s="4681">
        <v>240</v>
      </c>
      <c r="E56" s="4681"/>
      <c r="F56" s="4681"/>
      <c r="G56" s="4681"/>
      <c r="H56" s="4681"/>
      <c r="I56" s="4681"/>
      <c r="J56" s="4682">
        <v>918.2</v>
      </c>
      <c r="K56" s="4682"/>
      <c r="L56" s="4682"/>
      <c r="M56" s="4682"/>
      <c r="N56" s="4682"/>
      <c r="O56" s="4682"/>
      <c r="P56" s="4683">
        <f t="shared" si="8"/>
        <v>24.492000000000001</v>
      </c>
      <c r="Q56" s="4683"/>
      <c r="R56" s="4683"/>
      <c r="S56" s="4683"/>
      <c r="T56" s="4683"/>
      <c r="U56" s="4683"/>
      <c r="V56" s="4684">
        <v>240</v>
      </c>
      <c r="W56" s="4684"/>
      <c r="X56" s="4684"/>
      <c r="Y56" s="4684"/>
      <c r="Z56" s="4684"/>
      <c r="AA56" s="4684"/>
      <c r="AB56" s="4682">
        <v>838.9</v>
      </c>
      <c r="AC56" s="4682"/>
      <c r="AD56" s="4682"/>
      <c r="AE56" s="4682"/>
      <c r="AF56" s="4682"/>
      <c r="AG56" s="4682"/>
      <c r="AH56" s="4685">
        <f t="shared" si="6"/>
        <v>23.727</v>
      </c>
      <c r="AI56" s="4686"/>
      <c r="AJ56" s="4686"/>
      <c r="AK56" s="4686"/>
      <c r="AL56" s="4686"/>
      <c r="AM56" s="4687"/>
      <c r="AN56" s="4684">
        <v>240</v>
      </c>
      <c r="AO56" s="4684"/>
      <c r="AP56" s="4684"/>
      <c r="AQ56" s="4684"/>
      <c r="AR56" s="4684"/>
      <c r="AS56" s="4684"/>
      <c r="AT56" s="4682">
        <v>691.9</v>
      </c>
      <c r="AU56" s="4682"/>
      <c r="AV56" s="4682"/>
      <c r="AW56" s="4682"/>
      <c r="AX56" s="4682"/>
      <c r="AY56" s="4682"/>
      <c r="AZ56" s="4683">
        <f t="shared" si="7"/>
        <v>22.231000000000002</v>
      </c>
      <c r="BA56" s="4683"/>
      <c r="BB56" s="4683"/>
      <c r="BC56" s="4683"/>
      <c r="BD56" s="4683"/>
      <c r="BE56" s="4683"/>
      <c r="BF56" s="2326"/>
      <c r="BH56" s="2368">
        <f t="shared" si="2"/>
        <v>15.491933384829668</v>
      </c>
      <c r="BI56" s="2373">
        <f t="shared" si="3"/>
        <v>24.492000000000001</v>
      </c>
      <c r="BJ56" s="2373">
        <f t="shared" si="4"/>
        <v>23.727</v>
      </c>
      <c r="BK56" s="2373">
        <f t="shared" si="5"/>
        <v>22.231000000000002</v>
      </c>
    </row>
    <row r="57" spans="1:63">
      <c r="A57" s="2323"/>
      <c r="D57" s="4681">
        <v>480</v>
      </c>
      <c r="E57" s="4681"/>
      <c r="F57" s="4681"/>
      <c r="G57" s="4681"/>
      <c r="H57" s="4681"/>
      <c r="I57" s="4681"/>
      <c r="J57" s="4682">
        <v>916.1</v>
      </c>
      <c r="K57" s="4682"/>
      <c r="L57" s="4682"/>
      <c r="M57" s="4682"/>
      <c r="N57" s="4682"/>
      <c r="O57" s="4682"/>
      <c r="P57" s="4683">
        <f t="shared" si="8"/>
        <v>24.471000000000004</v>
      </c>
      <c r="Q57" s="4683"/>
      <c r="R57" s="4683"/>
      <c r="S57" s="4683"/>
      <c r="T57" s="4683"/>
      <c r="U57" s="4683"/>
      <c r="V57" s="4684">
        <v>480</v>
      </c>
      <c r="W57" s="4684"/>
      <c r="X57" s="4684"/>
      <c r="Y57" s="4684"/>
      <c r="Z57" s="4684"/>
      <c r="AA57" s="4684"/>
      <c r="AB57" s="4682">
        <v>837.8</v>
      </c>
      <c r="AC57" s="4682"/>
      <c r="AD57" s="4682"/>
      <c r="AE57" s="4682"/>
      <c r="AF57" s="4682"/>
      <c r="AG57" s="4682"/>
      <c r="AH57" s="4685">
        <f t="shared" si="6"/>
        <v>23.716000000000001</v>
      </c>
      <c r="AI57" s="4686"/>
      <c r="AJ57" s="4686"/>
      <c r="AK57" s="4686"/>
      <c r="AL57" s="4686"/>
      <c r="AM57" s="4687"/>
      <c r="AN57" s="4684">
        <v>480</v>
      </c>
      <c r="AO57" s="4684"/>
      <c r="AP57" s="4684"/>
      <c r="AQ57" s="4684"/>
      <c r="AR57" s="4684"/>
      <c r="AS57" s="4684"/>
      <c r="AT57" s="4682">
        <v>690.6</v>
      </c>
      <c r="AU57" s="4682"/>
      <c r="AV57" s="4682"/>
      <c r="AW57" s="4682"/>
      <c r="AX57" s="4682"/>
      <c r="AY57" s="4682"/>
      <c r="AZ57" s="4683">
        <f t="shared" si="7"/>
        <v>22.218000000000004</v>
      </c>
      <c r="BA57" s="4683"/>
      <c r="BB57" s="4683"/>
      <c r="BC57" s="4683"/>
      <c r="BD57" s="4683"/>
      <c r="BE57" s="4683"/>
      <c r="BF57" s="2326"/>
      <c r="BH57" s="2368">
        <f t="shared" si="2"/>
        <v>21.908902300206645</v>
      </c>
      <c r="BI57" s="2373">
        <f t="shared" si="3"/>
        <v>24.471000000000004</v>
      </c>
      <c r="BJ57" s="2373">
        <f t="shared" si="4"/>
        <v>23.716000000000001</v>
      </c>
      <c r="BK57" s="2373">
        <f t="shared" si="5"/>
        <v>22.218000000000004</v>
      </c>
    </row>
    <row r="58" spans="1:63">
      <c r="A58" s="2323"/>
      <c r="D58" s="4681">
        <v>1440</v>
      </c>
      <c r="E58" s="4681"/>
      <c r="F58" s="4681"/>
      <c r="G58" s="4681"/>
      <c r="H58" s="4681"/>
      <c r="I58" s="4681"/>
      <c r="J58" s="4682">
        <v>914.3</v>
      </c>
      <c r="K58" s="4682"/>
      <c r="L58" s="4682"/>
      <c r="M58" s="4682"/>
      <c r="N58" s="4682"/>
      <c r="O58" s="4682"/>
      <c r="P58" s="4683">
        <f>IF(OR($V$27="",J58=""),"",$V$27*10-($J$45-J58)/100)</f>
        <v>24.453000000000003</v>
      </c>
      <c r="Q58" s="4683"/>
      <c r="R58" s="4683"/>
      <c r="S58" s="4683"/>
      <c r="T58" s="4683"/>
      <c r="U58" s="4683"/>
      <c r="V58" s="4684">
        <v>1440</v>
      </c>
      <c r="W58" s="4684"/>
      <c r="X58" s="4684"/>
      <c r="Y58" s="4684"/>
      <c r="Z58" s="4684"/>
      <c r="AA58" s="4684"/>
      <c r="AB58" s="4682">
        <v>835.2</v>
      </c>
      <c r="AC58" s="4682"/>
      <c r="AD58" s="4682"/>
      <c r="AE58" s="4682"/>
      <c r="AF58" s="4682"/>
      <c r="AG58" s="4682"/>
      <c r="AH58" s="4685">
        <f t="shared" si="6"/>
        <v>23.69</v>
      </c>
      <c r="AI58" s="4686"/>
      <c r="AJ58" s="4686"/>
      <c r="AK58" s="4686"/>
      <c r="AL58" s="4686"/>
      <c r="AM58" s="4687"/>
      <c r="AN58" s="4684">
        <v>1440</v>
      </c>
      <c r="AO58" s="4684"/>
      <c r="AP58" s="4684"/>
      <c r="AQ58" s="4684"/>
      <c r="AR58" s="4684"/>
      <c r="AS58" s="4684"/>
      <c r="AT58" s="4682">
        <v>689.2</v>
      </c>
      <c r="AU58" s="4682"/>
      <c r="AV58" s="4682"/>
      <c r="AW58" s="4682"/>
      <c r="AX58" s="4682"/>
      <c r="AY58" s="4682"/>
      <c r="AZ58" s="4683">
        <f t="shared" si="7"/>
        <v>22.204000000000004</v>
      </c>
      <c r="BA58" s="4683"/>
      <c r="BB58" s="4683"/>
      <c r="BC58" s="4683"/>
      <c r="BD58" s="4683"/>
      <c r="BE58" s="4683"/>
      <c r="BF58" s="2326"/>
      <c r="BH58" s="2368">
        <f t="shared" si="2"/>
        <v>37.947331922020552</v>
      </c>
      <c r="BI58" s="2373">
        <f t="shared" si="3"/>
        <v>24.453000000000003</v>
      </c>
      <c r="BJ58" s="2373">
        <f t="shared" si="4"/>
        <v>23.69</v>
      </c>
      <c r="BK58" s="2373">
        <f t="shared" si="5"/>
        <v>22.204000000000004</v>
      </c>
    </row>
    <row r="59" spans="1:63">
      <c r="A59" s="2323"/>
      <c r="D59" s="4688"/>
      <c r="E59" s="4688"/>
      <c r="F59" s="4688"/>
      <c r="G59" s="4688"/>
      <c r="H59" s="4688"/>
      <c r="I59" s="4688"/>
      <c r="J59" s="4688"/>
      <c r="K59" s="4688"/>
      <c r="L59" s="4688"/>
      <c r="M59" s="4688"/>
      <c r="N59" s="4688"/>
      <c r="O59" s="4688"/>
      <c r="P59" s="4688"/>
      <c r="Q59" s="4688"/>
      <c r="R59" s="4688"/>
      <c r="S59" s="4688"/>
      <c r="T59" s="4688"/>
      <c r="U59" s="4688"/>
      <c r="V59" s="4688"/>
      <c r="W59" s="4688"/>
      <c r="X59" s="4688"/>
      <c r="Y59" s="4688"/>
      <c r="Z59" s="4688"/>
      <c r="AA59" s="4688"/>
      <c r="AB59" s="4688"/>
      <c r="AC59" s="4688"/>
      <c r="AD59" s="4688"/>
      <c r="AE59" s="4688"/>
      <c r="AF59" s="4688"/>
      <c r="AG59" s="4688"/>
      <c r="AH59" s="4688"/>
      <c r="AI59" s="4688"/>
      <c r="AJ59" s="4688"/>
      <c r="AK59" s="4688"/>
      <c r="AL59" s="4688"/>
      <c r="AM59" s="4688"/>
      <c r="AN59" s="4688"/>
      <c r="AO59" s="4688"/>
      <c r="AP59" s="4688"/>
      <c r="AQ59" s="4688"/>
      <c r="AR59" s="4688"/>
      <c r="AS59" s="4688"/>
      <c r="AT59" s="4688"/>
      <c r="AU59" s="4688"/>
      <c r="AV59" s="4688"/>
      <c r="AW59" s="4688"/>
      <c r="AX59" s="4688"/>
      <c r="AY59" s="4688"/>
      <c r="AZ59" s="4688"/>
      <c r="BA59" s="4688"/>
      <c r="BB59" s="4688"/>
      <c r="BC59" s="4688"/>
      <c r="BD59" s="4688"/>
      <c r="BE59" s="4688"/>
      <c r="BF59" s="2326"/>
    </row>
    <row r="60" spans="1:63">
      <c r="A60" s="2323"/>
      <c r="BF60" s="2326"/>
    </row>
    <row r="61" spans="1:63">
      <c r="A61" s="2323"/>
      <c r="BF61" s="2326"/>
    </row>
    <row r="62" spans="1:63">
      <c r="A62" s="2323"/>
      <c r="BF62" s="2326"/>
    </row>
    <row r="63" spans="1:63">
      <c r="A63" s="2323"/>
      <c r="BF63" s="2326"/>
    </row>
    <row r="64" spans="1:63">
      <c r="A64" s="2370"/>
      <c r="B64" s="2371"/>
      <c r="C64" s="2371"/>
      <c r="D64" s="2371"/>
      <c r="E64" s="2371"/>
      <c r="F64" s="2371"/>
      <c r="G64" s="2371"/>
      <c r="H64" s="2371"/>
      <c r="I64" s="2371"/>
      <c r="J64" s="2371"/>
      <c r="K64" s="2371"/>
      <c r="L64" s="2371"/>
      <c r="M64" s="2371"/>
      <c r="N64" s="2371"/>
      <c r="O64" s="2371"/>
      <c r="P64" s="2371"/>
      <c r="Q64" s="2371"/>
      <c r="R64" s="2371"/>
      <c r="S64" s="2371"/>
      <c r="T64" s="2371"/>
      <c r="U64" s="2371"/>
      <c r="V64" s="2371"/>
      <c r="W64" s="2371"/>
      <c r="X64" s="2371"/>
      <c r="Y64" s="2371"/>
      <c r="Z64" s="2371"/>
      <c r="AA64" s="2371"/>
      <c r="AB64" s="2371"/>
      <c r="AC64" s="2371"/>
      <c r="AD64" s="2371"/>
      <c r="AE64" s="2371"/>
      <c r="AF64" s="2371"/>
      <c r="AG64" s="2371"/>
      <c r="AH64" s="2371"/>
      <c r="AI64" s="2371"/>
      <c r="AJ64" s="2371"/>
      <c r="AK64" s="2371"/>
      <c r="AL64" s="2371"/>
      <c r="AM64" s="2371"/>
      <c r="AN64" s="2371"/>
      <c r="AO64" s="2371"/>
      <c r="AP64" s="2371"/>
      <c r="AQ64" s="2371"/>
      <c r="AR64" s="2371"/>
      <c r="AS64" s="2371"/>
      <c r="AT64" s="2371"/>
      <c r="AU64" s="2371"/>
      <c r="AV64" s="2371"/>
      <c r="AW64" s="2371"/>
      <c r="AX64" s="2371"/>
      <c r="AY64" s="2371"/>
      <c r="AZ64" s="2371"/>
      <c r="BA64" s="2371"/>
      <c r="BB64" s="2371"/>
      <c r="BC64" s="2371"/>
      <c r="BD64" s="2371"/>
      <c r="BE64" s="2371"/>
      <c r="BF64" s="2372"/>
    </row>
  </sheetData>
  <mergeCells count="282">
    <mergeCell ref="AN59:AS59"/>
    <mergeCell ref="AT59:AY59"/>
    <mergeCell ref="AZ59:BE59"/>
    <mergeCell ref="D59:I59"/>
    <mergeCell ref="J59:O59"/>
    <mergeCell ref="P59:U59"/>
    <mergeCell ref="V59:AA59"/>
    <mergeCell ref="AB59:AG59"/>
    <mergeCell ref="AH59:AM59"/>
    <mergeCell ref="D58:I58"/>
    <mergeCell ref="J58:O58"/>
    <mergeCell ref="P58:U58"/>
    <mergeCell ref="V58:AA58"/>
    <mergeCell ref="AB58:AG58"/>
    <mergeCell ref="AH58:AM58"/>
    <mergeCell ref="AN58:AS58"/>
    <mergeCell ref="AT58:AY58"/>
    <mergeCell ref="AZ58:BE58"/>
    <mergeCell ref="D57:I57"/>
    <mergeCell ref="J57:O57"/>
    <mergeCell ref="P57:U57"/>
    <mergeCell ref="V57:AA57"/>
    <mergeCell ref="AB57:AG57"/>
    <mergeCell ref="AH57:AM57"/>
    <mergeCell ref="AN57:AS57"/>
    <mergeCell ref="AT57:AY57"/>
    <mergeCell ref="AZ57:BE57"/>
    <mergeCell ref="AN55:AS55"/>
    <mergeCell ref="AT55:AY55"/>
    <mergeCell ref="AZ55:BE55"/>
    <mergeCell ref="D56:I56"/>
    <mergeCell ref="J56:O56"/>
    <mergeCell ref="P56:U56"/>
    <mergeCell ref="V56:AA56"/>
    <mergeCell ref="AB56:AG56"/>
    <mergeCell ref="AH56:AM56"/>
    <mergeCell ref="AN56:AS56"/>
    <mergeCell ref="D55:I55"/>
    <mergeCell ref="J55:O55"/>
    <mergeCell ref="P55:U55"/>
    <mergeCell ref="V55:AA55"/>
    <mergeCell ref="AB55:AG55"/>
    <mergeCell ref="AH55:AM55"/>
    <mergeCell ref="AT56:AY56"/>
    <mergeCell ref="AZ56:BE56"/>
    <mergeCell ref="AT53:AY53"/>
    <mergeCell ref="AZ53:BE53"/>
    <mergeCell ref="D54:I54"/>
    <mergeCell ref="J54:O54"/>
    <mergeCell ref="P54:U54"/>
    <mergeCell ref="V54:AA54"/>
    <mergeCell ref="AB54:AG54"/>
    <mergeCell ref="AH54:AM54"/>
    <mergeCell ref="AN54:AS54"/>
    <mergeCell ref="AT54:AY54"/>
    <mergeCell ref="AZ54:BE54"/>
    <mergeCell ref="AT51:AY51"/>
    <mergeCell ref="AZ51:BE51"/>
    <mergeCell ref="D52:I52"/>
    <mergeCell ref="J52:O52"/>
    <mergeCell ref="P52:U52"/>
    <mergeCell ref="V52:AA52"/>
    <mergeCell ref="AB52:AG52"/>
    <mergeCell ref="AH52:AM52"/>
    <mergeCell ref="AN52:AS52"/>
    <mergeCell ref="AT52:AY52"/>
    <mergeCell ref="AZ52:BE52"/>
    <mergeCell ref="A51:A54"/>
    <mergeCell ref="B51:B54"/>
    <mergeCell ref="D51:I51"/>
    <mergeCell ref="J51:O51"/>
    <mergeCell ref="P51:U51"/>
    <mergeCell ref="V51:AA51"/>
    <mergeCell ref="AB51:AG51"/>
    <mergeCell ref="AH51:AM51"/>
    <mergeCell ref="AN51:AS51"/>
    <mergeCell ref="D53:I53"/>
    <mergeCell ref="J53:O53"/>
    <mergeCell ref="P53:U53"/>
    <mergeCell ref="V53:AA53"/>
    <mergeCell ref="AB53:AG53"/>
    <mergeCell ref="AH53:AM53"/>
    <mergeCell ref="AN53:AS53"/>
    <mergeCell ref="AN49:AS49"/>
    <mergeCell ref="AT49:AY49"/>
    <mergeCell ref="AZ49:BE49"/>
    <mergeCell ref="D50:I50"/>
    <mergeCell ref="J50:O50"/>
    <mergeCell ref="P50:U50"/>
    <mergeCell ref="V50:AA50"/>
    <mergeCell ref="AB50:AG50"/>
    <mergeCell ref="AH50:AM50"/>
    <mergeCell ref="AN50:AS50"/>
    <mergeCell ref="D49:I49"/>
    <mergeCell ref="J49:O49"/>
    <mergeCell ref="P49:U49"/>
    <mergeCell ref="V49:AA49"/>
    <mergeCell ref="AB49:AG49"/>
    <mergeCell ref="AH49:AM49"/>
    <mergeCell ref="AT50:AY50"/>
    <mergeCell ref="AZ50:BE50"/>
    <mergeCell ref="D48:I48"/>
    <mergeCell ref="J48:O48"/>
    <mergeCell ref="P48:U48"/>
    <mergeCell ref="V48:AA48"/>
    <mergeCell ref="AB48:AG48"/>
    <mergeCell ref="AH48:AM48"/>
    <mergeCell ref="AN48:AS48"/>
    <mergeCell ref="AT48:AY48"/>
    <mergeCell ref="AZ48:BE48"/>
    <mergeCell ref="D47:I47"/>
    <mergeCell ref="J47:O47"/>
    <mergeCell ref="P47:U47"/>
    <mergeCell ref="V47:AA47"/>
    <mergeCell ref="AB47:AG47"/>
    <mergeCell ref="AH47:AM47"/>
    <mergeCell ref="AN47:AS47"/>
    <mergeCell ref="AT47:AY47"/>
    <mergeCell ref="AZ47:BE47"/>
    <mergeCell ref="AZ45:BE45"/>
    <mergeCell ref="D46:I46"/>
    <mergeCell ref="J46:O46"/>
    <mergeCell ref="P46:U46"/>
    <mergeCell ref="V46:AA46"/>
    <mergeCell ref="AB46:AG46"/>
    <mergeCell ref="AH46:AM46"/>
    <mergeCell ref="AN46:AS46"/>
    <mergeCell ref="AT46:AY46"/>
    <mergeCell ref="AZ46:BE46"/>
    <mergeCell ref="V42:AA43"/>
    <mergeCell ref="AB42:AG43"/>
    <mergeCell ref="AH42:AM43"/>
    <mergeCell ref="AN42:AS43"/>
    <mergeCell ref="AT42:AY43"/>
    <mergeCell ref="AZ42:BE43"/>
    <mergeCell ref="B43:B49"/>
    <mergeCell ref="D44:I44"/>
    <mergeCell ref="J44:O44"/>
    <mergeCell ref="P44:U44"/>
    <mergeCell ref="V44:AA44"/>
    <mergeCell ref="AB44:AG44"/>
    <mergeCell ref="AH44:AM44"/>
    <mergeCell ref="AN44:AS44"/>
    <mergeCell ref="AT44:AY44"/>
    <mergeCell ref="AZ44:BE44"/>
    <mergeCell ref="D45:I45"/>
    <mergeCell ref="J45:O45"/>
    <mergeCell ref="P45:U45"/>
    <mergeCell ref="V45:AA45"/>
    <mergeCell ref="AB45:AG45"/>
    <mergeCell ref="AH45:AM45"/>
    <mergeCell ref="AN45:AS45"/>
    <mergeCell ref="AT45:AY45"/>
    <mergeCell ref="V37:AA37"/>
    <mergeCell ref="AB37:AG37"/>
    <mergeCell ref="AH37:AM37"/>
    <mergeCell ref="AN37:AS37"/>
    <mergeCell ref="AT37:AY37"/>
    <mergeCell ref="AZ37:BE37"/>
    <mergeCell ref="A36:A49"/>
    <mergeCell ref="B36:B39"/>
    <mergeCell ref="V36:AA36"/>
    <mergeCell ref="AB36:AG36"/>
    <mergeCell ref="AH36:AM36"/>
    <mergeCell ref="AN36:AS36"/>
    <mergeCell ref="V38:AA38"/>
    <mergeCell ref="AB38:AG38"/>
    <mergeCell ref="AH38:AM38"/>
    <mergeCell ref="AN38:AS38"/>
    <mergeCell ref="AT38:AY38"/>
    <mergeCell ref="AZ38:BE38"/>
    <mergeCell ref="D41:U41"/>
    <mergeCell ref="V41:AM41"/>
    <mergeCell ref="AN41:BE41"/>
    <mergeCell ref="D42:I43"/>
    <mergeCell ref="J42:O43"/>
    <mergeCell ref="P42:U43"/>
    <mergeCell ref="AT33:AY33"/>
    <mergeCell ref="AZ33:BE33"/>
    <mergeCell ref="V34:AA34"/>
    <mergeCell ref="AB34:AG34"/>
    <mergeCell ref="AH34:AM34"/>
    <mergeCell ref="AN34:AS34"/>
    <mergeCell ref="AT34:AY34"/>
    <mergeCell ref="AZ34:BE34"/>
    <mergeCell ref="AT36:AY36"/>
    <mergeCell ref="AZ36:BE36"/>
    <mergeCell ref="AT31:AY31"/>
    <mergeCell ref="AZ31:BE31"/>
    <mergeCell ref="V32:AA32"/>
    <mergeCell ref="AB32:AG32"/>
    <mergeCell ref="AH32:AM32"/>
    <mergeCell ref="AN32:AS32"/>
    <mergeCell ref="AT32:AY32"/>
    <mergeCell ref="AZ32:BE32"/>
    <mergeCell ref="A31:A35"/>
    <mergeCell ref="B31:B35"/>
    <mergeCell ref="V31:AA31"/>
    <mergeCell ref="AB31:AG31"/>
    <mergeCell ref="AH31:AM31"/>
    <mergeCell ref="AN31:AS31"/>
    <mergeCell ref="V33:AA33"/>
    <mergeCell ref="AB33:AG33"/>
    <mergeCell ref="AH33:AM33"/>
    <mergeCell ref="AN33:AS33"/>
    <mergeCell ref="V35:AA35"/>
    <mergeCell ref="AB35:AG35"/>
    <mergeCell ref="AH35:AM35"/>
    <mergeCell ref="AN35:AS35"/>
    <mergeCell ref="AT35:AY35"/>
    <mergeCell ref="AZ35:BE35"/>
    <mergeCell ref="V30:AA30"/>
    <mergeCell ref="AB30:AG30"/>
    <mergeCell ref="AH30:AM30"/>
    <mergeCell ref="AN30:AS30"/>
    <mergeCell ref="AT30:AY30"/>
    <mergeCell ref="AZ30:BE30"/>
    <mergeCell ref="V29:AA29"/>
    <mergeCell ref="AB29:AG29"/>
    <mergeCell ref="AH29:AM29"/>
    <mergeCell ref="AN29:AS29"/>
    <mergeCell ref="AT29:AY29"/>
    <mergeCell ref="AZ29:BE29"/>
    <mergeCell ref="V28:AA28"/>
    <mergeCell ref="AB28:AG28"/>
    <mergeCell ref="AH28:AM28"/>
    <mergeCell ref="AN28:AS28"/>
    <mergeCell ref="AT28:AY28"/>
    <mergeCell ref="AZ28:BE28"/>
    <mergeCell ref="V27:AA27"/>
    <mergeCell ref="AB27:AG27"/>
    <mergeCell ref="AH27:AM27"/>
    <mergeCell ref="AN27:AS27"/>
    <mergeCell ref="AT27:AY27"/>
    <mergeCell ref="AZ27:BE27"/>
    <mergeCell ref="R23:T23"/>
    <mergeCell ref="V23:AG23"/>
    <mergeCell ref="AH23:AS23"/>
    <mergeCell ref="AT23:BE23"/>
    <mergeCell ref="A24:A27"/>
    <mergeCell ref="B24:B27"/>
    <mergeCell ref="V24:AA24"/>
    <mergeCell ref="AB24:AG24"/>
    <mergeCell ref="AH24:AM24"/>
    <mergeCell ref="AN24:AS24"/>
    <mergeCell ref="V26:AA26"/>
    <mergeCell ref="AB26:AG26"/>
    <mergeCell ref="AH26:AM26"/>
    <mergeCell ref="AN26:AS26"/>
    <mergeCell ref="AT26:AY26"/>
    <mergeCell ref="AZ26:BE26"/>
    <mergeCell ref="AT24:AY24"/>
    <mergeCell ref="AZ24:BE24"/>
    <mergeCell ref="V25:AA25"/>
    <mergeCell ref="AB25:AG25"/>
    <mergeCell ref="AH25:AM25"/>
    <mergeCell ref="AN25:AS25"/>
    <mergeCell ref="AT25:AY25"/>
    <mergeCell ref="AZ25:BE25"/>
    <mergeCell ref="R22:T22"/>
    <mergeCell ref="V22:AG22"/>
    <mergeCell ref="AH22:AS22"/>
    <mergeCell ref="AT22:BE22"/>
    <mergeCell ref="A19:A22"/>
    <mergeCell ref="B19:B22"/>
    <mergeCell ref="V19:AG19"/>
    <mergeCell ref="AH19:AS19"/>
    <mergeCell ref="AT19:BE19"/>
    <mergeCell ref="R20:T20"/>
    <mergeCell ref="V20:AG20"/>
    <mergeCell ref="AH20:AS20"/>
    <mergeCell ref="AT20:BE20"/>
    <mergeCell ref="R21:T21"/>
    <mergeCell ref="BI5:BI6"/>
    <mergeCell ref="AV7:BA7"/>
    <mergeCell ref="AV8:BA8"/>
    <mergeCell ref="D11:BE11"/>
    <mergeCell ref="D12:BE12"/>
    <mergeCell ref="L17:U17"/>
    <mergeCell ref="V21:AG21"/>
    <mergeCell ref="AH21:AS21"/>
    <mergeCell ref="AT21:BE21"/>
  </mergeCells>
  <printOptions horizontalCentered="1" verticalCentered="1"/>
  <pageMargins left="0.3" right="0.3" top="0.3" bottom="0.3" header="0.2" footer="0.25"/>
  <pageSetup paperSize="9" scale="80"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689E-8DEF-4A05-9126-A3348F5706BC}">
  <sheetPr>
    <tabColor theme="9"/>
  </sheetPr>
  <dimension ref="A1:BP62"/>
  <sheetViews>
    <sheetView showGridLines="0" topLeftCell="W6" zoomScaleNormal="100" zoomScaleSheetLayoutView="100" workbookViewId="0">
      <selection activeCell="BH30" sqref="BH29:BH30"/>
    </sheetView>
  </sheetViews>
  <sheetFormatPr defaultColWidth="8" defaultRowHeight="13.5"/>
  <cols>
    <col min="1" max="3" width="2.625" style="2313" customWidth="1"/>
    <col min="4" max="57" width="1.5" style="2313" customWidth="1"/>
    <col min="58" max="58" width="6.75" style="2313" customWidth="1"/>
    <col min="59" max="59" width="8" style="2313"/>
    <col min="60" max="60" width="11.5" style="2313" customWidth="1"/>
    <col min="61" max="16384" width="8" style="2313"/>
  </cols>
  <sheetData>
    <row r="1" spans="1:58" ht="23.1" customHeight="1">
      <c r="A1" s="2310"/>
      <c r="B1" s="2311"/>
      <c r="C1" s="2311"/>
      <c r="D1" s="2311"/>
      <c r="E1" s="2311"/>
      <c r="F1" s="2311"/>
      <c r="G1" s="2311"/>
      <c r="H1" s="2311"/>
      <c r="I1" s="2311"/>
      <c r="J1" s="2311"/>
      <c r="K1" s="2311"/>
      <c r="L1" s="2311"/>
      <c r="M1" s="2311"/>
      <c r="N1" s="2311"/>
      <c r="O1" s="2311"/>
      <c r="P1" s="2311"/>
      <c r="Q1" s="2311"/>
      <c r="R1" s="2311"/>
      <c r="S1" s="2311"/>
      <c r="T1" s="2311"/>
      <c r="U1" s="2311"/>
      <c r="V1" s="2311"/>
      <c r="W1" s="2311"/>
      <c r="X1" s="2311"/>
      <c r="Y1" s="2311"/>
      <c r="Z1" s="2311"/>
      <c r="AA1" s="2311"/>
      <c r="AB1" s="2311"/>
      <c r="AC1" s="2311"/>
      <c r="AD1" s="2311"/>
      <c r="AE1" s="2311"/>
      <c r="AF1" s="2311"/>
      <c r="AG1" s="2311"/>
      <c r="AH1" s="2311"/>
      <c r="AI1" s="2311"/>
      <c r="AJ1" s="2311"/>
      <c r="AK1" s="2311"/>
      <c r="AL1" s="2311"/>
      <c r="AM1" s="2311"/>
      <c r="AN1" s="2311"/>
      <c r="AO1" s="2311"/>
      <c r="AP1" s="2311"/>
      <c r="AQ1" s="2311"/>
      <c r="AR1" s="2311"/>
      <c r="AS1" s="2311"/>
      <c r="AT1" s="2311"/>
      <c r="AU1" s="2311"/>
      <c r="AV1" s="2311"/>
      <c r="AW1" s="2311"/>
      <c r="AX1" s="2311"/>
      <c r="AY1" s="2311"/>
      <c r="AZ1" s="2311"/>
      <c r="BA1" s="2311"/>
      <c r="BB1" s="2311"/>
      <c r="BC1" s="2311"/>
      <c r="BD1" s="2311"/>
      <c r="BE1" s="2311"/>
      <c r="BF1" s="2312"/>
    </row>
    <row r="2" spans="1:58" ht="15" customHeight="1">
      <c r="A2" s="2314"/>
      <c r="BF2" s="2315"/>
    </row>
    <row r="3" spans="1:58" ht="15" customHeight="1">
      <c r="A3" s="2314"/>
      <c r="BF3" s="2315"/>
    </row>
    <row r="4" spans="1:58" ht="15" customHeight="1">
      <c r="A4" s="2316"/>
      <c r="B4" s="2317"/>
      <c r="C4" s="2317"/>
      <c r="D4" s="2317"/>
      <c r="E4" s="2317"/>
      <c r="F4" s="2317"/>
      <c r="G4" s="2317"/>
      <c r="H4" s="2317"/>
      <c r="I4" s="2317"/>
      <c r="J4" s="2317"/>
      <c r="K4" s="2317"/>
      <c r="L4" s="2317"/>
      <c r="M4" s="2317"/>
      <c r="N4" s="2317"/>
      <c r="O4" s="2317"/>
      <c r="P4" s="2317"/>
      <c r="Q4" s="2317"/>
      <c r="R4" s="2317"/>
      <c r="S4" s="2317"/>
      <c r="T4" s="2317"/>
      <c r="U4" s="2317"/>
      <c r="V4" s="2317"/>
      <c r="W4" s="2317"/>
      <c r="X4" s="2317"/>
      <c r="Y4" s="2317"/>
      <c r="Z4" s="2317"/>
      <c r="AA4" s="2317"/>
      <c r="AB4" s="2317"/>
      <c r="AC4" s="2317"/>
      <c r="AD4" s="2317"/>
      <c r="AE4" s="2317"/>
      <c r="AF4" s="2317"/>
      <c r="AG4" s="2317"/>
      <c r="AH4" s="2317"/>
      <c r="AI4" s="2317"/>
      <c r="AJ4" s="2317"/>
      <c r="AK4" s="2317"/>
      <c r="AL4" s="2317"/>
      <c r="AM4" s="2317"/>
      <c r="AN4" s="2317"/>
      <c r="AO4" s="2317"/>
      <c r="AP4" s="2317"/>
      <c r="AQ4" s="2317"/>
      <c r="AR4" s="2317"/>
      <c r="AS4" s="2317"/>
      <c r="AT4" s="2317"/>
      <c r="AU4" s="2317"/>
      <c r="AV4" s="2317"/>
      <c r="AW4" s="2317"/>
      <c r="AX4" s="2317"/>
      <c r="AY4" s="2317"/>
      <c r="AZ4" s="2317"/>
      <c r="BA4" s="2317"/>
      <c r="BB4" s="2317"/>
      <c r="BC4" s="2317"/>
      <c r="BD4" s="2317"/>
      <c r="BE4" s="2317"/>
      <c r="BF4" s="2318"/>
    </row>
    <row r="5" spans="1:58">
      <c r="A5" s="2319"/>
      <c r="B5" s="2320"/>
      <c r="C5" s="2320"/>
      <c r="D5" s="2320"/>
      <c r="E5" s="2320"/>
      <c r="F5" s="2320"/>
      <c r="G5" s="2320"/>
      <c r="H5" s="2320"/>
      <c r="I5" s="2320"/>
      <c r="J5" s="2320"/>
      <c r="K5" s="2320"/>
      <c r="L5" s="2320"/>
      <c r="M5" s="2320"/>
      <c r="N5" s="2320"/>
      <c r="O5" s="2320"/>
      <c r="P5" s="2320"/>
      <c r="Q5" s="2320"/>
      <c r="R5" s="2320"/>
      <c r="S5" s="2320"/>
      <c r="T5" s="2320"/>
      <c r="U5" s="2320"/>
      <c r="V5" s="2320"/>
      <c r="W5" s="2320"/>
      <c r="X5" s="2320"/>
      <c r="Y5" s="2320"/>
      <c r="Z5" s="2320"/>
      <c r="AA5" s="2320"/>
      <c r="AB5" s="2320"/>
      <c r="AC5" s="2320"/>
      <c r="AD5" s="2320"/>
      <c r="AE5" s="2320"/>
      <c r="AF5" s="2320"/>
      <c r="AG5" s="2320"/>
      <c r="AH5" s="2320"/>
      <c r="AI5" s="2320"/>
      <c r="AJ5" s="2320"/>
      <c r="AK5" s="2320"/>
      <c r="AL5" s="2320"/>
      <c r="AM5" s="2320"/>
      <c r="AN5" s="2320"/>
      <c r="AO5" s="2320"/>
      <c r="AP5" s="2320"/>
      <c r="AQ5" s="2320"/>
      <c r="AR5" s="2320"/>
      <c r="AS5" s="2320"/>
      <c r="AT5" s="2320"/>
      <c r="AU5" s="2320"/>
      <c r="AV5" s="2320"/>
      <c r="AW5" s="2320"/>
      <c r="AX5" s="2320"/>
      <c r="AY5" s="2320"/>
      <c r="AZ5" s="2320"/>
      <c r="BA5" s="2320"/>
      <c r="BB5" s="2320"/>
      <c r="BC5" s="2320"/>
      <c r="BD5" s="2320"/>
      <c r="BE5" s="2320"/>
      <c r="BF5" s="2321"/>
    </row>
    <row r="6" spans="1:58">
      <c r="A6" s="2323"/>
      <c r="B6" s="2324"/>
      <c r="C6" s="2324"/>
      <c r="D6" s="2324" t="s">
        <v>206</v>
      </c>
      <c r="E6" s="2324"/>
      <c r="F6" s="2324"/>
      <c r="G6" s="2324"/>
      <c r="H6" s="2324"/>
      <c r="I6" s="2324"/>
      <c r="J6" s="2324"/>
      <c r="K6" s="2324" t="s">
        <v>27</v>
      </c>
      <c r="L6" s="2324" t="str">
        <f>IF(OR('Cons.Ds CD'!L6=""),"",'Cons.Ds CD'!L6)</f>
        <v/>
      </c>
      <c r="M6" s="2324"/>
      <c r="N6" s="2324"/>
      <c r="O6" s="2324"/>
      <c r="P6" s="2324"/>
      <c r="Q6" s="2324"/>
      <c r="R6" s="2324"/>
      <c r="S6" s="2324"/>
      <c r="T6" s="2324"/>
      <c r="U6" s="2324"/>
      <c r="V6" s="2324"/>
      <c r="W6" s="2324"/>
      <c r="X6" s="2324"/>
      <c r="Y6" s="2324"/>
      <c r="Z6" s="2324"/>
      <c r="AA6" s="2324"/>
      <c r="AB6" s="2324"/>
      <c r="AC6" s="2324"/>
      <c r="AD6" s="2324"/>
      <c r="AE6" s="2324"/>
      <c r="AF6" s="2324"/>
      <c r="AG6" s="2324"/>
      <c r="AH6" s="2324"/>
      <c r="AI6" s="2324"/>
      <c r="AJ6" s="2324"/>
      <c r="AK6" s="2324"/>
      <c r="AL6" s="2324"/>
      <c r="AM6" s="2324"/>
      <c r="AN6" s="2324" t="s">
        <v>1097</v>
      </c>
      <c r="AO6" s="2324"/>
      <c r="AP6" s="2324"/>
      <c r="AQ6" s="2324"/>
      <c r="AR6" s="2324"/>
      <c r="AS6" s="2324"/>
      <c r="AT6" s="2324"/>
      <c r="AU6" s="2324" t="s">
        <v>27</v>
      </c>
      <c r="AV6" s="2324" t="str">
        <f>IF(OR('Cons.Ds CD'!AV6=""),"",'Cons.Ds CD'!AV6)</f>
        <v/>
      </c>
      <c r="AW6" s="2324"/>
      <c r="AX6" s="2324"/>
      <c r="AY6" s="2324"/>
      <c r="AZ6" s="2324"/>
      <c r="BA6" s="2324"/>
      <c r="BB6" s="2324"/>
      <c r="BC6" s="2324"/>
      <c r="BD6" s="2324"/>
      <c r="BE6" s="2324"/>
      <c r="BF6" s="2326"/>
    </row>
    <row r="7" spans="1:58">
      <c r="A7" s="2323"/>
      <c r="B7" s="2324"/>
      <c r="C7" s="2324"/>
      <c r="D7" s="2324" t="s">
        <v>82</v>
      </c>
      <c r="E7" s="2324"/>
      <c r="F7" s="2324"/>
      <c r="G7" s="2324"/>
      <c r="H7" s="2324"/>
      <c r="I7" s="2324"/>
      <c r="J7" s="2324"/>
      <c r="K7" s="2324" t="s">
        <v>27</v>
      </c>
      <c r="L7" s="2324" t="str">
        <f>IF(OR('Cons.Ds CD'!L7=""),"",'Cons.Ds CD'!L7)</f>
        <v/>
      </c>
      <c r="M7" s="2324"/>
      <c r="N7" s="2324"/>
      <c r="O7" s="2324"/>
      <c r="P7" s="2324"/>
      <c r="Q7" s="2324"/>
      <c r="R7" s="2324"/>
      <c r="S7" s="2324"/>
      <c r="T7" s="2324"/>
      <c r="U7" s="2324"/>
      <c r="V7" s="2324"/>
      <c r="W7" s="2324"/>
      <c r="X7" s="2324"/>
      <c r="Y7" s="2324"/>
      <c r="Z7" s="2324"/>
      <c r="AA7" s="2324"/>
      <c r="AB7" s="2324"/>
      <c r="AC7" s="2324"/>
      <c r="AD7" s="2324"/>
      <c r="AE7" s="2324"/>
      <c r="AF7" s="2324"/>
      <c r="AG7" s="2324"/>
      <c r="AH7" s="2324"/>
      <c r="AI7" s="2324"/>
      <c r="AJ7" s="2324"/>
      <c r="AK7" s="2324"/>
      <c r="AL7" s="2324"/>
      <c r="AM7" s="2324"/>
      <c r="AN7" s="2324" t="s">
        <v>1098</v>
      </c>
      <c r="AO7" s="2324"/>
      <c r="AP7" s="2324"/>
      <c r="AQ7" s="2324"/>
      <c r="AR7" s="2324"/>
      <c r="AS7" s="2324"/>
      <c r="AT7" s="2324"/>
      <c r="AU7" s="2324" t="s">
        <v>27</v>
      </c>
      <c r="AV7" s="4693" t="str">
        <f>IF(OR('Cons.Ds CD'!AV7=""),"",'Cons.Ds CD'!AV7)</f>
        <v/>
      </c>
      <c r="AW7" s="4693"/>
      <c r="AX7" s="4693"/>
      <c r="AY7" s="4693"/>
      <c r="AZ7" s="4693"/>
      <c r="BA7" s="4693"/>
      <c r="BB7" s="2324"/>
      <c r="BC7" s="2324"/>
      <c r="BD7" s="2324"/>
      <c r="BE7" s="2324"/>
      <c r="BF7" s="2326"/>
    </row>
    <row r="8" spans="1:58">
      <c r="A8" s="2323"/>
      <c r="B8" s="2324"/>
      <c r="C8" s="2324"/>
      <c r="D8" s="2324" t="s">
        <v>208</v>
      </c>
      <c r="E8" s="2324"/>
      <c r="F8" s="2324"/>
      <c r="G8" s="2324"/>
      <c r="H8" s="2324"/>
      <c r="I8" s="2324"/>
      <c r="J8" s="2324"/>
      <c r="K8" s="2324" t="s">
        <v>27</v>
      </c>
      <c r="L8" s="2324" t="str">
        <f>IF(OR('Cons.Ds CD'!L8=""),"",'Cons.Ds CD'!L8)</f>
        <v/>
      </c>
      <c r="M8" s="2324"/>
      <c r="N8" s="2324"/>
      <c r="O8" s="2324"/>
      <c r="P8" s="2324"/>
      <c r="Q8" s="2324"/>
      <c r="R8" s="2324"/>
      <c r="S8" s="2324"/>
      <c r="T8" s="2324"/>
      <c r="U8" s="2324"/>
      <c r="V8" s="2324"/>
      <c r="W8" s="2324"/>
      <c r="X8" s="2324"/>
      <c r="Y8" s="2324"/>
      <c r="Z8" s="2324"/>
      <c r="AA8" s="2324"/>
      <c r="AB8" s="2324"/>
      <c r="AC8" s="2324"/>
      <c r="AD8" s="2324"/>
      <c r="AE8" s="2324"/>
      <c r="AF8" s="2324"/>
      <c r="AG8" s="2324"/>
      <c r="AH8" s="2324"/>
      <c r="AI8" s="2324"/>
      <c r="AJ8" s="2324"/>
      <c r="AK8" s="2324"/>
      <c r="AL8" s="2324"/>
      <c r="AM8" s="2324"/>
      <c r="AN8" s="2324" t="s">
        <v>1099</v>
      </c>
      <c r="AO8" s="2324"/>
      <c r="AP8" s="2324"/>
      <c r="AQ8" s="2324"/>
      <c r="AR8" s="2324"/>
      <c r="AS8" s="2324"/>
      <c r="AT8" s="2324"/>
      <c r="AU8" s="2324" t="s">
        <v>27</v>
      </c>
      <c r="AV8" s="4693" t="str">
        <f>IF(OR('Cons.Ds CD'!AV8=""),"",'Cons.Ds CD'!AV8)</f>
        <v/>
      </c>
      <c r="AW8" s="4693"/>
      <c r="AX8" s="4693"/>
      <c r="AY8" s="4693"/>
      <c r="AZ8" s="4693"/>
      <c r="BA8" s="4693"/>
      <c r="BB8" s="2324"/>
      <c r="BC8" s="2324"/>
      <c r="BD8" s="2324"/>
      <c r="BE8" s="2324"/>
      <c r="BF8" s="2326"/>
    </row>
    <row r="9" spans="1:58">
      <c r="A9" s="2323"/>
      <c r="B9" s="2324"/>
      <c r="C9" s="2324"/>
      <c r="D9" s="2324"/>
      <c r="E9" s="2324"/>
      <c r="F9" s="2324"/>
      <c r="G9" s="2324"/>
      <c r="H9" s="2324"/>
      <c r="I9" s="2324"/>
      <c r="J9" s="2324"/>
      <c r="K9" s="2324"/>
      <c r="L9" s="2324"/>
      <c r="M9" s="2324"/>
      <c r="N9" s="2324"/>
      <c r="O9" s="2324"/>
      <c r="P9" s="2324"/>
      <c r="Q9" s="2324"/>
      <c r="R9" s="2324"/>
      <c r="S9" s="2324"/>
      <c r="T9" s="2324"/>
      <c r="U9" s="2324"/>
      <c r="V9" s="2324"/>
      <c r="W9" s="2324"/>
      <c r="X9" s="2324"/>
      <c r="Y9" s="2324"/>
      <c r="Z9" s="2324"/>
      <c r="AA9" s="2324"/>
      <c r="AB9" s="2324"/>
      <c r="AC9" s="2324"/>
      <c r="AD9" s="2324"/>
      <c r="AE9" s="2324"/>
      <c r="AF9" s="2324"/>
      <c r="AG9" s="2324"/>
      <c r="AH9" s="2324"/>
      <c r="AI9" s="2324"/>
      <c r="AJ9" s="2324"/>
      <c r="AK9" s="2324"/>
      <c r="AL9" s="2324"/>
      <c r="AM9" s="2324"/>
      <c r="AN9" s="2324"/>
      <c r="AO9" s="2324"/>
      <c r="AP9" s="2324"/>
      <c r="AQ9" s="2324"/>
      <c r="AR9" s="2324"/>
      <c r="AS9" s="2324"/>
      <c r="AT9" s="2324"/>
      <c r="AU9" s="2324"/>
      <c r="AV9" s="2324"/>
      <c r="AW9" s="2324"/>
      <c r="AX9" s="2324"/>
      <c r="AY9" s="2324"/>
      <c r="AZ9" s="2324"/>
      <c r="BA9" s="2324"/>
      <c r="BB9" s="2324"/>
      <c r="BC9" s="2324"/>
      <c r="BD9" s="2324"/>
      <c r="BE9" s="2324"/>
      <c r="BF9" s="2326"/>
    </row>
    <row r="10" spans="1:58">
      <c r="A10" s="2323"/>
      <c r="B10" s="2324"/>
      <c r="C10" s="2324"/>
      <c r="D10" s="2324"/>
      <c r="E10" s="2324"/>
      <c r="F10" s="2324"/>
      <c r="G10" s="2324"/>
      <c r="H10" s="2324"/>
      <c r="I10" s="2324"/>
      <c r="J10" s="2324"/>
      <c r="K10" s="2324"/>
      <c r="L10" s="2324"/>
      <c r="M10" s="2324"/>
      <c r="N10" s="2324"/>
      <c r="O10" s="2324"/>
      <c r="P10" s="2324"/>
      <c r="Q10" s="2324"/>
      <c r="R10" s="2324"/>
      <c r="S10" s="2324"/>
      <c r="T10" s="2324"/>
      <c r="U10" s="2324"/>
      <c r="V10" s="2324"/>
      <c r="W10" s="2324"/>
      <c r="X10" s="2324"/>
      <c r="Y10" s="2324"/>
      <c r="Z10" s="2324"/>
      <c r="AA10" s="2324"/>
      <c r="AB10" s="2324"/>
      <c r="AC10" s="2324"/>
      <c r="AD10" s="2324"/>
      <c r="AE10" s="2324"/>
      <c r="AF10" s="2324"/>
      <c r="AG10" s="2324"/>
      <c r="AH10" s="2324"/>
      <c r="AI10" s="2324"/>
      <c r="AJ10" s="2324"/>
      <c r="AK10" s="2324"/>
      <c r="AL10" s="2324"/>
      <c r="AM10" s="2324"/>
      <c r="AN10" s="2324"/>
      <c r="AO10" s="2324"/>
      <c r="AP10" s="2324"/>
      <c r="AQ10" s="2324"/>
      <c r="AR10" s="2324"/>
      <c r="AS10" s="2324"/>
      <c r="AT10" s="2324"/>
      <c r="AU10" s="2324"/>
      <c r="AV10" s="2324"/>
      <c r="AW10" s="2324"/>
      <c r="AX10" s="2324"/>
      <c r="AY10" s="2324"/>
      <c r="AZ10" s="2324"/>
      <c r="BA10" s="2324"/>
      <c r="BB10" s="2324"/>
      <c r="BC10" s="2324"/>
      <c r="BD10" s="2324"/>
      <c r="BE10" s="2324"/>
      <c r="BF10" s="2326"/>
    </row>
    <row r="11" spans="1:58">
      <c r="A11" s="2323"/>
      <c r="B11" s="2324"/>
      <c r="C11" s="2324"/>
      <c r="D11" s="4632" t="s">
        <v>1167</v>
      </c>
      <c r="E11" s="4632"/>
      <c r="F11" s="4632"/>
      <c r="G11" s="4632"/>
      <c r="H11" s="4632"/>
      <c r="I11" s="4632"/>
      <c r="J11" s="4632"/>
      <c r="K11" s="4632"/>
      <c r="L11" s="4632"/>
      <c r="M11" s="4632"/>
      <c r="N11" s="4632"/>
      <c r="O11" s="4632"/>
      <c r="P11" s="4632"/>
      <c r="Q11" s="4632"/>
      <c r="R11" s="4632"/>
      <c r="S11" s="4632"/>
      <c r="T11" s="4632"/>
      <c r="U11" s="4632"/>
      <c r="V11" s="4632"/>
      <c r="W11" s="4632"/>
      <c r="X11" s="4632"/>
      <c r="Y11" s="4632"/>
      <c r="Z11" s="4632"/>
      <c r="AA11" s="4632"/>
      <c r="AB11" s="4632"/>
      <c r="AC11" s="4632"/>
      <c r="AD11" s="4632"/>
      <c r="AE11" s="4632"/>
      <c r="AF11" s="4632"/>
      <c r="AG11" s="4632"/>
      <c r="AH11" s="4632"/>
      <c r="AI11" s="4632"/>
      <c r="AJ11" s="4632"/>
      <c r="AK11" s="4632"/>
      <c r="AL11" s="4632"/>
      <c r="AM11" s="4632"/>
      <c r="AN11" s="4632"/>
      <c r="AO11" s="4632"/>
      <c r="AP11" s="4632"/>
      <c r="AQ11" s="4632"/>
      <c r="AR11" s="4632"/>
      <c r="AS11" s="4632"/>
      <c r="AT11" s="4632"/>
      <c r="AU11" s="4632"/>
      <c r="AV11" s="4632"/>
      <c r="AW11" s="4632"/>
      <c r="AX11" s="4632"/>
      <c r="AY11" s="4632"/>
      <c r="AZ11" s="4632"/>
      <c r="BA11" s="4632"/>
      <c r="BB11" s="4632"/>
      <c r="BC11" s="4632"/>
      <c r="BD11" s="4632"/>
      <c r="BE11" s="4632"/>
      <c r="BF11" s="2326"/>
    </row>
    <row r="12" spans="1:58">
      <c r="A12" s="2323"/>
      <c r="B12" s="2324"/>
      <c r="C12" s="2324"/>
      <c r="D12" s="4633" t="s">
        <v>1102</v>
      </c>
      <c r="E12" s="4633"/>
      <c r="F12" s="4633"/>
      <c r="G12" s="4633"/>
      <c r="H12" s="4633"/>
      <c r="I12" s="4633"/>
      <c r="J12" s="4633"/>
      <c r="K12" s="4633"/>
      <c r="L12" s="4633"/>
      <c r="M12" s="4633"/>
      <c r="N12" s="4633"/>
      <c r="O12" s="4633"/>
      <c r="P12" s="4633"/>
      <c r="Q12" s="4633"/>
      <c r="R12" s="4633"/>
      <c r="S12" s="4633"/>
      <c r="T12" s="4633"/>
      <c r="U12" s="4633"/>
      <c r="V12" s="4633"/>
      <c r="W12" s="4633"/>
      <c r="X12" s="4633"/>
      <c r="Y12" s="4633"/>
      <c r="Z12" s="4633"/>
      <c r="AA12" s="4633"/>
      <c r="AB12" s="4633"/>
      <c r="AC12" s="4633"/>
      <c r="AD12" s="4633"/>
      <c r="AE12" s="4633"/>
      <c r="AF12" s="4633"/>
      <c r="AG12" s="4633"/>
      <c r="AH12" s="4633"/>
      <c r="AI12" s="4633"/>
      <c r="AJ12" s="4633"/>
      <c r="AK12" s="4633"/>
      <c r="AL12" s="4633"/>
      <c r="AM12" s="4633"/>
      <c r="AN12" s="4633"/>
      <c r="AO12" s="4633"/>
      <c r="AP12" s="4633"/>
      <c r="AQ12" s="4633"/>
      <c r="AR12" s="4633"/>
      <c r="AS12" s="4633"/>
      <c r="AT12" s="4633"/>
      <c r="AU12" s="4633"/>
      <c r="AV12" s="4633"/>
      <c r="AW12" s="4633"/>
      <c r="AX12" s="4633"/>
      <c r="AY12" s="4633"/>
      <c r="AZ12" s="4633"/>
      <c r="BA12" s="4633"/>
      <c r="BB12" s="4633"/>
      <c r="BC12" s="4633"/>
      <c r="BD12" s="4633"/>
      <c r="BE12" s="4633"/>
      <c r="BF12" s="2326"/>
    </row>
    <row r="13" spans="1:58">
      <c r="A13" s="2323"/>
      <c r="B13" s="2324"/>
      <c r="C13" s="2324"/>
      <c r="BF13" s="2326"/>
    </row>
    <row r="14" spans="1:58">
      <c r="A14" s="2323"/>
      <c r="B14" s="2324"/>
      <c r="C14" s="2324"/>
      <c r="D14" s="2324" t="s">
        <v>1103</v>
      </c>
      <c r="E14" s="2324"/>
      <c r="F14" s="2324"/>
      <c r="G14" s="2324"/>
      <c r="H14" s="2324"/>
      <c r="I14" s="2324"/>
      <c r="J14" s="2324"/>
      <c r="K14" s="2324" t="s">
        <v>27</v>
      </c>
      <c r="L14" s="2324" t="str">
        <f>IF(OR('Cons.Ds CD'!L14=""),"",'Cons.Ds CD'!L14)</f>
        <v/>
      </c>
      <c r="M14" s="2324"/>
      <c r="N14" s="2324"/>
      <c r="O14" s="2324"/>
      <c r="P14" s="2324"/>
      <c r="Q14" s="2324"/>
      <c r="R14" s="2324"/>
      <c r="S14" s="2324"/>
      <c r="T14" s="2324"/>
      <c r="U14" s="2324"/>
      <c r="V14" s="2324"/>
      <c r="W14" s="2324"/>
      <c r="X14" s="2324"/>
      <c r="Y14" s="2324"/>
      <c r="Z14" s="2324"/>
      <c r="AA14" s="2324"/>
      <c r="AB14" s="2324"/>
      <c r="AC14" s="2324"/>
      <c r="AD14" s="2324"/>
      <c r="AE14" s="2324"/>
      <c r="AF14" s="2324"/>
      <c r="AG14" s="2324"/>
      <c r="AH14" s="2324"/>
      <c r="AI14" s="2324"/>
      <c r="AJ14" s="2324"/>
      <c r="AK14" s="2324"/>
      <c r="AL14" s="2324"/>
      <c r="AM14" s="2324"/>
      <c r="AN14" s="2324"/>
      <c r="AO14" s="2324"/>
      <c r="AP14" s="2324"/>
      <c r="AQ14" s="2324"/>
      <c r="AR14" s="2324"/>
      <c r="AS14" s="2324"/>
      <c r="AT14" s="2324"/>
      <c r="AU14" s="2324"/>
      <c r="AV14" s="2324"/>
      <c r="AW14" s="2324"/>
      <c r="AX14" s="2324"/>
      <c r="AY14" s="2324"/>
      <c r="AZ14" s="2324"/>
      <c r="BA14" s="2324"/>
      <c r="BB14" s="2324"/>
      <c r="BC14" s="2324"/>
      <c r="BD14" s="2324"/>
      <c r="BE14" s="2324"/>
      <c r="BF14" s="2326"/>
    </row>
    <row r="15" spans="1:58">
      <c r="A15" s="2323"/>
      <c r="B15" s="2324"/>
      <c r="C15" s="2324"/>
      <c r="D15" s="2324" t="s">
        <v>240</v>
      </c>
      <c r="E15" s="2324"/>
      <c r="F15" s="2324"/>
      <c r="G15" s="2324"/>
      <c r="H15" s="2324"/>
      <c r="I15" s="2324"/>
      <c r="J15" s="2324"/>
      <c r="K15" s="2324" t="s">
        <v>27</v>
      </c>
      <c r="L15" s="2324" t="str">
        <f>IF(OR('Cons.Ds CD'!L15=""),"",'Cons.Ds CD'!L15)</f>
        <v/>
      </c>
      <c r="M15" s="2324"/>
      <c r="N15" s="2324"/>
      <c r="O15" s="2324"/>
      <c r="P15" s="2324"/>
      <c r="Q15" s="2324"/>
      <c r="R15" s="2324"/>
      <c r="S15" s="2324"/>
      <c r="T15" s="2324"/>
      <c r="U15" s="2324"/>
      <c r="V15" s="2324"/>
      <c r="W15" s="2324"/>
      <c r="X15" s="2324"/>
      <c r="Y15" s="2324"/>
      <c r="Z15" s="2324"/>
      <c r="AA15" s="2324"/>
      <c r="AB15" s="2324"/>
      <c r="AC15" s="2324"/>
      <c r="AD15" s="2324"/>
      <c r="AE15" s="2324"/>
      <c r="AF15" s="2324"/>
      <c r="AG15" s="2324"/>
      <c r="AH15" s="2324"/>
      <c r="AI15" s="2324"/>
      <c r="AJ15" s="2324"/>
      <c r="AK15" s="2324"/>
      <c r="AL15" s="2324"/>
      <c r="AM15" s="2324"/>
      <c r="AN15" s="2324"/>
      <c r="AO15" s="2324"/>
      <c r="AP15" s="2324"/>
      <c r="AQ15" s="2324"/>
      <c r="AR15" s="2324"/>
      <c r="AS15" s="2324"/>
      <c r="AT15" s="2324"/>
      <c r="AU15" s="2324"/>
      <c r="AV15" s="2324"/>
      <c r="AW15" s="2324"/>
      <c r="AX15" s="2324"/>
      <c r="AY15" s="2324"/>
      <c r="AZ15" s="2324"/>
      <c r="BA15" s="2324"/>
      <c r="BB15" s="2324"/>
      <c r="BC15" s="2324"/>
      <c r="BD15" s="2324"/>
      <c r="BE15" s="2324"/>
      <c r="BF15" s="2326"/>
    </row>
    <row r="16" spans="1:58">
      <c r="A16" s="2323"/>
      <c r="B16" s="2324"/>
      <c r="C16" s="2324"/>
      <c r="D16" s="2324" t="s">
        <v>210</v>
      </c>
      <c r="E16" s="2324"/>
      <c r="F16" s="2324"/>
      <c r="G16" s="2324"/>
      <c r="H16" s="2324"/>
      <c r="I16" s="2324"/>
      <c r="J16" s="2324"/>
      <c r="K16" s="2324" t="s">
        <v>27</v>
      </c>
      <c r="L16" s="2324" t="str">
        <f>IF(OR('Cons.Ds CD'!L16=""),"",'Cons.Ds CD'!L16)</f>
        <v/>
      </c>
      <c r="M16" s="2324"/>
      <c r="N16" s="2324"/>
      <c r="O16" s="2324"/>
      <c r="P16" s="2324"/>
      <c r="Q16" s="2324"/>
      <c r="R16" s="2324"/>
      <c r="S16" s="2324"/>
      <c r="T16" s="2324" t="s">
        <v>68</v>
      </c>
      <c r="U16" s="2324"/>
      <c r="V16" s="2324"/>
      <c r="W16" s="2324"/>
      <c r="X16" s="2324"/>
      <c r="Y16" s="2324"/>
      <c r="Z16" s="2324"/>
      <c r="AA16" s="2324"/>
      <c r="AB16" s="2324"/>
      <c r="AC16" s="2324"/>
      <c r="AD16" s="2324"/>
      <c r="AE16" s="2324"/>
      <c r="AF16" s="2324"/>
      <c r="AG16" s="2324"/>
      <c r="AH16" s="2324"/>
      <c r="AI16" s="2324"/>
      <c r="AJ16" s="2324"/>
      <c r="AK16" s="2324"/>
      <c r="AL16" s="2324"/>
      <c r="AM16" s="2324"/>
      <c r="AN16" s="2324"/>
      <c r="AO16" s="2324"/>
      <c r="AP16" s="2324"/>
      <c r="AQ16" s="2324"/>
      <c r="AR16" s="2324"/>
      <c r="AS16" s="2324"/>
      <c r="AT16" s="2324"/>
      <c r="AU16" s="2324"/>
      <c r="AV16" s="2324"/>
      <c r="AW16" s="2324"/>
      <c r="AX16" s="2324"/>
      <c r="AY16" s="2324"/>
      <c r="AZ16" s="2324"/>
      <c r="BA16" s="2324"/>
      <c r="BB16" s="2324"/>
      <c r="BC16" s="2324"/>
      <c r="BD16" s="2324"/>
      <c r="BE16" s="2324"/>
      <c r="BF16" s="2326"/>
    </row>
    <row r="17" spans="1:68">
      <c r="A17" s="2323"/>
      <c r="B17" s="2324"/>
      <c r="C17" s="2324"/>
      <c r="D17" s="2324" t="s">
        <v>1104</v>
      </c>
      <c r="E17" s="2324"/>
      <c r="F17" s="2324"/>
      <c r="G17" s="2324"/>
      <c r="H17" s="2324"/>
      <c r="I17" s="2324"/>
      <c r="J17" s="2324"/>
      <c r="K17" s="2324" t="s">
        <v>27</v>
      </c>
      <c r="L17" s="2324" t="str">
        <f>IF(OR('Cons.Ds CD'!L17=""),"",'Cons.Ds CD'!L17)</f>
        <v/>
      </c>
      <c r="M17" s="2324"/>
      <c r="N17" s="2324"/>
      <c r="O17" s="2324"/>
      <c r="P17" s="2324"/>
      <c r="Q17" s="2324"/>
      <c r="R17" s="2362"/>
      <c r="S17" s="2362"/>
      <c r="T17" s="2362"/>
      <c r="U17" s="2362"/>
      <c r="V17" s="2324"/>
      <c r="W17" s="2324"/>
      <c r="X17" s="2324"/>
      <c r="Y17" s="2324"/>
      <c r="Z17" s="2324"/>
      <c r="AA17" s="2324"/>
      <c r="AB17" s="2324"/>
      <c r="AC17" s="2324"/>
      <c r="AD17" s="2324"/>
      <c r="AE17" s="2324"/>
      <c r="AF17" s="2324"/>
      <c r="AG17" s="2324"/>
      <c r="AH17" s="2324"/>
      <c r="AI17" s="2324"/>
      <c r="AJ17" s="2324"/>
      <c r="AK17" s="2324"/>
      <c r="AL17" s="2324"/>
      <c r="AM17" s="2324"/>
      <c r="AN17" s="2324"/>
      <c r="AO17" s="2324"/>
      <c r="AP17" s="2324"/>
      <c r="AQ17" s="2324"/>
      <c r="AR17" s="2324"/>
      <c r="AS17" s="2324"/>
      <c r="AT17" s="2324"/>
      <c r="AU17" s="2324"/>
      <c r="AV17" s="2324"/>
      <c r="AW17" s="2324"/>
      <c r="AX17" s="2324"/>
      <c r="AY17" s="2324"/>
      <c r="AZ17" s="2324"/>
      <c r="BA17" s="2324"/>
      <c r="BB17" s="2324"/>
      <c r="BC17" s="2324"/>
      <c r="BD17" s="2324"/>
      <c r="BE17" s="2324"/>
      <c r="BF17" s="2326"/>
    </row>
    <row r="18" spans="1:68">
      <c r="A18" s="2323"/>
      <c r="B18" s="2324"/>
      <c r="C18" s="2324"/>
      <c r="D18" s="2324"/>
      <c r="E18" s="2324"/>
      <c r="F18" s="2324"/>
      <c r="G18" s="2324"/>
      <c r="H18" s="2324"/>
      <c r="I18" s="2324"/>
      <c r="J18" s="2324"/>
      <c r="K18" s="2324"/>
      <c r="L18" s="2324"/>
      <c r="M18" s="2324"/>
      <c r="N18" s="2324"/>
      <c r="O18" s="2324"/>
      <c r="P18" s="2324"/>
      <c r="Q18" s="2324"/>
      <c r="R18" s="2324"/>
      <c r="S18" s="2324"/>
      <c r="T18" s="2324"/>
      <c r="U18" s="2324"/>
      <c r="V18" s="2324"/>
      <c r="W18" s="2324"/>
      <c r="X18" s="2324"/>
      <c r="Y18" s="2324"/>
      <c r="Z18" s="2324"/>
      <c r="AA18" s="2324"/>
      <c r="AB18" s="2338"/>
      <c r="AC18" s="2338"/>
      <c r="AD18" s="2338"/>
      <c r="AE18" s="2338"/>
      <c r="AF18" s="2338"/>
      <c r="AG18" s="2338"/>
      <c r="AH18" s="2338"/>
      <c r="AI18" s="2338"/>
      <c r="AJ18" s="2338"/>
      <c r="AK18" s="2338"/>
      <c r="AL18" s="2338"/>
      <c r="AM18" s="2338"/>
      <c r="AN18" s="2338"/>
      <c r="AO18" s="2338"/>
      <c r="AP18" s="2338"/>
      <c r="AQ18" s="2338"/>
      <c r="AR18" s="2338"/>
      <c r="AS18" s="2338"/>
      <c r="AT18" s="2338"/>
      <c r="AU18" s="2338"/>
      <c r="AV18" s="2338"/>
      <c r="AW18" s="2338"/>
      <c r="AX18" s="2338"/>
      <c r="AY18" s="2338"/>
      <c r="AZ18" s="2338"/>
      <c r="BA18" s="2338"/>
      <c r="BB18" s="2338"/>
      <c r="BC18" s="2338"/>
      <c r="BD18" s="2338"/>
      <c r="BE18" s="2338"/>
      <c r="BF18" s="2326"/>
    </row>
    <row r="19" spans="1:68">
      <c r="A19" s="2374"/>
      <c r="B19" s="2381"/>
      <c r="C19" s="2324"/>
      <c r="D19" s="2339" t="s">
        <v>1168</v>
      </c>
      <c r="E19" s="2340"/>
      <c r="F19" s="2340"/>
      <c r="G19" s="2340"/>
      <c r="H19" s="2340"/>
      <c r="I19" s="2340"/>
      <c r="J19" s="2340"/>
      <c r="K19" s="2340"/>
      <c r="L19" s="2340"/>
      <c r="M19" s="2340"/>
      <c r="N19" s="2340"/>
      <c r="O19" s="2340"/>
      <c r="P19" s="2340"/>
      <c r="Q19" s="2340"/>
      <c r="R19" s="2341"/>
      <c r="S19" s="2341"/>
      <c r="T19" s="2341"/>
      <c r="U19" s="2342"/>
      <c r="V19" s="4694">
        <v>1</v>
      </c>
      <c r="W19" s="4695"/>
      <c r="X19" s="4695"/>
      <c r="Y19" s="4695"/>
      <c r="Z19" s="4695"/>
      <c r="AA19" s="4695"/>
      <c r="AB19" s="4695"/>
      <c r="AC19" s="4695"/>
      <c r="AD19" s="4695"/>
      <c r="AE19" s="4695"/>
      <c r="AF19" s="4695"/>
      <c r="AG19" s="4696"/>
      <c r="AH19" s="4694">
        <v>2</v>
      </c>
      <c r="AI19" s="4695"/>
      <c r="AJ19" s="4695"/>
      <c r="AK19" s="4695"/>
      <c r="AL19" s="4695"/>
      <c r="AM19" s="4695"/>
      <c r="AN19" s="4695"/>
      <c r="AO19" s="4695"/>
      <c r="AP19" s="4695"/>
      <c r="AQ19" s="4695"/>
      <c r="AR19" s="4695"/>
      <c r="AS19" s="4696"/>
      <c r="AT19" s="4694">
        <v>3</v>
      </c>
      <c r="AU19" s="4695"/>
      <c r="AV19" s="4695"/>
      <c r="AW19" s="4695"/>
      <c r="AX19" s="4695"/>
      <c r="AY19" s="4695"/>
      <c r="AZ19" s="4695"/>
      <c r="BA19" s="4695"/>
      <c r="BB19" s="4695"/>
      <c r="BC19" s="4695"/>
      <c r="BD19" s="4695"/>
      <c r="BE19" s="4696"/>
      <c r="BF19" s="2326"/>
    </row>
    <row r="20" spans="1:68">
      <c r="A20" s="2374"/>
      <c r="B20" s="2381"/>
      <c r="C20" s="2324"/>
      <c r="D20" s="2345" t="s">
        <v>1169</v>
      </c>
      <c r="E20" s="2346"/>
      <c r="F20" s="2346"/>
      <c r="G20" s="2346"/>
      <c r="H20" s="2346"/>
      <c r="I20" s="2346"/>
      <c r="J20" s="2346"/>
      <c r="K20" s="2346"/>
      <c r="L20" s="2346"/>
      <c r="M20" s="2346"/>
      <c r="N20" s="2346"/>
      <c r="O20" s="2346"/>
      <c r="P20" s="2346"/>
      <c r="Q20" s="4638" t="s">
        <v>68</v>
      </c>
      <c r="R20" s="4638"/>
      <c r="S20" s="4638"/>
      <c r="T20" s="4638"/>
      <c r="U20" s="4689"/>
      <c r="V20" s="4658" t="str">
        <f>IF('Cons.Ds CD'!V20="","",'Cons.Ds CD'!V20)</f>
        <v>0.00 - 00.00</v>
      </c>
      <c r="W20" s="4659"/>
      <c r="X20" s="4659"/>
      <c r="Y20" s="4659"/>
      <c r="Z20" s="4659"/>
      <c r="AA20" s="4659"/>
      <c r="AB20" s="4659"/>
      <c r="AC20" s="4659"/>
      <c r="AD20" s="4659"/>
      <c r="AE20" s="4659"/>
      <c r="AF20" s="4659"/>
      <c r="AG20" s="4660"/>
      <c r="AH20" s="4658" t="str">
        <f>IF('Cons.Ds CD'!AH20="","",'Cons.Ds CD'!AH20)</f>
        <v>0.00 - 00.00</v>
      </c>
      <c r="AI20" s="4659"/>
      <c r="AJ20" s="4659"/>
      <c r="AK20" s="4659"/>
      <c r="AL20" s="4659"/>
      <c r="AM20" s="4659"/>
      <c r="AN20" s="4659"/>
      <c r="AO20" s="4659"/>
      <c r="AP20" s="4659"/>
      <c r="AQ20" s="4659"/>
      <c r="AR20" s="4659"/>
      <c r="AS20" s="4660"/>
      <c r="AT20" s="4658" t="str">
        <f>IF('Cons.Ds CD'!AT20="","",'Cons.Ds CD'!AT20)</f>
        <v>0.00 - 00.00</v>
      </c>
      <c r="AU20" s="4659"/>
      <c r="AV20" s="4659"/>
      <c r="AW20" s="4659"/>
      <c r="AX20" s="4659"/>
      <c r="AY20" s="4659"/>
      <c r="AZ20" s="4659"/>
      <c r="BA20" s="4659"/>
      <c r="BB20" s="4659"/>
      <c r="BC20" s="4659"/>
      <c r="BD20" s="4659"/>
      <c r="BE20" s="4660"/>
      <c r="BF20" s="2326"/>
    </row>
    <row r="21" spans="1:68">
      <c r="A21" s="2374"/>
      <c r="B21" s="2381"/>
      <c r="C21" s="2324"/>
      <c r="D21" s="2345" t="s">
        <v>1171</v>
      </c>
      <c r="E21" s="2346"/>
      <c r="F21" s="2346"/>
      <c r="G21" s="2346"/>
      <c r="H21" s="2346"/>
      <c r="I21" s="2346"/>
      <c r="J21" s="2346"/>
      <c r="K21" s="2346"/>
      <c r="L21" s="2346"/>
      <c r="M21" s="2346"/>
      <c r="N21" s="2346"/>
      <c r="O21" s="2346"/>
      <c r="P21" s="2346"/>
      <c r="Q21" s="4638" t="s">
        <v>1172</v>
      </c>
      <c r="R21" s="4638"/>
      <c r="S21" s="4638"/>
      <c r="T21" s="4638"/>
      <c r="U21" s="4689"/>
      <c r="V21" s="4690">
        <f>IF('Cons.Ds CD'!V21="","",'Cons.Ds CD'!V21)</f>
        <v>3</v>
      </c>
      <c r="W21" s="4691"/>
      <c r="X21" s="4691"/>
      <c r="Y21" s="4691"/>
      <c r="Z21" s="4691"/>
      <c r="AA21" s="4691"/>
      <c r="AB21" s="4691"/>
      <c r="AC21" s="4691"/>
      <c r="AD21" s="4691"/>
      <c r="AE21" s="4691"/>
      <c r="AF21" s="4691"/>
      <c r="AG21" s="4692"/>
      <c r="AH21" s="4690">
        <f>IF('Cons.Ds CD'!AH21="","",'Cons.Ds CD'!AH21)</f>
        <v>6</v>
      </c>
      <c r="AI21" s="4691"/>
      <c r="AJ21" s="4691"/>
      <c r="AK21" s="4691"/>
      <c r="AL21" s="4691"/>
      <c r="AM21" s="4691"/>
      <c r="AN21" s="4691"/>
      <c r="AO21" s="4691"/>
      <c r="AP21" s="4691"/>
      <c r="AQ21" s="4691"/>
      <c r="AR21" s="4691"/>
      <c r="AS21" s="4692"/>
      <c r="AT21" s="4690">
        <f>IF('Cons.Ds CD'!AT21="","",'Cons.Ds CD'!AT21)</f>
        <v>12</v>
      </c>
      <c r="AU21" s="4691"/>
      <c r="AV21" s="4691"/>
      <c r="AW21" s="4691"/>
      <c r="AX21" s="4691"/>
      <c r="AY21" s="4691"/>
      <c r="AZ21" s="4691"/>
      <c r="BA21" s="4691"/>
      <c r="BB21" s="4691"/>
      <c r="BC21" s="4691"/>
      <c r="BD21" s="4691"/>
      <c r="BE21" s="4692"/>
      <c r="BF21" s="2326"/>
    </row>
    <row r="22" spans="1:68" ht="15" customHeight="1">
      <c r="A22" s="2307" t="s">
        <v>27</v>
      </c>
      <c r="B22" s="2306" t="s">
        <v>27</v>
      </c>
      <c r="C22" s="2324"/>
      <c r="D22" s="2522" t="s">
        <v>1114</v>
      </c>
      <c r="E22" s="2523"/>
      <c r="F22" s="2523"/>
      <c r="G22" s="2523"/>
      <c r="H22" s="2523"/>
      <c r="I22" s="2523"/>
      <c r="J22" s="2523"/>
      <c r="K22" s="2523"/>
      <c r="L22" s="2523"/>
      <c r="M22" s="2523"/>
      <c r="N22" s="2523"/>
      <c r="O22" s="2523"/>
      <c r="P22" s="2523"/>
      <c r="Q22" s="4638" t="s">
        <v>546</v>
      </c>
      <c r="R22" s="4638"/>
      <c r="S22" s="4638"/>
      <c r="T22" s="4638"/>
      <c r="U22" s="4689"/>
      <c r="V22" s="4697">
        <f>IF('Cons.Ds CD'!V22="","",'Cons.Ds CD'!V22)</f>
        <v>10.825762207386683</v>
      </c>
      <c r="W22" s="4698"/>
      <c r="X22" s="4698"/>
      <c r="Y22" s="4698"/>
      <c r="Z22" s="4698"/>
      <c r="AA22" s="4698"/>
      <c r="AB22" s="4698"/>
      <c r="AC22" s="4698"/>
      <c r="AD22" s="4698"/>
      <c r="AE22" s="4698"/>
      <c r="AF22" s="4698"/>
      <c r="AG22" s="4699"/>
      <c r="AH22" s="4697">
        <f>IF('Cons.Ds CD'!AH22="","",'Cons.Ds CD'!AH22)</f>
        <v>21.651524414773366</v>
      </c>
      <c r="AI22" s="4698"/>
      <c r="AJ22" s="4698"/>
      <c r="AK22" s="4698"/>
      <c r="AL22" s="4698"/>
      <c r="AM22" s="4698"/>
      <c r="AN22" s="4698"/>
      <c r="AO22" s="4698"/>
      <c r="AP22" s="4698"/>
      <c r="AQ22" s="4698"/>
      <c r="AR22" s="4698"/>
      <c r="AS22" s="4699"/>
      <c r="AT22" s="4697">
        <f>IF('Cons.Ds CD'!AT22="","",'Cons.Ds CD'!AT22)</f>
        <v>43.303048829546732</v>
      </c>
      <c r="AU22" s="4698"/>
      <c r="AV22" s="4698"/>
      <c r="AW22" s="4698"/>
      <c r="AX22" s="4698"/>
      <c r="AY22" s="4698"/>
      <c r="AZ22" s="4698"/>
      <c r="BA22" s="4698"/>
      <c r="BB22" s="4698"/>
      <c r="BC22" s="4698"/>
      <c r="BD22" s="4698"/>
      <c r="BE22" s="4699"/>
      <c r="BF22" s="2326"/>
    </row>
    <row r="23" spans="1:68" ht="18" customHeight="1">
      <c r="A23" s="4700" t="s">
        <v>76</v>
      </c>
      <c r="B23" s="4701" t="s">
        <v>76</v>
      </c>
      <c r="C23" s="2324"/>
      <c r="D23" s="2349" t="s">
        <v>1208</v>
      </c>
      <c r="E23" s="2350"/>
      <c r="F23" s="2350"/>
      <c r="G23" s="2350"/>
      <c r="H23" s="2350"/>
      <c r="I23" s="2350"/>
      <c r="J23" s="2350"/>
      <c r="K23" s="2350"/>
      <c r="L23" s="2350"/>
      <c r="M23" s="2350"/>
      <c r="N23" s="2350"/>
      <c r="O23" s="2350"/>
      <c r="P23" s="2350"/>
      <c r="Q23" s="4650" t="s">
        <v>556</v>
      </c>
      <c r="R23" s="4650"/>
      <c r="S23" s="4650"/>
      <c r="T23" s="4650"/>
      <c r="U23" s="4702"/>
      <c r="V23" s="4703">
        <v>0.104</v>
      </c>
      <c r="W23" s="4704"/>
      <c r="X23" s="4704"/>
      <c r="Y23" s="4704"/>
      <c r="Z23" s="4704"/>
      <c r="AA23" s="4704"/>
      <c r="AB23" s="4704"/>
      <c r="AC23" s="4704"/>
      <c r="AD23" s="4704"/>
      <c r="AE23" s="4704"/>
      <c r="AF23" s="4704"/>
      <c r="AG23" s="4705"/>
      <c r="AH23" s="4703">
        <v>0.114</v>
      </c>
      <c r="AI23" s="4704"/>
      <c r="AJ23" s="4704"/>
      <c r="AK23" s="4704"/>
      <c r="AL23" s="4704"/>
      <c r="AM23" s="4704"/>
      <c r="AN23" s="4704"/>
      <c r="AO23" s="4704"/>
      <c r="AP23" s="4704"/>
      <c r="AQ23" s="4704"/>
      <c r="AR23" s="4704"/>
      <c r="AS23" s="4705"/>
      <c r="AT23" s="4703">
        <v>0.114</v>
      </c>
      <c r="AU23" s="4704"/>
      <c r="AV23" s="4704"/>
      <c r="AW23" s="4704"/>
      <c r="AX23" s="4704"/>
      <c r="AY23" s="4704"/>
      <c r="AZ23" s="4704"/>
      <c r="BA23" s="4704"/>
      <c r="BB23" s="4704"/>
      <c r="BC23" s="4704"/>
      <c r="BD23" s="4704"/>
      <c r="BE23" s="4705"/>
      <c r="BF23" s="2326"/>
    </row>
    <row r="24" spans="1:68">
      <c r="A24" s="4700"/>
      <c r="B24" s="4701"/>
      <c r="C24" s="2324"/>
      <c r="BF24" s="2326"/>
      <c r="BH24" s="2313" t="s">
        <v>1209</v>
      </c>
      <c r="BK24" s="2313" t="s">
        <v>595</v>
      </c>
      <c r="BL24" s="2513">
        <v>0.58099999999999996</v>
      </c>
    </row>
    <row r="25" spans="1:68">
      <c r="A25" s="2374"/>
      <c r="B25" s="2375"/>
      <c r="C25" s="2324"/>
      <c r="D25" s="2324" t="s">
        <v>1210</v>
      </c>
      <c r="E25" s="2324"/>
      <c r="F25" s="2324"/>
      <c r="G25" s="2324"/>
      <c r="H25" s="2324"/>
      <c r="I25" s="2324"/>
      <c r="J25" s="2324"/>
      <c r="K25" s="2324"/>
      <c r="L25" s="2324"/>
      <c r="M25" s="2324"/>
      <c r="N25" s="2324"/>
      <c r="O25" s="2324"/>
      <c r="P25" s="2324"/>
      <c r="Q25" s="2324"/>
      <c r="R25" s="2324"/>
      <c r="S25" s="2324"/>
      <c r="T25" s="2324"/>
      <c r="U25" s="2362"/>
      <c r="V25" s="2324"/>
      <c r="W25" s="2324"/>
      <c r="X25" s="2324"/>
      <c r="Y25" s="2324"/>
      <c r="Z25" s="2324"/>
      <c r="AA25" s="2324"/>
      <c r="AB25" s="2324"/>
      <c r="AC25" s="2324"/>
      <c r="AD25" s="2324"/>
      <c r="AE25" s="2324"/>
      <c r="AF25" s="2324"/>
      <c r="AG25" s="2324"/>
      <c r="AH25" s="2324"/>
      <c r="AI25" s="2324"/>
      <c r="AJ25" s="2324"/>
      <c r="AK25" s="2324"/>
      <c r="AL25" s="2324"/>
      <c r="AM25" s="2324"/>
      <c r="AN25" s="2324"/>
      <c r="AO25" s="2324"/>
      <c r="AP25" s="2324"/>
      <c r="AQ25" s="2324"/>
      <c r="AR25" s="2324"/>
      <c r="AS25" s="2324"/>
      <c r="AT25" s="2324"/>
      <c r="AU25" s="2324"/>
      <c r="AV25" s="2324"/>
      <c r="AW25" s="2324"/>
      <c r="AX25" s="2324"/>
      <c r="AY25" s="2324"/>
      <c r="AZ25" s="2324"/>
      <c r="BA25" s="2324"/>
      <c r="BB25" s="2324"/>
      <c r="BC25" s="2324"/>
      <c r="BD25" s="2324"/>
      <c r="BE25" s="2324"/>
      <c r="BF25" s="2326"/>
    </row>
    <row r="26" spans="1:68" ht="15" customHeight="1">
      <c r="A26" s="2374"/>
      <c r="B26" s="2375"/>
      <c r="C26" s="2324"/>
      <c r="D26" s="4667" t="s">
        <v>1211</v>
      </c>
      <c r="E26" s="4668"/>
      <c r="F26" s="4668"/>
      <c r="G26" s="4668"/>
      <c r="H26" s="4668"/>
      <c r="I26" s="4668"/>
      <c r="J26" s="4668"/>
      <c r="K26" s="4668"/>
      <c r="L26" s="4669"/>
      <c r="M26" s="4645">
        <v>1</v>
      </c>
      <c r="N26" s="4645"/>
      <c r="O26" s="4645"/>
      <c r="P26" s="4645"/>
      <c r="Q26" s="4645"/>
      <c r="R26" s="4645"/>
      <c r="S26" s="4645"/>
      <c r="T26" s="4645"/>
      <c r="U26" s="4645"/>
      <c r="V26" s="4645"/>
      <c r="W26" s="4645"/>
      <c r="X26" s="4645"/>
      <c r="Y26" s="4645"/>
      <c r="Z26" s="4645"/>
      <c r="AA26" s="4646"/>
      <c r="AB26" s="4645">
        <v>2</v>
      </c>
      <c r="AC26" s="4645"/>
      <c r="AD26" s="4645"/>
      <c r="AE26" s="4645"/>
      <c r="AF26" s="4645"/>
      <c r="AG26" s="4645"/>
      <c r="AH26" s="4645"/>
      <c r="AI26" s="4645"/>
      <c r="AJ26" s="4645"/>
      <c r="AK26" s="4645"/>
      <c r="AL26" s="4645"/>
      <c r="AM26" s="4645"/>
      <c r="AN26" s="4645"/>
      <c r="AO26" s="4645"/>
      <c r="AP26" s="4646"/>
      <c r="AQ26" s="4645">
        <v>3</v>
      </c>
      <c r="AR26" s="4645"/>
      <c r="AS26" s="4645"/>
      <c r="AT26" s="4645"/>
      <c r="AU26" s="4645"/>
      <c r="AV26" s="4645"/>
      <c r="AW26" s="4645"/>
      <c r="AX26" s="4645"/>
      <c r="AY26" s="4645"/>
      <c r="AZ26" s="4645"/>
      <c r="BA26" s="4645"/>
      <c r="BB26" s="4645"/>
      <c r="BC26" s="4645"/>
      <c r="BD26" s="4645"/>
      <c r="BE26" s="4646"/>
      <c r="BF26" s="2326"/>
      <c r="BH26" s="4629" t="s">
        <v>1211</v>
      </c>
      <c r="BI26" s="2359">
        <v>1</v>
      </c>
      <c r="BJ26" s="2359">
        <v>2</v>
      </c>
      <c r="BK26" s="2359">
        <v>3</v>
      </c>
      <c r="BL26" s="2324"/>
      <c r="BM26" s="2324"/>
      <c r="BN26" s="2324"/>
      <c r="BO26" s="2362"/>
      <c r="BP26" s="2362"/>
    </row>
    <row r="27" spans="1:68" ht="15" customHeight="1">
      <c r="A27" s="2308"/>
      <c r="B27" s="2309"/>
      <c r="C27" s="2324"/>
      <c r="D27" s="4670"/>
      <c r="E27" s="4671"/>
      <c r="F27" s="4671"/>
      <c r="G27" s="4671"/>
      <c r="H27" s="4671"/>
      <c r="I27" s="4671"/>
      <c r="J27" s="4671"/>
      <c r="K27" s="4671"/>
      <c r="L27" s="4672"/>
      <c r="M27" s="4667" t="s">
        <v>1212</v>
      </c>
      <c r="N27" s="4668"/>
      <c r="O27" s="4668"/>
      <c r="P27" s="4668"/>
      <c r="Q27" s="4669"/>
      <c r="R27" s="4667" t="s">
        <v>1213</v>
      </c>
      <c r="S27" s="4668"/>
      <c r="T27" s="4668"/>
      <c r="U27" s="4668"/>
      <c r="V27" s="4669"/>
      <c r="W27" s="4667" t="s">
        <v>1115</v>
      </c>
      <c r="X27" s="4668"/>
      <c r="Y27" s="4668"/>
      <c r="Z27" s="4668"/>
      <c r="AA27" s="4669"/>
      <c r="AB27" s="4667" t="s">
        <v>1212</v>
      </c>
      <c r="AC27" s="4668"/>
      <c r="AD27" s="4668"/>
      <c r="AE27" s="4668"/>
      <c r="AF27" s="4669"/>
      <c r="AG27" s="4667" t="s">
        <v>1213</v>
      </c>
      <c r="AH27" s="4668"/>
      <c r="AI27" s="4668"/>
      <c r="AJ27" s="4668"/>
      <c r="AK27" s="4669"/>
      <c r="AL27" s="4667" t="s">
        <v>1115</v>
      </c>
      <c r="AM27" s="4668"/>
      <c r="AN27" s="4668"/>
      <c r="AO27" s="4668"/>
      <c r="AP27" s="4669"/>
      <c r="AQ27" s="4667" t="s">
        <v>1212</v>
      </c>
      <c r="AR27" s="4668"/>
      <c r="AS27" s="4668"/>
      <c r="AT27" s="4668"/>
      <c r="AU27" s="4669"/>
      <c r="AV27" s="4667" t="s">
        <v>1213</v>
      </c>
      <c r="AW27" s="4668"/>
      <c r="AX27" s="4668"/>
      <c r="AY27" s="4668"/>
      <c r="AZ27" s="4669"/>
      <c r="BA27" s="4667" t="s">
        <v>1115</v>
      </c>
      <c r="BB27" s="4668"/>
      <c r="BC27" s="4668"/>
      <c r="BD27" s="4668"/>
      <c r="BE27" s="4669"/>
      <c r="BF27" s="2326"/>
      <c r="BH27" s="4707"/>
      <c r="BI27" s="4706" t="s">
        <v>1115</v>
      </c>
      <c r="BJ27" s="4706" t="s">
        <v>1115</v>
      </c>
      <c r="BK27" s="4706" t="s">
        <v>1115</v>
      </c>
      <c r="BL27" s="2324"/>
      <c r="BM27" s="2324"/>
      <c r="BN27" s="2324"/>
      <c r="BO27" s="2362"/>
      <c r="BP27" s="2362"/>
    </row>
    <row r="28" spans="1:68">
      <c r="A28" s="2308"/>
      <c r="B28" s="2309"/>
      <c r="C28" s="2324"/>
      <c r="D28" s="4670"/>
      <c r="E28" s="4671"/>
      <c r="F28" s="4671"/>
      <c r="G28" s="4671"/>
      <c r="H28" s="4671"/>
      <c r="I28" s="4671"/>
      <c r="J28" s="4671"/>
      <c r="K28" s="4671"/>
      <c r="L28" s="4672"/>
      <c r="M28" s="4670"/>
      <c r="N28" s="4671"/>
      <c r="O28" s="4671"/>
      <c r="P28" s="4671"/>
      <c r="Q28" s="4672"/>
      <c r="R28" s="4670"/>
      <c r="S28" s="4671"/>
      <c r="T28" s="4671"/>
      <c r="U28" s="4671"/>
      <c r="V28" s="4672"/>
      <c r="W28" s="4670"/>
      <c r="X28" s="4671"/>
      <c r="Y28" s="4671"/>
      <c r="Z28" s="4671"/>
      <c r="AA28" s="4672"/>
      <c r="AB28" s="4670"/>
      <c r="AC28" s="4671"/>
      <c r="AD28" s="4671"/>
      <c r="AE28" s="4671"/>
      <c r="AF28" s="4672"/>
      <c r="AG28" s="4670"/>
      <c r="AH28" s="4671"/>
      <c r="AI28" s="4671"/>
      <c r="AJ28" s="4671"/>
      <c r="AK28" s="4672"/>
      <c r="AL28" s="4670"/>
      <c r="AM28" s="4671"/>
      <c r="AN28" s="4671"/>
      <c r="AO28" s="4671"/>
      <c r="AP28" s="4672"/>
      <c r="AQ28" s="4670"/>
      <c r="AR28" s="4671"/>
      <c r="AS28" s="4671"/>
      <c r="AT28" s="4671"/>
      <c r="AU28" s="4672"/>
      <c r="AV28" s="4670"/>
      <c r="AW28" s="4671"/>
      <c r="AX28" s="4671"/>
      <c r="AY28" s="4671"/>
      <c r="AZ28" s="4672"/>
      <c r="BA28" s="4670"/>
      <c r="BB28" s="4671"/>
      <c r="BC28" s="4671"/>
      <c r="BD28" s="4671"/>
      <c r="BE28" s="4672"/>
      <c r="BF28" s="2326"/>
      <c r="BH28" s="2327" t="s">
        <v>2</v>
      </c>
      <c r="BI28" s="4706"/>
      <c r="BJ28" s="4706"/>
      <c r="BK28" s="4706"/>
      <c r="BL28" s="2324"/>
      <c r="BM28" s="2324"/>
      <c r="BN28" s="2324"/>
      <c r="BO28" s="2362"/>
      <c r="BP28" s="2362"/>
    </row>
    <row r="29" spans="1:68">
      <c r="A29" s="2307" t="s">
        <v>27</v>
      </c>
      <c r="B29" s="2306" t="s">
        <v>27</v>
      </c>
      <c r="C29" s="2324"/>
      <c r="D29" s="4674" t="s">
        <v>2</v>
      </c>
      <c r="E29" s="4675"/>
      <c r="F29" s="4675"/>
      <c r="G29" s="4675"/>
      <c r="H29" s="4675"/>
      <c r="I29" s="4675"/>
      <c r="J29" s="4675"/>
      <c r="K29" s="4675"/>
      <c r="L29" s="4676"/>
      <c r="M29" s="4674"/>
      <c r="N29" s="4675"/>
      <c r="O29" s="4675"/>
      <c r="P29" s="4675"/>
      <c r="Q29" s="4676"/>
      <c r="R29" s="4674" t="s">
        <v>982</v>
      </c>
      <c r="S29" s="4675"/>
      <c r="T29" s="4675"/>
      <c r="U29" s="4675"/>
      <c r="V29" s="4676"/>
      <c r="W29" s="4674" t="s">
        <v>546</v>
      </c>
      <c r="X29" s="4675"/>
      <c r="Y29" s="4675"/>
      <c r="Z29" s="4675"/>
      <c r="AA29" s="4676"/>
      <c r="AB29" s="4674"/>
      <c r="AC29" s="4675"/>
      <c r="AD29" s="4675"/>
      <c r="AE29" s="4675"/>
      <c r="AF29" s="4676"/>
      <c r="AG29" s="4674" t="s">
        <v>982</v>
      </c>
      <c r="AH29" s="4675"/>
      <c r="AI29" s="4675"/>
      <c r="AJ29" s="4675"/>
      <c r="AK29" s="4676"/>
      <c r="AL29" s="4674" t="s">
        <v>546</v>
      </c>
      <c r="AM29" s="4675"/>
      <c r="AN29" s="4675"/>
      <c r="AO29" s="4675"/>
      <c r="AP29" s="4676"/>
      <c r="AQ29" s="4674"/>
      <c r="AR29" s="4675"/>
      <c r="AS29" s="4675"/>
      <c r="AT29" s="4675"/>
      <c r="AU29" s="4676"/>
      <c r="AV29" s="4674" t="s">
        <v>982</v>
      </c>
      <c r="AW29" s="4675"/>
      <c r="AX29" s="4675"/>
      <c r="AY29" s="4675"/>
      <c r="AZ29" s="4676"/>
      <c r="BA29" s="4674" t="s">
        <v>546</v>
      </c>
      <c r="BB29" s="4675"/>
      <c r="BC29" s="4675"/>
      <c r="BD29" s="4675"/>
      <c r="BE29" s="4676"/>
      <c r="BF29" s="2326"/>
      <c r="BH29" s="2524">
        <v>1</v>
      </c>
      <c r="BI29" s="2359">
        <v>2</v>
      </c>
      <c r="BJ29" s="2359">
        <v>3</v>
      </c>
      <c r="BK29" s="2359">
        <v>4</v>
      </c>
      <c r="BL29" s="2362"/>
      <c r="BM29" s="2362"/>
      <c r="BN29" s="2362"/>
    </row>
    <row r="30" spans="1:68">
      <c r="A30" s="4708" t="s">
        <v>1106</v>
      </c>
      <c r="B30" s="4701" t="s">
        <v>1107</v>
      </c>
      <c r="C30" s="2324"/>
      <c r="D30" s="4709">
        <v>0</v>
      </c>
      <c r="E30" s="4709"/>
      <c r="F30" s="4709"/>
      <c r="G30" s="4709"/>
      <c r="H30" s="4709"/>
      <c r="I30" s="4709"/>
      <c r="J30" s="4709"/>
      <c r="K30" s="4709"/>
      <c r="L30" s="4709"/>
      <c r="M30" s="4710">
        <v>9161</v>
      </c>
      <c r="N30" s="4710"/>
      <c r="O30" s="4710"/>
      <c r="P30" s="4710"/>
      <c r="Q30" s="4710"/>
      <c r="R30" s="4710">
        <v>0</v>
      </c>
      <c r="S30" s="4710"/>
      <c r="T30" s="4710"/>
      <c r="U30" s="4710"/>
      <c r="V30" s="4710"/>
      <c r="W30" s="4711">
        <f>IF(OR(R30="",$BL$24="",'Cons.Ds CD'!V25=""),"",R30*$BL$24/'Cons.Ds CD'!$V$28*10)</f>
        <v>0</v>
      </c>
      <c r="X30" s="4711"/>
      <c r="Y30" s="4711"/>
      <c r="Z30" s="4711"/>
      <c r="AA30" s="4711"/>
      <c r="AB30" s="4710">
        <v>8352</v>
      </c>
      <c r="AC30" s="4710"/>
      <c r="AD30" s="4710"/>
      <c r="AE30" s="4710"/>
      <c r="AF30" s="4710"/>
      <c r="AG30" s="4712">
        <v>0</v>
      </c>
      <c r="AH30" s="4712"/>
      <c r="AI30" s="4712"/>
      <c r="AJ30" s="4712"/>
      <c r="AK30" s="4712"/>
      <c r="AL30" s="4711">
        <f>IF(OR(AG30="",$BL$24="",'Cons.Ds CD'!$AH$25=""),"",AG30*$BL$24/'Cons.Ds CD'!$AH$28*10)</f>
        <v>0</v>
      </c>
      <c r="AM30" s="4711"/>
      <c r="AN30" s="4711"/>
      <c r="AO30" s="4711"/>
      <c r="AP30" s="4711"/>
      <c r="AQ30" s="4710">
        <v>683</v>
      </c>
      <c r="AR30" s="4710"/>
      <c r="AS30" s="4710"/>
      <c r="AT30" s="4710"/>
      <c r="AU30" s="4710"/>
      <c r="AV30" s="4713">
        <v>0</v>
      </c>
      <c r="AW30" s="4713"/>
      <c r="AX30" s="4713"/>
      <c r="AY30" s="4713"/>
      <c r="AZ30" s="4713"/>
      <c r="BA30" s="4711">
        <f>IF(OR(AV30="",$BL$24="",'Cons.Ds CD'!$AT$25=""),"",AV30*$BL$24/'Cons.Ds CD'!$AT$28*10)</f>
        <v>0</v>
      </c>
      <c r="BB30" s="4711"/>
      <c r="BC30" s="4711"/>
      <c r="BD30" s="4711"/>
      <c r="BE30" s="4711"/>
      <c r="BF30" s="2326"/>
      <c r="BH30" s="2330">
        <f>D30</f>
        <v>0</v>
      </c>
      <c r="BI30" s="2525">
        <f t="shared" ref="BI30:BI42" si="0">W30</f>
        <v>0</v>
      </c>
      <c r="BJ30" s="2525">
        <f>AL30</f>
        <v>0</v>
      </c>
      <c r="BK30" s="2525">
        <f>BA30</f>
        <v>0</v>
      </c>
      <c r="BL30" s="2414"/>
      <c r="BM30" s="2414"/>
      <c r="BN30" s="2414"/>
    </row>
    <row r="31" spans="1:68">
      <c r="A31" s="4708"/>
      <c r="B31" s="4701"/>
      <c r="C31" s="2324"/>
      <c r="D31" s="4714">
        <v>0.3</v>
      </c>
      <c r="E31" s="4715"/>
      <c r="F31" s="4715"/>
      <c r="G31" s="4715"/>
      <c r="H31" s="4715"/>
      <c r="I31" s="4715"/>
      <c r="J31" s="4715"/>
      <c r="K31" s="4715"/>
      <c r="L31" s="4716"/>
      <c r="M31" s="4717">
        <v>911.5</v>
      </c>
      <c r="N31" s="4718"/>
      <c r="O31" s="4718"/>
      <c r="P31" s="4718"/>
      <c r="Q31" s="4719"/>
      <c r="R31" s="4717">
        <v>6.2</v>
      </c>
      <c r="S31" s="4718"/>
      <c r="T31" s="4718"/>
      <c r="U31" s="4718"/>
      <c r="V31" s="4719"/>
      <c r="W31" s="4639">
        <f>IF(OR(R31="",$BL$24="",'Cons.Ds CD'!$V$25=""),"",R31*$BL$24/'Cons.Ds CD'!$V$28*10)</f>
        <v>1.2998853541149435</v>
      </c>
      <c r="X31" s="4640"/>
      <c r="Y31" s="4640"/>
      <c r="Z31" s="4640"/>
      <c r="AA31" s="4641"/>
      <c r="AB31" s="4717">
        <v>828.3</v>
      </c>
      <c r="AC31" s="4718"/>
      <c r="AD31" s="4718"/>
      <c r="AE31" s="4718"/>
      <c r="AF31" s="4719"/>
      <c r="AG31" s="4720">
        <v>12</v>
      </c>
      <c r="AH31" s="4721"/>
      <c r="AI31" s="4721"/>
      <c r="AJ31" s="4721"/>
      <c r="AK31" s="4722"/>
      <c r="AL31" s="4639">
        <f>IF(OR(AG31="",$BL$24="",'Cons.Ds CD'!$AH$25=""),"",AG31*$BL$24/'Cons.Ds CD'!$AH$28*10)</f>
        <v>2.5159071369966646</v>
      </c>
      <c r="AM31" s="4640"/>
      <c r="AN31" s="4640"/>
      <c r="AO31" s="4640"/>
      <c r="AP31" s="4641"/>
      <c r="AQ31" s="4717">
        <v>674.6</v>
      </c>
      <c r="AR31" s="4718"/>
      <c r="AS31" s="4718"/>
      <c r="AT31" s="4718"/>
      <c r="AU31" s="4719"/>
      <c r="AV31" s="4720">
        <v>22</v>
      </c>
      <c r="AW31" s="4721"/>
      <c r="AX31" s="4721"/>
      <c r="AY31" s="4721"/>
      <c r="AZ31" s="4722"/>
      <c r="BA31" s="4639">
        <f>IF(OR(AV31="",$BL$24="",'Cons.Ds CD'!$AT$25=""),"",AV31*$BL$24/'Cons.Ds CD'!$AT$28*10)</f>
        <v>4.6124964178272192</v>
      </c>
      <c r="BB31" s="4640"/>
      <c r="BC31" s="4640"/>
      <c r="BD31" s="4640"/>
      <c r="BE31" s="4641"/>
      <c r="BF31" s="2326"/>
      <c r="BH31" s="2333">
        <f t="shared" ref="BH31:BH58" si="1">D31</f>
        <v>0.3</v>
      </c>
      <c r="BI31" s="2526">
        <f t="shared" si="0"/>
        <v>1.2998853541149435</v>
      </c>
      <c r="BJ31" s="2526">
        <f t="shared" ref="BJ31:BJ58" si="2">AL31</f>
        <v>2.5159071369966646</v>
      </c>
      <c r="BK31" s="2526">
        <f t="shared" ref="BK31:BK58" si="3">BA31</f>
        <v>4.6124964178272192</v>
      </c>
      <c r="BL31" s="2414"/>
      <c r="BM31" s="2414"/>
      <c r="BN31" s="2414"/>
    </row>
    <row r="32" spans="1:68">
      <c r="A32" s="4708"/>
      <c r="B32" s="4701"/>
      <c r="C32" s="2324"/>
      <c r="D32" s="4714">
        <v>0.6</v>
      </c>
      <c r="E32" s="4715"/>
      <c r="F32" s="4715"/>
      <c r="G32" s="4715"/>
      <c r="H32" s="4715"/>
      <c r="I32" s="4715"/>
      <c r="J32" s="4715"/>
      <c r="K32" s="4715"/>
      <c r="L32" s="4716"/>
      <c r="M32" s="4717">
        <v>908.1</v>
      </c>
      <c r="N32" s="4718"/>
      <c r="O32" s="4718"/>
      <c r="P32" s="4718"/>
      <c r="Q32" s="4719"/>
      <c r="R32" s="4717">
        <v>10</v>
      </c>
      <c r="S32" s="4718"/>
      <c r="T32" s="4718"/>
      <c r="U32" s="4718"/>
      <c r="V32" s="4719"/>
      <c r="W32" s="4639">
        <f>IF(OR(R32="",$BL$24="",'Cons.Ds CD'!$V$25=""),"",R32*$BL$24/'Cons.Ds CD'!$V$28*10)</f>
        <v>2.0965892808305537</v>
      </c>
      <c r="X32" s="4640"/>
      <c r="Y32" s="4640"/>
      <c r="Z32" s="4640"/>
      <c r="AA32" s="4641"/>
      <c r="AB32" s="4717">
        <v>823.5</v>
      </c>
      <c r="AC32" s="4718"/>
      <c r="AD32" s="4718"/>
      <c r="AE32" s="4718"/>
      <c r="AF32" s="4719"/>
      <c r="AG32" s="4720">
        <v>20</v>
      </c>
      <c r="AH32" s="4721"/>
      <c r="AI32" s="4721"/>
      <c r="AJ32" s="4721"/>
      <c r="AK32" s="4722"/>
      <c r="AL32" s="4639">
        <f>IF(OR(AG32="",$BL$24="",'Cons.Ds CD'!$AH$25=""),"",AG32*$BL$24/'Cons.Ds CD'!$AH$28*10)</f>
        <v>4.1931785616611075</v>
      </c>
      <c r="AM32" s="4640"/>
      <c r="AN32" s="4640"/>
      <c r="AO32" s="4640"/>
      <c r="AP32" s="4641"/>
      <c r="AQ32" s="4717">
        <v>670.3</v>
      </c>
      <c r="AR32" s="4718"/>
      <c r="AS32" s="4718"/>
      <c r="AT32" s="4718"/>
      <c r="AU32" s="4719"/>
      <c r="AV32" s="4720">
        <v>35</v>
      </c>
      <c r="AW32" s="4721"/>
      <c r="AX32" s="4721"/>
      <c r="AY32" s="4721"/>
      <c r="AZ32" s="4722"/>
      <c r="BA32" s="4639">
        <f>IF(OR(AV32="",$BL$24="",'Cons.Ds CD'!$AT$25=""),"",AV32*$BL$24/'Cons.Ds CD'!$AT$28*10)</f>
        <v>7.3380624829069383</v>
      </c>
      <c r="BB32" s="4640"/>
      <c r="BC32" s="4640"/>
      <c r="BD32" s="4640"/>
      <c r="BE32" s="4641"/>
      <c r="BF32" s="2326"/>
      <c r="BH32" s="2333">
        <f t="shared" si="1"/>
        <v>0.6</v>
      </c>
      <c r="BI32" s="2526">
        <f t="shared" si="0"/>
        <v>2.0965892808305537</v>
      </c>
      <c r="BJ32" s="2526">
        <f t="shared" si="2"/>
        <v>4.1931785616611075</v>
      </c>
      <c r="BK32" s="2526">
        <f t="shared" si="3"/>
        <v>7.3380624829069383</v>
      </c>
      <c r="BL32" s="2414"/>
      <c r="BM32" s="2414"/>
      <c r="BN32" s="2414"/>
    </row>
    <row r="33" spans="1:66">
      <c r="A33" s="4708"/>
      <c r="B33" s="4701"/>
      <c r="C33" s="2324"/>
      <c r="D33" s="4714">
        <v>0.9</v>
      </c>
      <c r="E33" s="4715"/>
      <c r="F33" s="4715"/>
      <c r="G33" s="4715"/>
      <c r="H33" s="4715"/>
      <c r="I33" s="4715"/>
      <c r="J33" s="4715"/>
      <c r="K33" s="4715"/>
      <c r="L33" s="4716"/>
      <c r="M33" s="4717">
        <v>906</v>
      </c>
      <c r="N33" s="4718"/>
      <c r="O33" s="4718"/>
      <c r="P33" s="4718"/>
      <c r="Q33" s="4719"/>
      <c r="R33" s="4717">
        <v>15</v>
      </c>
      <c r="S33" s="4718"/>
      <c r="T33" s="4718"/>
      <c r="U33" s="4718"/>
      <c r="V33" s="4719"/>
      <c r="W33" s="4639">
        <f>IF(OR(R33="",$BL$24="",'Cons.Ds CD'!$V$25=""),"",R33*$BL$24/'Cons.Ds CD'!$V$28*10)</f>
        <v>3.1448839212458313</v>
      </c>
      <c r="X33" s="4640"/>
      <c r="Y33" s="4640"/>
      <c r="Z33" s="4640"/>
      <c r="AA33" s="4641"/>
      <c r="AB33" s="4717">
        <v>820</v>
      </c>
      <c r="AC33" s="4718"/>
      <c r="AD33" s="4718"/>
      <c r="AE33" s="4718"/>
      <c r="AF33" s="4719"/>
      <c r="AG33" s="4720">
        <v>25</v>
      </c>
      <c r="AH33" s="4721"/>
      <c r="AI33" s="4721"/>
      <c r="AJ33" s="4721"/>
      <c r="AK33" s="4722"/>
      <c r="AL33" s="4639">
        <f>IF(OR(AG33="",$BL$24="",'Cons.Ds CD'!$AH$25=""),"",AG33*$BL$24/'Cons.Ds CD'!$AH$28*10)</f>
        <v>5.2414732020763841</v>
      </c>
      <c r="AM33" s="4640"/>
      <c r="AN33" s="4640"/>
      <c r="AO33" s="4640"/>
      <c r="AP33" s="4641"/>
      <c r="AQ33" s="4717">
        <v>665.9</v>
      </c>
      <c r="AR33" s="4718"/>
      <c r="AS33" s="4718"/>
      <c r="AT33" s="4718"/>
      <c r="AU33" s="4719"/>
      <c r="AV33" s="4720">
        <v>45</v>
      </c>
      <c r="AW33" s="4721"/>
      <c r="AX33" s="4721"/>
      <c r="AY33" s="4721"/>
      <c r="AZ33" s="4722"/>
      <c r="BA33" s="4639">
        <f>IF(OR(AV33="",$BL$24="",'Cons.Ds CD'!$AT$25=""),"",AV33*$BL$24/'Cons.Ds CD'!$AT$28*10)</f>
        <v>9.4346517637374934</v>
      </c>
      <c r="BB33" s="4640"/>
      <c r="BC33" s="4640"/>
      <c r="BD33" s="4640"/>
      <c r="BE33" s="4641"/>
      <c r="BF33" s="2326"/>
      <c r="BH33" s="2333">
        <f t="shared" si="1"/>
        <v>0.9</v>
      </c>
      <c r="BI33" s="2526">
        <f t="shared" si="0"/>
        <v>3.1448839212458313</v>
      </c>
      <c r="BJ33" s="2526">
        <f t="shared" si="2"/>
        <v>5.2414732020763841</v>
      </c>
      <c r="BK33" s="2526">
        <f t="shared" si="3"/>
        <v>9.4346517637374934</v>
      </c>
      <c r="BL33" s="2414"/>
      <c r="BM33" s="2414"/>
      <c r="BN33" s="2414"/>
    </row>
    <row r="34" spans="1:66" ht="15" customHeight="1">
      <c r="A34" s="2374"/>
      <c r="B34" s="2375"/>
      <c r="C34" s="2324"/>
      <c r="D34" s="4714">
        <v>1.2</v>
      </c>
      <c r="E34" s="4715"/>
      <c r="F34" s="4715"/>
      <c r="G34" s="4715"/>
      <c r="H34" s="4715"/>
      <c r="I34" s="4715"/>
      <c r="J34" s="4715"/>
      <c r="K34" s="4715"/>
      <c r="L34" s="4716"/>
      <c r="M34" s="4717">
        <v>905.1</v>
      </c>
      <c r="N34" s="4718"/>
      <c r="O34" s="4718"/>
      <c r="P34" s="4718"/>
      <c r="Q34" s="4719"/>
      <c r="R34" s="4717">
        <v>18</v>
      </c>
      <c r="S34" s="4718"/>
      <c r="T34" s="4718"/>
      <c r="U34" s="4718"/>
      <c r="V34" s="4719"/>
      <c r="W34" s="4639">
        <f>IF(OR(R34="",$BL$24="",'Cons.Ds CD'!$V$25=""),"",R34*$BL$24/'Cons.Ds CD'!$V$28*10)</f>
        <v>3.7738607054949966</v>
      </c>
      <c r="X34" s="4640"/>
      <c r="Y34" s="4640"/>
      <c r="Z34" s="4640"/>
      <c r="AA34" s="4641"/>
      <c r="AB34" s="4717">
        <v>840.8</v>
      </c>
      <c r="AC34" s="4718"/>
      <c r="AD34" s="4718"/>
      <c r="AE34" s="4718"/>
      <c r="AF34" s="4719"/>
      <c r="AG34" s="4720">
        <v>30</v>
      </c>
      <c r="AH34" s="4721"/>
      <c r="AI34" s="4721"/>
      <c r="AJ34" s="4721"/>
      <c r="AK34" s="4722"/>
      <c r="AL34" s="4639">
        <f>IF(OR(AG34="",$BL$24="",'Cons.Ds CD'!$AH$25=""),"",AG34*$BL$24/'Cons.Ds CD'!$AH$28*10)</f>
        <v>6.2897678424916625</v>
      </c>
      <c r="AM34" s="4640"/>
      <c r="AN34" s="4640"/>
      <c r="AO34" s="4640"/>
      <c r="AP34" s="4641"/>
      <c r="AQ34" s="4717">
        <v>661.9</v>
      </c>
      <c r="AR34" s="4718"/>
      <c r="AS34" s="4718"/>
      <c r="AT34" s="4718"/>
      <c r="AU34" s="4719"/>
      <c r="AV34" s="4720">
        <v>55</v>
      </c>
      <c r="AW34" s="4721"/>
      <c r="AX34" s="4721"/>
      <c r="AY34" s="4721"/>
      <c r="AZ34" s="4722"/>
      <c r="BA34" s="4639">
        <f>IF(OR(AV34="",$BL$24="",'Cons.Ds CD'!$AT$25=""),"",AV34*$BL$24/'Cons.Ds CD'!$AT$28*10)</f>
        <v>11.531241044568048</v>
      </c>
      <c r="BB34" s="4640"/>
      <c r="BC34" s="4640"/>
      <c r="BD34" s="4640"/>
      <c r="BE34" s="4641"/>
      <c r="BF34" s="2326"/>
      <c r="BH34" s="2333">
        <f t="shared" si="1"/>
        <v>1.2</v>
      </c>
      <c r="BI34" s="2526">
        <f t="shared" si="0"/>
        <v>3.7738607054949966</v>
      </c>
      <c r="BJ34" s="2526">
        <f t="shared" si="2"/>
        <v>6.2897678424916625</v>
      </c>
      <c r="BK34" s="2526">
        <f t="shared" si="3"/>
        <v>11.531241044568048</v>
      </c>
      <c r="BL34" s="2414"/>
      <c r="BM34" s="2414"/>
      <c r="BN34" s="2414"/>
    </row>
    <row r="35" spans="1:66">
      <c r="A35" s="4700" t="str">
        <f ca="1">MID(CELL("filename",A1),FIND("[",CELL("filename",A1))+1, FIND("]",CELL("filename",A1))-FIND("[",CELL("filename",A1))-1)</f>
        <v>LHU Template New 7 (Recovered) revisi.xlsx</v>
      </c>
      <c r="B35" s="4723" t="str">
        <f>IF(AV8="","",AV8)</f>
        <v/>
      </c>
      <c r="C35" s="2324"/>
      <c r="D35" s="4714">
        <v>1.5</v>
      </c>
      <c r="E35" s="4715"/>
      <c r="F35" s="4715"/>
      <c r="G35" s="4715"/>
      <c r="H35" s="4715"/>
      <c r="I35" s="4715"/>
      <c r="J35" s="4715"/>
      <c r="K35" s="4715"/>
      <c r="L35" s="4716"/>
      <c r="M35" s="4717">
        <v>904</v>
      </c>
      <c r="N35" s="4718"/>
      <c r="O35" s="4718"/>
      <c r="P35" s="4718"/>
      <c r="Q35" s="4719"/>
      <c r="R35" s="4717">
        <v>22</v>
      </c>
      <c r="S35" s="4718"/>
      <c r="T35" s="4718"/>
      <c r="U35" s="4718"/>
      <c r="V35" s="4719"/>
      <c r="W35" s="4639">
        <f>IF(OR(R35="",$BL$24="",'Cons.Ds CD'!$V$25=""),"",R35*$BL$24/'Cons.Ds CD'!$V$28*10)</f>
        <v>4.6124964178272192</v>
      </c>
      <c r="X35" s="4640"/>
      <c r="Y35" s="4640"/>
      <c r="Z35" s="4640"/>
      <c r="AA35" s="4641"/>
      <c r="AB35" s="4717">
        <v>817</v>
      </c>
      <c r="AC35" s="4718"/>
      <c r="AD35" s="4718"/>
      <c r="AE35" s="4718"/>
      <c r="AF35" s="4719"/>
      <c r="AG35" s="4720">
        <v>35</v>
      </c>
      <c r="AH35" s="4721"/>
      <c r="AI35" s="4721"/>
      <c r="AJ35" s="4721"/>
      <c r="AK35" s="4722"/>
      <c r="AL35" s="4639">
        <f>IF(OR(AG35="",$BL$24="",'Cons.Ds CD'!$AH$25=""),"",AG35*$BL$24/'Cons.Ds CD'!$AH$28*10)</f>
        <v>7.3380624829069383</v>
      </c>
      <c r="AM35" s="4640"/>
      <c r="AN35" s="4640"/>
      <c r="AO35" s="4640"/>
      <c r="AP35" s="4641"/>
      <c r="AQ35" s="4717">
        <v>658</v>
      </c>
      <c r="AR35" s="4718"/>
      <c r="AS35" s="4718"/>
      <c r="AT35" s="4718"/>
      <c r="AU35" s="4719"/>
      <c r="AV35" s="4720">
        <v>65</v>
      </c>
      <c r="AW35" s="4721"/>
      <c r="AX35" s="4721"/>
      <c r="AY35" s="4721"/>
      <c r="AZ35" s="4722"/>
      <c r="BA35" s="4639">
        <f>IF(OR(AV35="",$BL$24="",'Cons.Ds CD'!$AT$25=""),"",AV35*$BL$24/'Cons.Ds CD'!$AT$28*10)</f>
        <v>13.627830325398602</v>
      </c>
      <c r="BB35" s="4640"/>
      <c r="BC35" s="4640"/>
      <c r="BD35" s="4640"/>
      <c r="BE35" s="4641"/>
      <c r="BF35" s="2326"/>
      <c r="BH35" s="2333">
        <f t="shared" si="1"/>
        <v>1.5</v>
      </c>
      <c r="BI35" s="2526">
        <f t="shared" si="0"/>
        <v>4.6124964178272192</v>
      </c>
      <c r="BJ35" s="2526">
        <f t="shared" si="2"/>
        <v>7.3380624829069383</v>
      </c>
      <c r="BK35" s="2526">
        <f t="shared" si="3"/>
        <v>13.627830325398602</v>
      </c>
      <c r="BL35" s="2414"/>
      <c r="BM35" s="2414"/>
      <c r="BN35" s="2414"/>
    </row>
    <row r="36" spans="1:66">
      <c r="A36" s="4700"/>
      <c r="B36" s="4723"/>
      <c r="C36" s="2324"/>
      <c r="D36" s="4714">
        <v>1.8</v>
      </c>
      <c r="E36" s="4715"/>
      <c r="F36" s="4715"/>
      <c r="G36" s="4715"/>
      <c r="H36" s="4715"/>
      <c r="I36" s="4715"/>
      <c r="J36" s="4715"/>
      <c r="K36" s="4715"/>
      <c r="L36" s="4716"/>
      <c r="M36" s="4717">
        <v>903.2</v>
      </c>
      <c r="N36" s="4718"/>
      <c r="O36" s="4718"/>
      <c r="P36" s="4718"/>
      <c r="Q36" s="4719"/>
      <c r="R36" s="4717">
        <v>25</v>
      </c>
      <c r="S36" s="4718"/>
      <c r="T36" s="4718"/>
      <c r="U36" s="4718"/>
      <c r="V36" s="4719"/>
      <c r="W36" s="4639">
        <f>IF(OR(R36="",$BL$24="",'Cons.Ds CD'!$V$25=""),"",R36*$BL$24/'Cons.Ds CD'!$V$28*10)</f>
        <v>5.2414732020763841</v>
      </c>
      <c r="X36" s="4640"/>
      <c r="Y36" s="4640"/>
      <c r="Z36" s="4640"/>
      <c r="AA36" s="4641"/>
      <c r="AB36" s="4717">
        <v>815</v>
      </c>
      <c r="AC36" s="4718"/>
      <c r="AD36" s="4718"/>
      <c r="AE36" s="4718"/>
      <c r="AF36" s="4719"/>
      <c r="AG36" s="4720">
        <v>40</v>
      </c>
      <c r="AH36" s="4721"/>
      <c r="AI36" s="4721"/>
      <c r="AJ36" s="4721"/>
      <c r="AK36" s="4722"/>
      <c r="AL36" s="4639">
        <f>IF(OR(AG36="",$BL$24="",'Cons.Ds CD'!$AH$25=""),"",AG36*$BL$24/'Cons.Ds CD'!$AH$28*10)</f>
        <v>8.3863571233222149</v>
      </c>
      <c r="AM36" s="4640"/>
      <c r="AN36" s="4640"/>
      <c r="AO36" s="4640"/>
      <c r="AP36" s="4641"/>
      <c r="AQ36" s="4717">
        <v>655</v>
      </c>
      <c r="AR36" s="4718"/>
      <c r="AS36" s="4718"/>
      <c r="AT36" s="4718"/>
      <c r="AU36" s="4719"/>
      <c r="AV36" s="4720">
        <v>75</v>
      </c>
      <c r="AW36" s="4721"/>
      <c r="AX36" s="4721"/>
      <c r="AY36" s="4721"/>
      <c r="AZ36" s="4722"/>
      <c r="BA36" s="4639">
        <f>IF(OR(AV36="",$BL$24="",'Cons.Ds CD'!$AT$25=""),"",AV36*$BL$24/'Cons.Ds CD'!$AT$28*10)</f>
        <v>15.724419606229155</v>
      </c>
      <c r="BB36" s="4640"/>
      <c r="BC36" s="4640"/>
      <c r="BD36" s="4640"/>
      <c r="BE36" s="4641"/>
      <c r="BF36" s="2326"/>
      <c r="BH36" s="2333">
        <f t="shared" si="1"/>
        <v>1.8</v>
      </c>
      <c r="BI36" s="2526">
        <f t="shared" si="0"/>
        <v>5.2414732020763841</v>
      </c>
      <c r="BJ36" s="2526">
        <f t="shared" si="2"/>
        <v>8.3863571233222149</v>
      </c>
      <c r="BK36" s="2526">
        <f t="shared" si="3"/>
        <v>15.724419606229155</v>
      </c>
      <c r="BL36" s="2414"/>
      <c r="BM36" s="2414"/>
      <c r="BN36" s="2414"/>
    </row>
    <row r="37" spans="1:66">
      <c r="A37" s="4700"/>
      <c r="B37" s="4723"/>
      <c r="C37" s="2324"/>
      <c r="D37" s="4714">
        <v>2.1</v>
      </c>
      <c r="E37" s="4715"/>
      <c r="F37" s="4715"/>
      <c r="G37" s="4715"/>
      <c r="H37" s="4715"/>
      <c r="I37" s="4715"/>
      <c r="J37" s="4715"/>
      <c r="K37" s="4715"/>
      <c r="L37" s="4716"/>
      <c r="M37" s="4717">
        <v>903</v>
      </c>
      <c r="N37" s="4718"/>
      <c r="O37" s="4718"/>
      <c r="P37" s="4718"/>
      <c r="Q37" s="4719"/>
      <c r="R37" s="4717">
        <v>28</v>
      </c>
      <c r="S37" s="4718"/>
      <c r="T37" s="4718"/>
      <c r="U37" s="4718"/>
      <c r="V37" s="4719"/>
      <c r="W37" s="4639">
        <f>IF(OR(R37="",$BL$24="",'Cons.Ds CD'!$V$25=""),"",R37*$BL$24/'Cons.Ds CD'!$V$28*10)</f>
        <v>5.8704499863255517</v>
      </c>
      <c r="X37" s="4640"/>
      <c r="Y37" s="4640"/>
      <c r="Z37" s="4640"/>
      <c r="AA37" s="4641"/>
      <c r="AB37" s="4717">
        <v>813.1</v>
      </c>
      <c r="AC37" s="4718"/>
      <c r="AD37" s="4718"/>
      <c r="AE37" s="4718"/>
      <c r="AF37" s="4719"/>
      <c r="AG37" s="4720">
        <v>45</v>
      </c>
      <c r="AH37" s="4721"/>
      <c r="AI37" s="4721"/>
      <c r="AJ37" s="4721"/>
      <c r="AK37" s="4722"/>
      <c r="AL37" s="4639">
        <f>IF(OR(AG37="",$BL$24="",'Cons.Ds CD'!$AH$25=""),"",AG37*$BL$24/'Cons.Ds CD'!$AH$28*10)</f>
        <v>9.4346517637374934</v>
      </c>
      <c r="AM37" s="4640"/>
      <c r="AN37" s="4640"/>
      <c r="AO37" s="4640"/>
      <c r="AP37" s="4641"/>
      <c r="AQ37" s="4717">
        <v>651</v>
      </c>
      <c r="AR37" s="4718"/>
      <c r="AS37" s="4718"/>
      <c r="AT37" s="4718"/>
      <c r="AU37" s="4719"/>
      <c r="AV37" s="4720">
        <v>85</v>
      </c>
      <c r="AW37" s="4721"/>
      <c r="AX37" s="4721"/>
      <c r="AY37" s="4721"/>
      <c r="AZ37" s="4722"/>
      <c r="BA37" s="4639">
        <f>IF(OR(AV37="",$BL$24="",'Cons.Ds CD'!$AT$25=""),"",AV37*$BL$24/'Cons.Ds CD'!$AT$28*10)</f>
        <v>17.821008887059708</v>
      </c>
      <c r="BB37" s="4640"/>
      <c r="BC37" s="4640"/>
      <c r="BD37" s="4640"/>
      <c r="BE37" s="4641"/>
      <c r="BF37" s="2326"/>
      <c r="BH37" s="2333">
        <f t="shared" si="1"/>
        <v>2.1</v>
      </c>
      <c r="BI37" s="2526">
        <f t="shared" si="0"/>
        <v>5.8704499863255517</v>
      </c>
      <c r="BJ37" s="2526">
        <f t="shared" si="2"/>
        <v>9.4346517637374934</v>
      </c>
      <c r="BK37" s="2526">
        <f t="shared" si="3"/>
        <v>17.821008887059708</v>
      </c>
      <c r="BL37" s="2414"/>
      <c r="BM37" s="2414"/>
      <c r="BN37" s="2414"/>
    </row>
    <row r="38" spans="1:66" ht="15" customHeight="1">
      <c r="A38" s="4700"/>
      <c r="B38" s="4723"/>
      <c r="C38" s="2324"/>
      <c r="D38" s="4714">
        <v>2.4</v>
      </c>
      <c r="E38" s="4715"/>
      <c r="F38" s="4715"/>
      <c r="G38" s="4715"/>
      <c r="H38" s="4715"/>
      <c r="I38" s="4715"/>
      <c r="J38" s="4715"/>
      <c r="K38" s="4715"/>
      <c r="L38" s="4716"/>
      <c r="M38" s="4717">
        <v>902.3</v>
      </c>
      <c r="N38" s="4718"/>
      <c r="O38" s="4718"/>
      <c r="P38" s="4718"/>
      <c r="Q38" s="4719"/>
      <c r="R38" s="4717">
        <v>30</v>
      </c>
      <c r="S38" s="4718"/>
      <c r="T38" s="4718"/>
      <c r="U38" s="4718"/>
      <c r="V38" s="4719"/>
      <c r="W38" s="4639">
        <f>IF(OR(R38="",$BL$24="",'Cons.Ds CD'!$V$25=""),"",R38*$BL$24/'Cons.Ds CD'!$V$28*10)</f>
        <v>6.2897678424916625</v>
      </c>
      <c r="X38" s="4640"/>
      <c r="Y38" s="4640"/>
      <c r="Z38" s="4640"/>
      <c r="AA38" s="4641"/>
      <c r="AB38" s="4717">
        <v>811.2</v>
      </c>
      <c r="AC38" s="4718"/>
      <c r="AD38" s="4718"/>
      <c r="AE38" s="4718"/>
      <c r="AF38" s="4719"/>
      <c r="AG38" s="4720">
        <v>50</v>
      </c>
      <c r="AH38" s="4721"/>
      <c r="AI38" s="4721"/>
      <c r="AJ38" s="4721"/>
      <c r="AK38" s="4722"/>
      <c r="AL38" s="4639">
        <f>IF(OR(AG38="",$BL$24="",'Cons.Ds CD'!$AH$25=""),"",AG38*$BL$24/'Cons.Ds CD'!$AH$28*10)</f>
        <v>10.482946404152768</v>
      </c>
      <c r="AM38" s="4640"/>
      <c r="AN38" s="4640"/>
      <c r="AO38" s="4640"/>
      <c r="AP38" s="4641"/>
      <c r="AQ38" s="4717">
        <v>648.1</v>
      </c>
      <c r="AR38" s="4718"/>
      <c r="AS38" s="4718"/>
      <c r="AT38" s="4718"/>
      <c r="AU38" s="4719"/>
      <c r="AV38" s="4720">
        <v>93</v>
      </c>
      <c r="AW38" s="4721"/>
      <c r="AX38" s="4721"/>
      <c r="AY38" s="4721"/>
      <c r="AZ38" s="4722"/>
      <c r="BA38" s="4639">
        <f>IF(OR(AV38="",$BL$24="",'Cons.Ds CD'!$AT$25=""),"",AV38*$BL$24/'Cons.Ds CD'!$AT$28*10)</f>
        <v>19.498280311724152</v>
      </c>
      <c r="BB38" s="4640"/>
      <c r="BC38" s="4640"/>
      <c r="BD38" s="4640"/>
      <c r="BE38" s="4641"/>
      <c r="BF38" s="2326"/>
      <c r="BH38" s="2333">
        <f t="shared" si="1"/>
        <v>2.4</v>
      </c>
      <c r="BI38" s="2526">
        <f t="shared" si="0"/>
        <v>6.2897678424916625</v>
      </c>
      <c r="BJ38" s="2526">
        <f t="shared" si="2"/>
        <v>10.482946404152768</v>
      </c>
      <c r="BK38" s="2526">
        <f t="shared" si="3"/>
        <v>19.498280311724152</v>
      </c>
      <c r="BL38" s="2414"/>
      <c r="BM38" s="2414"/>
      <c r="BN38" s="2414"/>
    </row>
    <row r="39" spans="1:66">
      <c r="A39" s="4700"/>
      <c r="B39" s="4723"/>
      <c r="C39" s="2324"/>
      <c r="D39" s="4714">
        <v>2.7</v>
      </c>
      <c r="E39" s="4715"/>
      <c r="F39" s="4715"/>
      <c r="G39" s="4715"/>
      <c r="H39" s="4715"/>
      <c r="I39" s="4715"/>
      <c r="J39" s="4715"/>
      <c r="K39" s="4715"/>
      <c r="L39" s="4716"/>
      <c r="M39" s="4717">
        <v>902.1</v>
      </c>
      <c r="N39" s="4718"/>
      <c r="O39" s="4718"/>
      <c r="P39" s="4718"/>
      <c r="Q39" s="4719"/>
      <c r="R39" s="4717">
        <v>31</v>
      </c>
      <c r="S39" s="4718"/>
      <c r="T39" s="4718"/>
      <c r="U39" s="4718"/>
      <c r="V39" s="4719"/>
      <c r="W39" s="4639">
        <f>IF(OR(R39="",$BL$24="",'Cons.Ds CD'!$V$25=""),"",R39*$BL$24/'Cons.Ds CD'!$V$28*10)</f>
        <v>6.4994267705747175</v>
      </c>
      <c r="X39" s="4640"/>
      <c r="Y39" s="4640"/>
      <c r="Z39" s="4640"/>
      <c r="AA39" s="4641"/>
      <c r="AB39" s="4717">
        <v>810</v>
      </c>
      <c r="AC39" s="4718"/>
      <c r="AD39" s="4718"/>
      <c r="AE39" s="4718"/>
      <c r="AF39" s="4719"/>
      <c r="AG39" s="4720">
        <v>55</v>
      </c>
      <c r="AH39" s="4721"/>
      <c r="AI39" s="4721"/>
      <c r="AJ39" s="4721"/>
      <c r="AK39" s="4722"/>
      <c r="AL39" s="4639">
        <f>IF(OR(AG39="",$BL$24="",'Cons.Ds CD'!$AH$25=""),"",AG39*$BL$24/'Cons.Ds CD'!$AH$28*10)</f>
        <v>11.531241044568048</v>
      </c>
      <c r="AM39" s="4640"/>
      <c r="AN39" s="4640"/>
      <c r="AO39" s="4640"/>
      <c r="AP39" s="4641"/>
      <c r="AQ39" s="4717">
        <v>645.79999999999995</v>
      </c>
      <c r="AR39" s="4718"/>
      <c r="AS39" s="4718"/>
      <c r="AT39" s="4718"/>
      <c r="AU39" s="4719"/>
      <c r="AV39" s="4720">
        <v>100</v>
      </c>
      <c r="AW39" s="4721"/>
      <c r="AX39" s="4721"/>
      <c r="AY39" s="4721"/>
      <c r="AZ39" s="4722"/>
      <c r="BA39" s="4639">
        <f>IF(OR(AV39="",$BL$24="",'Cons.Ds CD'!$AT$25=""),"",AV39*$BL$24/'Cons.Ds CD'!$AT$28*10)</f>
        <v>20.965892808305536</v>
      </c>
      <c r="BB39" s="4640"/>
      <c r="BC39" s="4640"/>
      <c r="BD39" s="4640"/>
      <c r="BE39" s="4641"/>
      <c r="BF39" s="2326"/>
      <c r="BH39" s="2333">
        <f t="shared" si="1"/>
        <v>2.7</v>
      </c>
      <c r="BI39" s="2526">
        <f t="shared" si="0"/>
        <v>6.4994267705747175</v>
      </c>
      <c r="BJ39" s="2526">
        <f t="shared" si="2"/>
        <v>11.531241044568048</v>
      </c>
      <c r="BK39" s="2526">
        <f t="shared" si="3"/>
        <v>20.965892808305536</v>
      </c>
      <c r="BL39" s="2414"/>
      <c r="BM39" s="2414"/>
      <c r="BN39" s="2414"/>
    </row>
    <row r="40" spans="1:66" ht="15" customHeight="1">
      <c r="A40" s="4700"/>
      <c r="B40" s="4723"/>
      <c r="C40" s="2324"/>
      <c r="D40" s="4714">
        <v>3</v>
      </c>
      <c r="E40" s="4715"/>
      <c r="F40" s="4715"/>
      <c r="G40" s="4715"/>
      <c r="H40" s="4715"/>
      <c r="I40" s="4715"/>
      <c r="J40" s="4715"/>
      <c r="K40" s="4715"/>
      <c r="L40" s="4716"/>
      <c r="M40" s="4717">
        <v>901.6</v>
      </c>
      <c r="N40" s="4718"/>
      <c r="O40" s="4718"/>
      <c r="P40" s="4718"/>
      <c r="Q40" s="4719"/>
      <c r="R40" s="4717">
        <v>31.5</v>
      </c>
      <c r="S40" s="4718"/>
      <c r="T40" s="4718"/>
      <c r="U40" s="4718"/>
      <c r="V40" s="4719"/>
      <c r="W40" s="4639">
        <f>IF(OR(R40="",$BL$24="",'Cons.Ds CD'!$V$25=""),"",R40*$BL$24/'Cons.Ds CD'!$V$28*10)</f>
        <v>6.604256234616245</v>
      </c>
      <c r="X40" s="4640"/>
      <c r="Y40" s="4640"/>
      <c r="Z40" s="4640"/>
      <c r="AA40" s="4641"/>
      <c r="AB40" s="4717">
        <v>809</v>
      </c>
      <c r="AC40" s="4718"/>
      <c r="AD40" s="4718"/>
      <c r="AE40" s="4718"/>
      <c r="AF40" s="4719"/>
      <c r="AG40" s="4720">
        <v>60</v>
      </c>
      <c r="AH40" s="4721"/>
      <c r="AI40" s="4721"/>
      <c r="AJ40" s="4721"/>
      <c r="AK40" s="4722"/>
      <c r="AL40" s="4639">
        <f>IF(OR(AG40="",$BL$24="",'Cons.Ds CD'!$AH$25=""),"",AG40*$BL$24/'Cons.Ds CD'!$AH$28*10)</f>
        <v>12.579535684983325</v>
      </c>
      <c r="AM40" s="4640"/>
      <c r="AN40" s="4640"/>
      <c r="AO40" s="4640"/>
      <c r="AP40" s="4641"/>
      <c r="AQ40" s="4717">
        <v>644</v>
      </c>
      <c r="AR40" s="4718"/>
      <c r="AS40" s="4718"/>
      <c r="AT40" s="4718"/>
      <c r="AU40" s="4719"/>
      <c r="AV40" s="4720">
        <v>110</v>
      </c>
      <c r="AW40" s="4721"/>
      <c r="AX40" s="4721"/>
      <c r="AY40" s="4721"/>
      <c r="AZ40" s="4722"/>
      <c r="BA40" s="4639">
        <f>IF(OR(AV40="",$BL$24="",'Cons.Ds CD'!$AT$25=""),"",AV40*$BL$24/'Cons.Ds CD'!$AT$28*10)</f>
        <v>23.062482089136097</v>
      </c>
      <c r="BB40" s="4640"/>
      <c r="BC40" s="4640"/>
      <c r="BD40" s="4640"/>
      <c r="BE40" s="4641"/>
      <c r="BF40" s="2326"/>
      <c r="BH40" s="2333">
        <f t="shared" si="1"/>
        <v>3</v>
      </c>
      <c r="BI40" s="2526">
        <f t="shared" si="0"/>
        <v>6.604256234616245</v>
      </c>
      <c r="BJ40" s="2526">
        <f t="shared" si="2"/>
        <v>12.579535684983325</v>
      </c>
      <c r="BK40" s="2526">
        <f t="shared" si="3"/>
        <v>23.062482089136097</v>
      </c>
      <c r="BL40" s="2414"/>
      <c r="BM40" s="2414"/>
      <c r="BN40" s="2414"/>
    </row>
    <row r="41" spans="1:66" ht="15" customHeight="1">
      <c r="A41" s="4700"/>
      <c r="B41" s="4723"/>
      <c r="C41" s="2324"/>
      <c r="D41" s="4714">
        <v>3.3</v>
      </c>
      <c r="E41" s="4715"/>
      <c r="F41" s="4715"/>
      <c r="G41" s="4715"/>
      <c r="H41" s="4715"/>
      <c r="I41" s="4715"/>
      <c r="J41" s="4715"/>
      <c r="K41" s="4715"/>
      <c r="L41" s="4716"/>
      <c r="M41" s="4717">
        <v>900.9</v>
      </c>
      <c r="N41" s="4718"/>
      <c r="O41" s="4718"/>
      <c r="P41" s="4718"/>
      <c r="Q41" s="4719"/>
      <c r="R41" s="4717">
        <v>32</v>
      </c>
      <c r="S41" s="4718"/>
      <c r="T41" s="4718"/>
      <c r="U41" s="4718"/>
      <c r="V41" s="4719"/>
      <c r="W41" s="4639">
        <f>IF(OR(R41="",$BL$24="",'Cons.Ds CD'!$V$25=""),"",R41*$BL$24/'Cons.Ds CD'!$V$28*10)</f>
        <v>6.7090856986577734</v>
      </c>
      <c r="X41" s="4640"/>
      <c r="Y41" s="4640"/>
      <c r="Z41" s="4640"/>
      <c r="AA41" s="4641"/>
      <c r="AB41" s="4717">
        <v>808</v>
      </c>
      <c r="AC41" s="4718"/>
      <c r="AD41" s="4718"/>
      <c r="AE41" s="4718"/>
      <c r="AF41" s="4719"/>
      <c r="AG41" s="4720">
        <v>65</v>
      </c>
      <c r="AH41" s="4721"/>
      <c r="AI41" s="4721"/>
      <c r="AJ41" s="4721"/>
      <c r="AK41" s="4722"/>
      <c r="AL41" s="4714">
        <f>IF(OR(AG41="",$BL$24="",'Cons.Ds CD'!$AH$25=""),"",AG41*$BL$24/'Cons.Ds CD'!$AH$28*10)</f>
        <v>13.627830325398602</v>
      </c>
      <c r="AM41" s="4715"/>
      <c r="AN41" s="4715"/>
      <c r="AO41" s="4715"/>
      <c r="AP41" s="4716"/>
      <c r="AQ41" s="4717" t="s">
        <v>1214</v>
      </c>
      <c r="AR41" s="4718"/>
      <c r="AS41" s="4718"/>
      <c r="AT41" s="4718"/>
      <c r="AU41" s="4719"/>
      <c r="AV41" s="4720">
        <v>115</v>
      </c>
      <c r="AW41" s="4721"/>
      <c r="AX41" s="4721"/>
      <c r="AY41" s="4721"/>
      <c r="AZ41" s="4722"/>
      <c r="BA41" s="4639">
        <f>IF(OR(AV41="",$BL$24="",'Cons.Ds CD'!$AT$25=""),"",AV41*$BL$24/'Cons.Ds CD'!$AT$28*10)</f>
        <v>24.110776729551372</v>
      </c>
      <c r="BB41" s="4640"/>
      <c r="BC41" s="4640"/>
      <c r="BD41" s="4640"/>
      <c r="BE41" s="4641"/>
      <c r="BF41" s="2326"/>
      <c r="BH41" s="2333">
        <f t="shared" si="1"/>
        <v>3.3</v>
      </c>
      <c r="BI41" s="2526">
        <f t="shared" si="0"/>
        <v>6.7090856986577734</v>
      </c>
      <c r="BJ41" s="2527">
        <f t="shared" si="2"/>
        <v>13.627830325398602</v>
      </c>
      <c r="BK41" s="2526">
        <f t="shared" si="3"/>
        <v>24.110776729551372</v>
      </c>
      <c r="BL41" s="2414"/>
      <c r="BM41" s="2414"/>
      <c r="BN41" s="2414"/>
    </row>
    <row r="42" spans="1:66">
      <c r="A42" s="4700"/>
      <c r="B42" s="4723"/>
      <c r="C42" s="2324"/>
      <c r="D42" s="4714">
        <v>3.6</v>
      </c>
      <c r="E42" s="4715"/>
      <c r="F42" s="4715"/>
      <c r="G42" s="4715"/>
      <c r="H42" s="4715"/>
      <c r="I42" s="4715"/>
      <c r="J42" s="4715"/>
      <c r="K42" s="4715"/>
      <c r="L42" s="4716"/>
      <c r="M42" s="4717">
        <v>901.5</v>
      </c>
      <c r="N42" s="4718"/>
      <c r="O42" s="4718"/>
      <c r="P42" s="4718"/>
      <c r="Q42" s="4719"/>
      <c r="R42" s="4717">
        <v>32.200000000000003</v>
      </c>
      <c r="S42" s="4718"/>
      <c r="T42" s="4718"/>
      <c r="U42" s="4718"/>
      <c r="V42" s="4719"/>
      <c r="W42" s="4639">
        <f>IF(OR(R42="",$BL$24="",'Cons.Ds CD'!$V$25=""),"",R42*$BL$24/'Cons.Ds CD'!$V$28*10)</f>
        <v>6.7510174842743851</v>
      </c>
      <c r="X42" s="4640"/>
      <c r="Y42" s="4640"/>
      <c r="Z42" s="4640"/>
      <c r="AA42" s="4641"/>
      <c r="AB42" s="4717">
        <v>807.9</v>
      </c>
      <c r="AC42" s="4718"/>
      <c r="AD42" s="4718"/>
      <c r="AE42" s="4718"/>
      <c r="AF42" s="4719"/>
      <c r="AG42" s="4720">
        <v>70</v>
      </c>
      <c r="AH42" s="4721"/>
      <c r="AI42" s="4721"/>
      <c r="AJ42" s="4721"/>
      <c r="AK42" s="4722"/>
      <c r="AL42" s="4714">
        <f>IF(OR(AG42="",$BL$24="",'Cons.Ds CD'!$AH$25=""),"",AG42*$BL$24/'Cons.Ds CD'!$AH$28*10)</f>
        <v>14.676124965813877</v>
      </c>
      <c r="AM42" s="4715"/>
      <c r="AN42" s="4715"/>
      <c r="AO42" s="4715"/>
      <c r="AP42" s="4716"/>
      <c r="AQ42" s="4717">
        <v>642</v>
      </c>
      <c r="AR42" s="4718"/>
      <c r="AS42" s="4718"/>
      <c r="AT42" s="4718"/>
      <c r="AU42" s="4719"/>
      <c r="AV42" s="4720">
        <v>120</v>
      </c>
      <c r="AW42" s="4721"/>
      <c r="AX42" s="4721"/>
      <c r="AY42" s="4721"/>
      <c r="AZ42" s="4722"/>
      <c r="BA42" s="4639">
        <f>IF(OR(AV42="",$BL$24="",'Cons.Ds CD'!$AT$25=""),"",AV42*$BL$24/'Cons.Ds CD'!$AT$28*10)</f>
        <v>25.15907136996665</v>
      </c>
      <c r="BB42" s="4640"/>
      <c r="BC42" s="4640"/>
      <c r="BD42" s="4640"/>
      <c r="BE42" s="4641"/>
      <c r="BF42" s="2326"/>
      <c r="BH42" s="2333">
        <f t="shared" si="1"/>
        <v>3.6</v>
      </c>
      <c r="BI42" s="2526">
        <f t="shared" si="0"/>
        <v>6.7510174842743851</v>
      </c>
      <c r="BJ42" s="2527">
        <f t="shared" si="2"/>
        <v>14.676124965813877</v>
      </c>
      <c r="BK42" s="2526">
        <f t="shared" si="3"/>
        <v>25.15907136996665</v>
      </c>
      <c r="BL42" s="2414"/>
      <c r="BM42" s="2414"/>
      <c r="BN42" s="2414"/>
    </row>
    <row r="43" spans="1:66">
      <c r="A43" s="4700"/>
      <c r="B43" s="4723"/>
      <c r="C43" s="2324"/>
      <c r="D43" s="4714">
        <v>3.9</v>
      </c>
      <c r="E43" s="4715"/>
      <c r="F43" s="4715"/>
      <c r="G43" s="4715"/>
      <c r="H43" s="4715"/>
      <c r="I43" s="4715"/>
      <c r="J43" s="4715"/>
      <c r="K43" s="4715"/>
      <c r="L43" s="4716"/>
      <c r="M43" s="4717">
        <v>902.3</v>
      </c>
      <c r="N43" s="4718"/>
      <c r="O43" s="4718"/>
      <c r="P43" s="4718"/>
      <c r="Q43" s="4719"/>
      <c r="R43" s="4717">
        <v>32.4</v>
      </c>
      <c r="S43" s="4718"/>
      <c r="T43" s="4718"/>
      <c r="U43" s="4718"/>
      <c r="V43" s="4719"/>
      <c r="W43" s="4714">
        <f>IF(OR(R43="",$BL$24="",'Cons.Ds CD'!$V$25=""),"",R43*$BL$24/'Cons.Ds CD'!$V$28*10)</f>
        <v>6.7929492698909941</v>
      </c>
      <c r="X43" s="4715"/>
      <c r="Y43" s="4715"/>
      <c r="Z43" s="4715"/>
      <c r="AA43" s="4716"/>
      <c r="AB43" s="4717">
        <v>807.5</v>
      </c>
      <c r="AC43" s="4718"/>
      <c r="AD43" s="4718"/>
      <c r="AE43" s="4718"/>
      <c r="AF43" s="4719"/>
      <c r="AG43" s="4720">
        <v>75</v>
      </c>
      <c r="AH43" s="4721"/>
      <c r="AI43" s="4721"/>
      <c r="AJ43" s="4721"/>
      <c r="AK43" s="4722"/>
      <c r="AL43" s="4714">
        <f>IF(OR(AG43="",$BL$24="",'Cons.Ds CD'!$AH$25=""),"",AG43*$BL$24/'Cons.Ds CD'!$AH$28*10)</f>
        <v>15.724419606229155</v>
      </c>
      <c r="AM43" s="4715"/>
      <c r="AN43" s="4715"/>
      <c r="AO43" s="4715"/>
      <c r="AP43" s="4716"/>
      <c r="AQ43" s="4717">
        <v>641</v>
      </c>
      <c r="AR43" s="4718"/>
      <c r="AS43" s="4718"/>
      <c r="AT43" s="4718"/>
      <c r="AU43" s="4719"/>
      <c r="AV43" s="4720">
        <v>125</v>
      </c>
      <c r="AW43" s="4721"/>
      <c r="AX43" s="4721"/>
      <c r="AY43" s="4721"/>
      <c r="AZ43" s="4722"/>
      <c r="BA43" s="4639">
        <f>IF(OR(AV43="",$BL$24="",'Cons.Ds CD'!$AT$25=""),"",AV43*$BL$24/'Cons.Ds CD'!$AT$28*10)</f>
        <v>26.207366010381925</v>
      </c>
      <c r="BB43" s="4640"/>
      <c r="BC43" s="4640"/>
      <c r="BD43" s="4640"/>
      <c r="BE43" s="4641"/>
      <c r="BF43" s="2326"/>
      <c r="BH43" s="2333">
        <f t="shared" si="1"/>
        <v>3.9</v>
      </c>
      <c r="BI43" s="2527">
        <f>IF(W43="","",W43)</f>
        <v>6.7929492698909941</v>
      </c>
      <c r="BJ43" s="2527">
        <f t="shared" si="2"/>
        <v>15.724419606229155</v>
      </c>
      <c r="BK43" s="2526">
        <f t="shared" si="3"/>
        <v>26.207366010381925</v>
      </c>
      <c r="BL43" s="2414"/>
      <c r="BM43" s="2414"/>
      <c r="BN43" s="2414"/>
    </row>
    <row r="44" spans="1:66">
      <c r="A44" s="4700"/>
      <c r="B44" s="4723"/>
      <c r="C44" s="2324"/>
      <c r="D44" s="4714">
        <v>4.2</v>
      </c>
      <c r="E44" s="4715"/>
      <c r="F44" s="4715"/>
      <c r="G44" s="4715"/>
      <c r="H44" s="4715"/>
      <c r="I44" s="4715"/>
      <c r="J44" s="4715"/>
      <c r="K44" s="4715"/>
      <c r="L44" s="4716"/>
      <c r="M44" s="4717">
        <v>903.9</v>
      </c>
      <c r="N44" s="4718"/>
      <c r="O44" s="4718"/>
      <c r="P44" s="4718"/>
      <c r="Q44" s="4719"/>
      <c r="R44" s="4717">
        <v>32.6</v>
      </c>
      <c r="S44" s="4718"/>
      <c r="T44" s="4718"/>
      <c r="U44" s="4718"/>
      <c r="V44" s="4719"/>
      <c r="W44" s="4714">
        <f>IF(OR(R44="",$BL$24="",'Cons.Ds CD'!$V$25=""),"",R44*$BL$24/'Cons.Ds CD'!$V$28*10)</f>
        <v>6.8348810555076067</v>
      </c>
      <c r="X44" s="4715"/>
      <c r="Y44" s="4715"/>
      <c r="Z44" s="4715"/>
      <c r="AA44" s="4716"/>
      <c r="AB44" s="4717">
        <v>807.3</v>
      </c>
      <c r="AC44" s="4718"/>
      <c r="AD44" s="4718"/>
      <c r="AE44" s="4718"/>
      <c r="AF44" s="4719"/>
      <c r="AG44" s="4720">
        <v>77</v>
      </c>
      <c r="AH44" s="4721"/>
      <c r="AI44" s="4721"/>
      <c r="AJ44" s="4721"/>
      <c r="AK44" s="4722"/>
      <c r="AL44" s="4714">
        <f>IF(OR(AG44="",$BL$24="",'Cons.Ds CD'!$AH$25=""),"",AG44*$BL$24/'Cons.Ds CD'!$AH$28*10)</f>
        <v>16.143737462395265</v>
      </c>
      <c r="AM44" s="4715"/>
      <c r="AN44" s="4715"/>
      <c r="AO44" s="4715"/>
      <c r="AP44" s="4716"/>
      <c r="AQ44" s="4717">
        <v>640</v>
      </c>
      <c r="AR44" s="4718"/>
      <c r="AS44" s="4718"/>
      <c r="AT44" s="4718"/>
      <c r="AU44" s="4719"/>
      <c r="AV44" s="4720">
        <v>127</v>
      </c>
      <c r="AW44" s="4721"/>
      <c r="AX44" s="4721"/>
      <c r="AY44" s="4721"/>
      <c r="AZ44" s="4722"/>
      <c r="BA44" s="4639">
        <f>IF(OR(AV44="",$BL$24="",'Cons.Ds CD'!$AT$25=""),"",AV44*$BL$24/'Cons.Ds CD'!$AT$28*10)</f>
        <v>26.626683866548035</v>
      </c>
      <c r="BB44" s="4640"/>
      <c r="BC44" s="4640"/>
      <c r="BD44" s="4640"/>
      <c r="BE44" s="4641"/>
      <c r="BF44" s="2326"/>
      <c r="BH44" s="2333">
        <f t="shared" si="1"/>
        <v>4.2</v>
      </c>
      <c r="BI44" s="2527">
        <f t="shared" ref="BI44:BI57" si="4">IF(W44="","",W44)</f>
        <v>6.8348810555076067</v>
      </c>
      <c r="BJ44" s="2527">
        <f t="shared" si="2"/>
        <v>16.143737462395265</v>
      </c>
      <c r="BK44" s="2526">
        <f t="shared" si="3"/>
        <v>26.626683866548035</v>
      </c>
      <c r="BL44" s="2414"/>
      <c r="BM44" s="2414"/>
      <c r="BN44" s="2414"/>
    </row>
    <row r="45" spans="1:66" ht="15" customHeight="1">
      <c r="A45" s="4700"/>
      <c r="B45" s="4723"/>
      <c r="C45" s="2324"/>
      <c r="D45" s="4714">
        <v>4.5</v>
      </c>
      <c r="E45" s="4715"/>
      <c r="F45" s="4715"/>
      <c r="G45" s="4715"/>
      <c r="H45" s="4715"/>
      <c r="I45" s="4715"/>
      <c r="J45" s="4715"/>
      <c r="K45" s="4715"/>
      <c r="L45" s="4716"/>
      <c r="M45" s="4717">
        <v>904</v>
      </c>
      <c r="N45" s="4718"/>
      <c r="O45" s="4718"/>
      <c r="P45" s="4718"/>
      <c r="Q45" s="4719"/>
      <c r="R45" s="4717">
        <v>32.799999999999997</v>
      </c>
      <c r="S45" s="4718"/>
      <c r="T45" s="4718"/>
      <c r="U45" s="4718"/>
      <c r="V45" s="4719"/>
      <c r="W45" s="4714">
        <f>IF(OR(R45="",$BL$24="",'Cons.Ds CD'!$V$25=""),"",R45*$BL$24/'Cons.Ds CD'!$V$28*10)</f>
        <v>6.8768128411242158</v>
      </c>
      <c r="X45" s="4715"/>
      <c r="Y45" s="4715"/>
      <c r="Z45" s="4715"/>
      <c r="AA45" s="4716"/>
      <c r="AB45" s="4717">
        <v>807.2</v>
      </c>
      <c r="AC45" s="4718"/>
      <c r="AD45" s="4718"/>
      <c r="AE45" s="4718"/>
      <c r="AF45" s="4719"/>
      <c r="AG45" s="4720">
        <v>78</v>
      </c>
      <c r="AH45" s="4721"/>
      <c r="AI45" s="4721"/>
      <c r="AJ45" s="4721"/>
      <c r="AK45" s="4722"/>
      <c r="AL45" s="4714">
        <f>IF(OR(AG45="",$BL$24="",'Cons.Ds CD'!$AH$25=""),"",AG45*$BL$24/'Cons.Ds CD'!$AH$28*10)</f>
        <v>16.35339639047832</v>
      </c>
      <c r="AM45" s="4715"/>
      <c r="AN45" s="4715"/>
      <c r="AO45" s="4715"/>
      <c r="AP45" s="4716"/>
      <c r="AQ45" s="4717">
        <v>639.79999999999995</v>
      </c>
      <c r="AR45" s="4718"/>
      <c r="AS45" s="4718"/>
      <c r="AT45" s="4718"/>
      <c r="AU45" s="4719"/>
      <c r="AV45" s="4720">
        <v>129</v>
      </c>
      <c r="AW45" s="4721"/>
      <c r="AX45" s="4721"/>
      <c r="AY45" s="4721"/>
      <c r="AZ45" s="4722"/>
      <c r="BA45" s="4639">
        <f>IF(OR(AV45="",$BL$24="",'Cons.Ds CD'!$AT$25=""),"",AV45*$BL$24/'Cons.Ds CD'!$AT$28*10)</f>
        <v>27.046001722714145</v>
      </c>
      <c r="BB45" s="4640"/>
      <c r="BC45" s="4640"/>
      <c r="BD45" s="4640"/>
      <c r="BE45" s="4641"/>
      <c r="BF45" s="2326"/>
      <c r="BH45" s="2333">
        <f t="shared" si="1"/>
        <v>4.5</v>
      </c>
      <c r="BI45" s="2527">
        <f t="shared" si="4"/>
        <v>6.8768128411242158</v>
      </c>
      <c r="BJ45" s="2527">
        <f t="shared" si="2"/>
        <v>16.35339639047832</v>
      </c>
      <c r="BK45" s="2526">
        <f t="shared" si="3"/>
        <v>27.046001722714145</v>
      </c>
      <c r="BL45" s="2414"/>
      <c r="BM45" s="2414"/>
      <c r="BN45" s="2414"/>
    </row>
    <row r="46" spans="1:66">
      <c r="A46" s="4700"/>
      <c r="B46" s="4723"/>
      <c r="C46" s="2324"/>
      <c r="D46" s="4714">
        <v>4.8</v>
      </c>
      <c r="E46" s="4715"/>
      <c r="F46" s="4715"/>
      <c r="G46" s="4715"/>
      <c r="H46" s="4715"/>
      <c r="I46" s="4715"/>
      <c r="J46" s="4715"/>
      <c r="K46" s="4715"/>
      <c r="L46" s="4716"/>
      <c r="M46" s="4717">
        <v>906.9</v>
      </c>
      <c r="N46" s="4718"/>
      <c r="O46" s="4718"/>
      <c r="P46" s="4718"/>
      <c r="Q46" s="4719"/>
      <c r="R46" s="4717">
        <v>32.9</v>
      </c>
      <c r="S46" s="4718"/>
      <c r="T46" s="4718"/>
      <c r="U46" s="4718"/>
      <c r="V46" s="4719"/>
      <c r="W46" s="4714">
        <f>IF(OR(R46="",$BL$24="",'Cons.Ds CD'!$V$25=""),"",R46*$BL$24/'Cons.Ds CD'!$V$28*10)</f>
        <v>6.8977787339325225</v>
      </c>
      <c r="X46" s="4715"/>
      <c r="Y46" s="4715"/>
      <c r="Z46" s="4715"/>
      <c r="AA46" s="4716"/>
      <c r="AB46" s="4717">
        <v>807.3</v>
      </c>
      <c r="AC46" s="4718"/>
      <c r="AD46" s="4718"/>
      <c r="AE46" s="4718"/>
      <c r="AF46" s="4719"/>
      <c r="AG46" s="4720">
        <v>78.5</v>
      </c>
      <c r="AH46" s="4721"/>
      <c r="AI46" s="4721"/>
      <c r="AJ46" s="4721"/>
      <c r="AK46" s="4722"/>
      <c r="AL46" s="4714">
        <f>IF(OR(AG46="",$BL$24="",'Cons.Ds CD'!$AH$25=""),"",AG46*$BL$24/'Cons.Ds CD'!$AH$28*10)</f>
        <v>16.458225854519849</v>
      </c>
      <c r="AM46" s="4715"/>
      <c r="AN46" s="4715"/>
      <c r="AO46" s="4715"/>
      <c r="AP46" s="4716"/>
      <c r="AQ46" s="4717">
        <v>639.9</v>
      </c>
      <c r="AR46" s="4718"/>
      <c r="AS46" s="4718"/>
      <c r="AT46" s="4718"/>
      <c r="AU46" s="4719"/>
      <c r="AV46" s="4720">
        <v>131</v>
      </c>
      <c r="AW46" s="4721"/>
      <c r="AX46" s="4721"/>
      <c r="AY46" s="4721"/>
      <c r="AZ46" s="4722"/>
      <c r="BA46" s="4714">
        <f>IF(OR(AV46="",$BL$24="",'Cons.Ds CD'!$AT$25=""),"",AV46*$BL$24/'Cons.Ds CD'!$AT$28*10)</f>
        <v>27.465319578880255</v>
      </c>
      <c r="BB46" s="4715"/>
      <c r="BC46" s="4715"/>
      <c r="BD46" s="4715"/>
      <c r="BE46" s="4716"/>
      <c r="BF46" s="2326"/>
      <c r="BH46" s="2333">
        <f t="shared" si="1"/>
        <v>4.8</v>
      </c>
      <c r="BI46" s="2527">
        <f t="shared" si="4"/>
        <v>6.8977787339325225</v>
      </c>
      <c r="BJ46" s="2527">
        <f t="shared" si="2"/>
        <v>16.458225854519849</v>
      </c>
      <c r="BK46" s="2527">
        <f t="shared" si="3"/>
        <v>27.465319578880255</v>
      </c>
      <c r="BL46" s="2414"/>
      <c r="BM46" s="2414"/>
      <c r="BN46" s="2414"/>
    </row>
    <row r="47" spans="1:66">
      <c r="A47" s="4700"/>
      <c r="B47" s="4723"/>
      <c r="C47" s="2324"/>
      <c r="D47" s="4714">
        <v>5.0999999999999996</v>
      </c>
      <c r="E47" s="4715"/>
      <c r="F47" s="4715"/>
      <c r="G47" s="4715"/>
      <c r="H47" s="4715"/>
      <c r="I47" s="4715"/>
      <c r="J47" s="4715"/>
      <c r="K47" s="4715"/>
      <c r="L47" s="4716"/>
      <c r="M47" s="4717">
        <v>907</v>
      </c>
      <c r="N47" s="4718"/>
      <c r="O47" s="4718"/>
      <c r="P47" s="4718"/>
      <c r="Q47" s="4719"/>
      <c r="R47" s="4717">
        <v>33</v>
      </c>
      <c r="S47" s="4718"/>
      <c r="T47" s="4718"/>
      <c r="U47" s="4718"/>
      <c r="V47" s="4719"/>
      <c r="W47" s="4714">
        <f>IF(OR(R47="",$BL$24="",'Cons.Ds CD'!$V$25=""),"",R47*$BL$24/'Cons.Ds CD'!$V$28*10)</f>
        <v>6.9187446267408284</v>
      </c>
      <c r="X47" s="4715"/>
      <c r="Y47" s="4715"/>
      <c r="Z47" s="4715"/>
      <c r="AA47" s="4716"/>
      <c r="AB47" s="4717">
        <v>807.3</v>
      </c>
      <c r="AC47" s="4718"/>
      <c r="AD47" s="4718"/>
      <c r="AE47" s="4718"/>
      <c r="AF47" s="4719"/>
      <c r="AG47" s="4720">
        <v>79</v>
      </c>
      <c r="AH47" s="4721"/>
      <c r="AI47" s="4721"/>
      <c r="AJ47" s="4721"/>
      <c r="AK47" s="4722"/>
      <c r="AL47" s="4714">
        <f>IF(OR(AG47="",$BL$24="",'Cons.Ds CD'!$AH$25=""),"",AG47*$BL$24/'Cons.Ds CD'!$AH$28*10)</f>
        <v>16.563055318561375</v>
      </c>
      <c r="AM47" s="4715"/>
      <c r="AN47" s="4715"/>
      <c r="AO47" s="4715"/>
      <c r="AP47" s="4716"/>
      <c r="AQ47" s="4717">
        <v>640</v>
      </c>
      <c r="AR47" s="4718"/>
      <c r="AS47" s="4718"/>
      <c r="AT47" s="4718"/>
      <c r="AU47" s="4719"/>
      <c r="AV47" s="4720">
        <v>132</v>
      </c>
      <c r="AW47" s="4721"/>
      <c r="AX47" s="4721"/>
      <c r="AY47" s="4721"/>
      <c r="AZ47" s="4722"/>
      <c r="BA47" s="4714">
        <f>IF(OR(AV47="",$BL$24="",'Cons.Ds CD'!$AT$25=""),"",AV47*$BL$24/'Cons.Ds CD'!$AT$28*10)</f>
        <v>27.674978506963313</v>
      </c>
      <c r="BB47" s="4715"/>
      <c r="BC47" s="4715"/>
      <c r="BD47" s="4715"/>
      <c r="BE47" s="4716"/>
      <c r="BF47" s="2326"/>
      <c r="BH47" s="2333">
        <f t="shared" si="1"/>
        <v>5.0999999999999996</v>
      </c>
      <c r="BI47" s="2527">
        <f t="shared" si="4"/>
        <v>6.9187446267408284</v>
      </c>
      <c r="BJ47" s="2527">
        <f t="shared" si="2"/>
        <v>16.563055318561375</v>
      </c>
      <c r="BK47" s="2527">
        <f t="shared" si="3"/>
        <v>27.674978506963313</v>
      </c>
      <c r="BL47" s="2414"/>
      <c r="BM47" s="2414"/>
      <c r="BN47" s="2414"/>
    </row>
    <row r="48" spans="1:66">
      <c r="A48" s="2307" t="s">
        <v>27</v>
      </c>
      <c r="B48" s="2306" t="s">
        <v>27</v>
      </c>
      <c r="C48" s="2324"/>
      <c r="D48" s="4714">
        <v>5.4</v>
      </c>
      <c r="E48" s="4715"/>
      <c r="F48" s="4715"/>
      <c r="G48" s="4715"/>
      <c r="H48" s="4715"/>
      <c r="I48" s="4715"/>
      <c r="J48" s="4715"/>
      <c r="K48" s="4715"/>
      <c r="L48" s="4716"/>
      <c r="M48" s="4717">
        <v>908</v>
      </c>
      <c r="N48" s="4718"/>
      <c r="O48" s="4718"/>
      <c r="P48" s="4718"/>
      <c r="Q48" s="4719"/>
      <c r="R48" s="4717">
        <v>33</v>
      </c>
      <c r="S48" s="4718"/>
      <c r="T48" s="4718"/>
      <c r="U48" s="4718"/>
      <c r="V48" s="4719"/>
      <c r="W48" s="4714">
        <f>IF(OR(R48="",$BL$24="",'Cons.Ds CD'!$V$25=""),"",R48*$BL$24/'Cons.Ds CD'!$V$28*10)</f>
        <v>6.9187446267408284</v>
      </c>
      <c r="X48" s="4715"/>
      <c r="Y48" s="4715"/>
      <c r="Z48" s="4715"/>
      <c r="AA48" s="4716"/>
      <c r="AB48" s="4717">
        <v>808.1</v>
      </c>
      <c r="AC48" s="4718"/>
      <c r="AD48" s="4718"/>
      <c r="AE48" s="4718"/>
      <c r="AF48" s="4719"/>
      <c r="AG48" s="4720">
        <v>79.2</v>
      </c>
      <c r="AH48" s="4721"/>
      <c r="AI48" s="4721"/>
      <c r="AJ48" s="4721"/>
      <c r="AK48" s="4722"/>
      <c r="AL48" s="4714">
        <f>IF(OR(AG48="",$BL$24="",'Cons.Ds CD'!$AH$25=""),"",AG48*$BL$24/'Cons.Ds CD'!$AH$28*10)</f>
        <v>16.604987104177987</v>
      </c>
      <c r="AM48" s="4715"/>
      <c r="AN48" s="4715"/>
      <c r="AO48" s="4715"/>
      <c r="AP48" s="4716"/>
      <c r="AQ48" s="4717">
        <v>640.70000000000005</v>
      </c>
      <c r="AR48" s="4718"/>
      <c r="AS48" s="4718"/>
      <c r="AT48" s="4718"/>
      <c r="AU48" s="4719"/>
      <c r="AV48" s="4720">
        <v>132.5</v>
      </c>
      <c r="AW48" s="4721"/>
      <c r="AX48" s="4721"/>
      <c r="AY48" s="4721"/>
      <c r="AZ48" s="4722"/>
      <c r="BA48" s="4714">
        <f>IF(OR(AV48="",$BL$24="",'Cons.Ds CD'!$AT$25=""),"",AV48*$BL$24/'Cons.Ds CD'!$AT$28*10)</f>
        <v>27.779807971004843</v>
      </c>
      <c r="BB48" s="4715"/>
      <c r="BC48" s="4715"/>
      <c r="BD48" s="4715"/>
      <c r="BE48" s="4716"/>
      <c r="BF48" s="2326"/>
      <c r="BH48" s="2333">
        <f t="shared" si="1"/>
        <v>5.4</v>
      </c>
      <c r="BI48" s="2527">
        <f t="shared" si="4"/>
        <v>6.9187446267408284</v>
      </c>
      <c r="BJ48" s="2527">
        <f t="shared" si="2"/>
        <v>16.604987104177987</v>
      </c>
      <c r="BK48" s="2527">
        <f t="shared" si="3"/>
        <v>27.779807971004843</v>
      </c>
      <c r="BL48" s="2414"/>
      <c r="BM48" s="2414"/>
      <c r="BN48" s="2414"/>
    </row>
    <row r="49" spans="1:66">
      <c r="A49" s="4708" t="s">
        <v>1110</v>
      </c>
      <c r="B49" s="4701" t="s">
        <v>76</v>
      </c>
      <c r="C49" s="2324"/>
      <c r="D49" s="4714">
        <v>5.7</v>
      </c>
      <c r="E49" s="4715"/>
      <c r="F49" s="4715"/>
      <c r="G49" s="4715"/>
      <c r="H49" s="4715"/>
      <c r="I49" s="4715"/>
      <c r="J49" s="4715"/>
      <c r="K49" s="4715"/>
      <c r="L49" s="4716"/>
      <c r="M49" s="4717">
        <v>909.6</v>
      </c>
      <c r="N49" s="4718"/>
      <c r="O49" s="4718"/>
      <c r="P49" s="4718"/>
      <c r="Q49" s="4719"/>
      <c r="R49" s="4717">
        <v>33</v>
      </c>
      <c r="S49" s="4718"/>
      <c r="T49" s="4718"/>
      <c r="U49" s="4718"/>
      <c r="V49" s="4719"/>
      <c r="W49" s="4714">
        <f>IF(OR(R49="",$BL$24="",'Cons.Ds CD'!$V$25=""),"",R49*$BL$24/'Cons.Ds CD'!$V$28*10)</f>
        <v>6.9187446267408284</v>
      </c>
      <c r="X49" s="4715"/>
      <c r="Y49" s="4715"/>
      <c r="Z49" s="4715"/>
      <c r="AA49" s="4716"/>
      <c r="AB49" s="4717">
        <v>809</v>
      </c>
      <c r="AC49" s="4718"/>
      <c r="AD49" s="4718"/>
      <c r="AE49" s="4718"/>
      <c r="AF49" s="4719"/>
      <c r="AG49" s="4720">
        <v>79.400000000000006</v>
      </c>
      <c r="AH49" s="4721"/>
      <c r="AI49" s="4721"/>
      <c r="AJ49" s="4721"/>
      <c r="AK49" s="4722"/>
      <c r="AL49" s="4714">
        <f>IF(OR(AG49="",$BL$24="",'Cons.Ds CD'!$AH$25=""),"",AG49*$BL$24/'Cons.Ds CD'!$AH$28*10)</f>
        <v>16.646918889794598</v>
      </c>
      <c r="AM49" s="4715"/>
      <c r="AN49" s="4715"/>
      <c r="AO49" s="4715"/>
      <c r="AP49" s="4716"/>
      <c r="AQ49" s="4717">
        <v>641.20000000000005</v>
      </c>
      <c r="AR49" s="4718"/>
      <c r="AS49" s="4718"/>
      <c r="AT49" s="4718"/>
      <c r="AU49" s="4719"/>
      <c r="AV49" s="4720">
        <v>133</v>
      </c>
      <c r="AW49" s="4721"/>
      <c r="AX49" s="4721"/>
      <c r="AY49" s="4721"/>
      <c r="AZ49" s="4722"/>
      <c r="BA49" s="4714">
        <f>IF(OR(AV49="",$BL$24="",'Cons.Ds CD'!$AT$25=""),"",AV49*$BL$24/'Cons.Ds CD'!$AT$28*10)</f>
        <v>27.884637435046365</v>
      </c>
      <c r="BB49" s="4715"/>
      <c r="BC49" s="4715"/>
      <c r="BD49" s="4715"/>
      <c r="BE49" s="4716"/>
      <c r="BF49" s="2326"/>
      <c r="BH49" s="2333">
        <f t="shared" si="1"/>
        <v>5.7</v>
      </c>
      <c r="BI49" s="2527">
        <f t="shared" si="4"/>
        <v>6.9187446267408284</v>
      </c>
      <c r="BJ49" s="2527">
        <f t="shared" si="2"/>
        <v>16.646918889794598</v>
      </c>
      <c r="BK49" s="2527">
        <f t="shared" si="3"/>
        <v>27.884637435046365</v>
      </c>
      <c r="BL49" s="2414"/>
      <c r="BM49" s="2414"/>
      <c r="BN49" s="2414"/>
    </row>
    <row r="50" spans="1:66">
      <c r="A50" s="4708"/>
      <c r="B50" s="4701"/>
      <c r="C50" s="2324"/>
      <c r="D50" s="4714">
        <v>6</v>
      </c>
      <c r="E50" s="4715"/>
      <c r="F50" s="4715"/>
      <c r="G50" s="4715"/>
      <c r="H50" s="4715"/>
      <c r="I50" s="4715"/>
      <c r="J50" s="4715"/>
      <c r="K50" s="4715"/>
      <c r="L50" s="4716"/>
      <c r="M50" s="4717">
        <v>910.8</v>
      </c>
      <c r="N50" s="4718"/>
      <c r="O50" s="4718"/>
      <c r="P50" s="4718"/>
      <c r="Q50" s="4719"/>
      <c r="R50" s="4717">
        <v>33</v>
      </c>
      <c r="S50" s="4718"/>
      <c r="T50" s="4718"/>
      <c r="U50" s="4718"/>
      <c r="V50" s="4719"/>
      <c r="W50" s="4714">
        <f>IF(OR(R50="",$BL$24="",'Cons.Ds CD'!$V$25=""),"",R50*$BL$24/'Cons.Ds CD'!$V$28*10)</f>
        <v>6.9187446267408284</v>
      </c>
      <c r="X50" s="4715"/>
      <c r="Y50" s="4715"/>
      <c r="Z50" s="4715"/>
      <c r="AA50" s="4716"/>
      <c r="AB50" s="4717">
        <v>808.9</v>
      </c>
      <c r="AC50" s="4718"/>
      <c r="AD50" s="4718"/>
      <c r="AE50" s="4718"/>
      <c r="AF50" s="4719"/>
      <c r="AG50" s="4720">
        <v>79.599999999999994</v>
      </c>
      <c r="AH50" s="4721"/>
      <c r="AI50" s="4721"/>
      <c r="AJ50" s="4721"/>
      <c r="AK50" s="4722"/>
      <c r="AL50" s="4714">
        <f>IF(OR(AG50="",$BL$24="",'Cons.Ds CD'!$AH$25=""),"",AG50*$BL$24/'Cons.Ds CD'!$AH$28*10)</f>
        <v>16.688850675411206</v>
      </c>
      <c r="AM50" s="4715"/>
      <c r="AN50" s="4715"/>
      <c r="AO50" s="4715"/>
      <c r="AP50" s="4716"/>
      <c r="AQ50" s="4717">
        <v>642</v>
      </c>
      <c r="AR50" s="4718"/>
      <c r="AS50" s="4718"/>
      <c r="AT50" s="4718"/>
      <c r="AU50" s="4719"/>
      <c r="AV50" s="4720">
        <v>134</v>
      </c>
      <c r="AW50" s="4721"/>
      <c r="AX50" s="4721"/>
      <c r="AY50" s="4721"/>
      <c r="AZ50" s="4722"/>
      <c r="BA50" s="4714">
        <f>IF(OR(AV50="",$BL$24="",'Cons.Ds CD'!$AT$25=""),"",AV50*$BL$24/'Cons.Ds CD'!$AT$28*10)</f>
        <v>28.094296363129423</v>
      </c>
      <c r="BB50" s="4715"/>
      <c r="BC50" s="4715"/>
      <c r="BD50" s="4715"/>
      <c r="BE50" s="4716"/>
      <c r="BF50" s="2326"/>
      <c r="BH50" s="2333">
        <f t="shared" si="1"/>
        <v>6</v>
      </c>
      <c r="BI50" s="2527">
        <f t="shared" si="4"/>
        <v>6.9187446267408284</v>
      </c>
      <c r="BJ50" s="2527">
        <f t="shared" si="2"/>
        <v>16.688850675411206</v>
      </c>
      <c r="BK50" s="2527">
        <f t="shared" si="3"/>
        <v>28.094296363129423</v>
      </c>
      <c r="BL50" s="2414"/>
      <c r="BM50" s="2414"/>
      <c r="BN50" s="2414"/>
    </row>
    <row r="51" spans="1:66">
      <c r="A51" s="4708"/>
      <c r="B51" s="4701"/>
      <c r="C51" s="2324"/>
      <c r="D51" s="4714">
        <v>6.3</v>
      </c>
      <c r="E51" s="4715"/>
      <c r="F51" s="4715"/>
      <c r="G51" s="4715"/>
      <c r="H51" s="4715"/>
      <c r="I51" s="4715"/>
      <c r="J51" s="4715"/>
      <c r="K51" s="4715"/>
      <c r="L51" s="4716"/>
      <c r="M51" s="4717">
        <v>911.9</v>
      </c>
      <c r="N51" s="4718"/>
      <c r="O51" s="4718"/>
      <c r="P51" s="4718"/>
      <c r="Q51" s="4719"/>
      <c r="R51" s="4717">
        <v>33</v>
      </c>
      <c r="S51" s="4718"/>
      <c r="T51" s="4718"/>
      <c r="U51" s="4718"/>
      <c r="V51" s="4719"/>
      <c r="W51" s="4714">
        <f>IF(OR(R51="",$BL$24="",'Cons.Ds CD'!$V$25=""),"",R51*$BL$24/'Cons.Ds CD'!$V$28*10)</f>
        <v>6.9187446267408284</v>
      </c>
      <c r="X51" s="4715"/>
      <c r="Y51" s="4715"/>
      <c r="Z51" s="4715"/>
      <c r="AA51" s="4716"/>
      <c r="AB51" s="4717">
        <v>810.4</v>
      </c>
      <c r="AC51" s="4718"/>
      <c r="AD51" s="4718"/>
      <c r="AE51" s="4718"/>
      <c r="AF51" s="4719"/>
      <c r="AG51" s="4720">
        <v>79.8</v>
      </c>
      <c r="AH51" s="4721"/>
      <c r="AI51" s="4721"/>
      <c r="AJ51" s="4721"/>
      <c r="AK51" s="4722"/>
      <c r="AL51" s="4714">
        <f>IF(OR(AG51="",$BL$24="",'Cons.Ds CD'!$AH$25=""),"",AG51*$BL$24/'Cons.Ds CD'!$AH$28*10)</f>
        <v>16.730782461027822</v>
      </c>
      <c r="AM51" s="4715"/>
      <c r="AN51" s="4715"/>
      <c r="AO51" s="4715"/>
      <c r="AP51" s="4716"/>
      <c r="AQ51" s="4717">
        <v>642.1</v>
      </c>
      <c r="AR51" s="4718"/>
      <c r="AS51" s="4718"/>
      <c r="AT51" s="4718"/>
      <c r="AU51" s="4719"/>
      <c r="AV51" s="4720">
        <v>134.19999999999999</v>
      </c>
      <c r="AW51" s="4721"/>
      <c r="AX51" s="4721"/>
      <c r="AY51" s="4721"/>
      <c r="AZ51" s="4722"/>
      <c r="BA51" s="4714">
        <f>IF(OR(AV51="",$BL$24="",'Cons.Ds CD'!$AT$25=""),"",AV51*$BL$24/'Cons.Ds CD'!$AT$28*10)</f>
        <v>28.136228148746035</v>
      </c>
      <c r="BB51" s="4715"/>
      <c r="BC51" s="4715"/>
      <c r="BD51" s="4715"/>
      <c r="BE51" s="4716"/>
      <c r="BF51" s="2326"/>
      <c r="BH51" s="2333">
        <f t="shared" si="1"/>
        <v>6.3</v>
      </c>
      <c r="BI51" s="2527">
        <f t="shared" si="4"/>
        <v>6.9187446267408284</v>
      </c>
      <c r="BJ51" s="2527">
        <f t="shared" si="2"/>
        <v>16.730782461027822</v>
      </c>
      <c r="BK51" s="2527">
        <f t="shared" si="3"/>
        <v>28.136228148746035</v>
      </c>
      <c r="BL51" s="2414"/>
      <c r="BM51" s="2414"/>
      <c r="BN51" s="2414"/>
    </row>
    <row r="52" spans="1:66">
      <c r="A52" s="4708"/>
      <c r="B52" s="4701"/>
      <c r="C52" s="2324"/>
      <c r="D52" s="4714">
        <v>6.6</v>
      </c>
      <c r="E52" s="4715"/>
      <c r="F52" s="4715"/>
      <c r="G52" s="4715"/>
      <c r="H52" s="4715"/>
      <c r="I52" s="4715"/>
      <c r="J52" s="4715"/>
      <c r="K52" s="4715"/>
      <c r="L52" s="4716"/>
      <c r="M52" s="4717">
        <v>913</v>
      </c>
      <c r="N52" s="4718"/>
      <c r="O52" s="4718"/>
      <c r="P52" s="4718"/>
      <c r="Q52" s="4719"/>
      <c r="R52" s="4717">
        <v>33</v>
      </c>
      <c r="S52" s="4718"/>
      <c r="T52" s="4718"/>
      <c r="U52" s="4718"/>
      <c r="V52" s="4719"/>
      <c r="W52" s="4714">
        <f>IF(OR(R52="",$BL$24="",'Cons.Ds CD'!$V$25=""),"",R52*$BL$24/'Cons.Ds CD'!$V$28*10)</f>
        <v>6.9187446267408284</v>
      </c>
      <c r="X52" s="4715"/>
      <c r="Y52" s="4715"/>
      <c r="Z52" s="4715"/>
      <c r="AA52" s="4716"/>
      <c r="AB52" s="4717">
        <v>811.1</v>
      </c>
      <c r="AC52" s="4718"/>
      <c r="AD52" s="4718"/>
      <c r="AE52" s="4718"/>
      <c r="AF52" s="4719"/>
      <c r="AG52" s="4720">
        <v>80</v>
      </c>
      <c r="AH52" s="4721"/>
      <c r="AI52" s="4721"/>
      <c r="AJ52" s="4721"/>
      <c r="AK52" s="4722"/>
      <c r="AL52" s="4714">
        <f>IF(OR(AG52="",$BL$24="",'Cons.Ds CD'!$AH$25=""),"",AG52*$BL$24/'Cons.Ds CD'!$AH$28*10)</f>
        <v>16.77271424664443</v>
      </c>
      <c r="AM52" s="4715"/>
      <c r="AN52" s="4715"/>
      <c r="AO52" s="4715"/>
      <c r="AP52" s="4716"/>
      <c r="AQ52" s="4717">
        <v>642.79999999999995</v>
      </c>
      <c r="AR52" s="4718"/>
      <c r="AS52" s="4718"/>
      <c r="AT52" s="4718"/>
      <c r="AU52" s="4719"/>
      <c r="AV52" s="4720">
        <v>134.4</v>
      </c>
      <c r="AW52" s="4721"/>
      <c r="AX52" s="4721"/>
      <c r="AY52" s="4721"/>
      <c r="AZ52" s="4722"/>
      <c r="BA52" s="4714">
        <f>IF(OR(AV52="",$BL$24="",'Cons.Ds CD'!$AT$25=""),"",AV52*$BL$24/'Cons.Ds CD'!$AT$28*10)</f>
        <v>28.178159934362647</v>
      </c>
      <c r="BB52" s="4715"/>
      <c r="BC52" s="4715"/>
      <c r="BD52" s="4715"/>
      <c r="BE52" s="4716"/>
      <c r="BF52" s="2326"/>
      <c r="BH52" s="2333">
        <f t="shared" si="1"/>
        <v>6.6</v>
      </c>
      <c r="BI52" s="2527">
        <f t="shared" si="4"/>
        <v>6.9187446267408284</v>
      </c>
      <c r="BJ52" s="2527">
        <f t="shared" si="2"/>
        <v>16.77271424664443</v>
      </c>
      <c r="BK52" s="2527">
        <f t="shared" si="3"/>
        <v>28.178159934362647</v>
      </c>
      <c r="BL52" s="2414"/>
      <c r="BM52" s="2414"/>
      <c r="BN52" s="2414"/>
    </row>
    <row r="53" spans="1:66">
      <c r="A53" s="2323"/>
      <c r="B53" s="2324"/>
      <c r="C53" s="2324"/>
      <c r="D53" s="4714">
        <v>6.9</v>
      </c>
      <c r="E53" s="4715"/>
      <c r="F53" s="4715"/>
      <c r="G53" s="4715"/>
      <c r="H53" s="4715"/>
      <c r="I53" s="4715"/>
      <c r="J53" s="4715"/>
      <c r="K53" s="4715"/>
      <c r="L53" s="4716"/>
      <c r="M53" s="4717">
        <v>913.9</v>
      </c>
      <c r="N53" s="4718"/>
      <c r="O53" s="4718"/>
      <c r="P53" s="4718"/>
      <c r="Q53" s="4719"/>
      <c r="R53" s="4717">
        <v>33</v>
      </c>
      <c r="S53" s="4718"/>
      <c r="T53" s="4718"/>
      <c r="U53" s="4718"/>
      <c r="V53" s="4719"/>
      <c r="W53" s="4714">
        <f>IF(OR(R53="",$BL$24="",'Cons.Ds CD'!$V$25=""),"",R53*$BL$24/'Cons.Ds CD'!$V$28*10)</f>
        <v>6.9187446267408284</v>
      </c>
      <c r="X53" s="4715"/>
      <c r="Y53" s="4715"/>
      <c r="Z53" s="4715"/>
      <c r="AA53" s="4716"/>
      <c r="AB53" s="4717">
        <v>809.9</v>
      </c>
      <c r="AC53" s="4718"/>
      <c r="AD53" s="4718"/>
      <c r="AE53" s="4718"/>
      <c r="AF53" s="4719"/>
      <c r="AG53" s="4720">
        <v>80</v>
      </c>
      <c r="AH53" s="4721"/>
      <c r="AI53" s="4721"/>
      <c r="AJ53" s="4721"/>
      <c r="AK53" s="4722"/>
      <c r="AL53" s="4714">
        <f>IF(OR(AG53="",$BL$24="",'Cons.Ds CD'!$AH$25=""),"",AG53*$BL$24/'Cons.Ds CD'!$AH$28*10)</f>
        <v>16.77271424664443</v>
      </c>
      <c r="AM53" s="4715"/>
      <c r="AN53" s="4715"/>
      <c r="AO53" s="4715"/>
      <c r="AP53" s="4716"/>
      <c r="AQ53" s="4717">
        <v>643</v>
      </c>
      <c r="AR53" s="4718"/>
      <c r="AS53" s="4718"/>
      <c r="AT53" s="4718"/>
      <c r="AU53" s="4719"/>
      <c r="AV53" s="4720">
        <v>134.6</v>
      </c>
      <c r="AW53" s="4721"/>
      <c r="AX53" s="4721"/>
      <c r="AY53" s="4721"/>
      <c r="AZ53" s="4722"/>
      <c r="BA53" s="4714">
        <f>IF(OR(AV53="",$BL$24="",'Cons.Ds CD'!$AT$25=""),"",AV53*$BL$24/'Cons.Ds CD'!$AT$28*10)</f>
        <v>28.220091719979258</v>
      </c>
      <c r="BB53" s="4715"/>
      <c r="BC53" s="4715"/>
      <c r="BD53" s="4715"/>
      <c r="BE53" s="4716"/>
      <c r="BF53" s="2326"/>
      <c r="BH53" s="2333">
        <f t="shared" si="1"/>
        <v>6.9</v>
      </c>
      <c r="BI53" s="2527">
        <f t="shared" si="4"/>
        <v>6.9187446267408284</v>
      </c>
      <c r="BJ53" s="2527">
        <f t="shared" si="2"/>
        <v>16.77271424664443</v>
      </c>
      <c r="BK53" s="2527">
        <f t="shared" si="3"/>
        <v>28.220091719979258</v>
      </c>
      <c r="BL53" s="2414"/>
      <c r="BM53" s="2414"/>
      <c r="BN53" s="2414"/>
    </row>
    <row r="54" spans="1:66">
      <c r="A54" s="2323"/>
      <c r="B54" s="2324"/>
      <c r="C54" s="2324"/>
      <c r="D54" s="4714">
        <v>7.2</v>
      </c>
      <c r="E54" s="4715"/>
      <c r="F54" s="4715"/>
      <c r="G54" s="4715"/>
      <c r="H54" s="4715"/>
      <c r="I54" s="4715"/>
      <c r="J54" s="4715"/>
      <c r="K54" s="4715"/>
      <c r="L54" s="4716"/>
      <c r="M54" s="4717">
        <v>914.3</v>
      </c>
      <c r="N54" s="4718"/>
      <c r="O54" s="4718"/>
      <c r="P54" s="4718"/>
      <c r="Q54" s="4719"/>
      <c r="R54" s="4717">
        <v>33</v>
      </c>
      <c r="S54" s="4718"/>
      <c r="T54" s="4718"/>
      <c r="U54" s="4718"/>
      <c r="V54" s="4719"/>
      <c r="W54" s="4714">
        <f>IF(OR(R54="",$BL$24="",'Cons.Ds CD'!$V$25=""),"",R54*$BL$24/'Cons.Ds CD'!$V$28*10)</f>
        <v>6.9187446267408284</v>
      </c>
      <c r="X54" s="4715"/>
      <c r="Y54" s="4715"/>
      <c r="Z54" s="4715"/>
      <c r="AA54" s="4716"/>
      <c r="AB54" s="4717">
        <v>810.6</v>
      </c>
      <c r="AC54" s="4718"/>
      <c r="AD54" s="4718"/>
      <c r="AE54" s="4718"/>
      <c r="AF54" s="4719"/>
      <c r="AG54" s="4720">
        <v>80</v>
      </c>
      <c r="AH54" s="4721"/>
      <c r="AI54" s="4721"/>
      <c r="AJ54" s="4721"/>
      <c r="AK54" s="4722"/>
      <c r="AL54" s="4714">
        <f>IF(OR(AG54="",$BL$24="",'Cons.Ds CD'!$AH$25=""),"",AG54*$BL$24/'Cons.Ds CD'!$AH$28*10)</f>
        <v>16.77271424664443</v>
      </c>
      <c r="AM54" s="4715"/>
      <c r="AN54" s="4715"/>
      <c r="AO54" s="4715"/>
      <c r="AP54" s="4716"/>
      <c r="AQ54" s="4717">
        <v>643</v>
      </c>
      <c r="AR54" s="4718"/>
      <c r="AS54" s="4718"/>
      <c r="AT54" s="4718"/>
      <c r="AU54" s="4719"/>
      <c r="AV54" s="4720">
        <v>134.80000000000001</v>
      </c>
      <c r="AW54" s="4721"/>
      <c r="AX54" s="4721"/>
      <c r="AY54" s="4721"/>
      <c r="AZ54" s="4722"/>
      <c r="BA54" s="4714">
        <f>IF(OR(AV54="",$BL$24="",'Cons.Ds CD'!$AT$25=""),"",AV54*$BL$24/'Cons.Ds CD'!$AT$28*10)</f>
        <v>28.262023505595867</v>
      </c>
      <c r="BB54" s="4715"/>
      <c r="BC54" s="4715"/>
      <c r="BD54" s="4715"/>
      <c r="BE54" s="4716"/>
      <c r="BF54" s="2326"/>
      <c r="BH54" s="2333">
        <f t="shared" si="1"/>
        <v>7.2</v>
      </c>
      <c r="BI54" s="2527">
        <f t="shared" si="4"/>
        <v>6.9187446267408284</v>
      </c>
      <c r="BJ54" s="2527">
        <f t="shared" si="2"/>
        <v>16.77271424664443</v>
      </c>
      <c r="BK54" s="2527">
        <f t="shared" si="3"/>
        <v>28.262023505595867</v>
      </c>
      <c r="BL54" s="2414"/>
      <c r="BM54" s="2414"/>
      <c r="BN54" s="2414"/>
    </row>
    <row r="55" spans="1:66">
      <c r="A55" s="2323"/>
      <c r="B55" s="2324"/>
      <c r="C55" s="2324"/>
      <c r="D55" s="4714">
        <v>7.5</v>
      </c>
      <c r="E55" s="4715"/>
      <c r="F55" s="4715"/>
      <c r="G55" s="4715"/>
      <c r="H55" s="4715"/>
      <c r="I55" s="4715"/>
      <c r="J55" s="4715"/>
      <c r="K55" s="4715"/>
      <c r="L55" s="4716"/>
      <c r="M55" s="4717">
        <v>914.7</v>
      </c>
      <c r="N55" s="4718"/>
      <c r="O55" s="4718"/>
      <c r="P55" s="4718"/>
      <c r="Q55" s="4719"/>
      <c r="R55" s="4717">
        <v>33</v>
      </c>
      <c r="S55" s="4718"/>
      <c r="T55" s="4718"/>
      <c r="U55" s="4718"/>
      <c r="V55" s="4719"/>
      <c r="W55" s="4714">
        <f>IF(OR(R55="",$BL$24="",'Cons.Ds CD'!$V$25=""),"",R55*$BL$24/'Cons.Ds CD'!$V$28*10)</f>
        <v>6.9187446267408284</v>
      </c>
      <c r="X55" s="4715"/>
      <c r="Y55" s="4715"/>
      <c r="Z55" s="4715"/>
      <c r="AA55" s="4716"/>
      <c r="AB55" s="4717">
        <v>811.9</v>
      </c>
      <c r="AC55" s="4718"/>
      <c r="AD55" s="4718"/>
      <c r="AE55" s="4718"/>
      <c r="AF55" s="4719"/>
      <c r="AG55" s="4720">
        <v>80</v>
      </c>
      <c r="AH55" s="4721"/>
      <c r="AI55" s="4721"/>
      <c r="AJ55" s="4721"/>
      <c r="AK55" s="4722"/>
      <c r="AL55" s="4714">
        <f>IF(OR(AG55="",$BL$24="",'Cons.Ds CD'!$AH$25=""),"",AG55*$BL$24/'Cons.Ds CD'!$AH$28*10)</f>
        <v>16.77271424664443</v>
      </c>
      <c r="AM55" s="4715"/>
      <c r="AN55" s="4715"/>
      <c r="AO55" s="4715"/>
      <c r="AP55" s="4716"/>
      <c r="AQ55" s="4717">
        <v>643</v>
      </c>
      <c r="AR55" s="4718"/>
      <c r="AS55" s="4718"/>
      <c r="AT55" s="4718"/>
      <c r="AU55" s="4719"/>
      <c r="AV55" s="4720">
        <v>134.9</v>
      </c>
      <c r="AW55" s="4721"/>
      <c r="AX55" s="4721"/>
      <c r="AY55" s="4721"/>
      <c r="AZ55" s="4722"/>
      <c r="BA55" s="4714">
        <f>IF(OR(AV55="",$BL$24="",'Cons.Ds CD'!$AT$25=""),"",AV55*$BL$24/'Cons.Ds CD'!$AT$28*10)</f>
        <v>28.282989398404172</v>
      </c>
      <c r="BB55" s="4715"/>
      <c r="BC55" s="4715"/>
      <c r="BD55" s="4715"/>
      <c r="BE55" s="4716"/>
      <c r="BF55" s="2326"/>
      <c r="BH55" s="2333">
        <f t="shared" si="1"/>
        <v>7.5</v>
      </c>
      <c r="BI55" s="2527">
        <f t="shared" si="4"/>
        <v>6.9187446267408284</v>
      </c>
      <c r="BJ55" s="2527">
        <f t="shared" si="2"/>
        <v>16.77271424664443</v>
      </c>
      <c r="BK55" s="2527">
        <f t="shared" si="3"/>
        <v>28.282989398404172</v>
      </c>
      <c r="BL55" s="2414"/>
      <c r="BM55" s="2414"/>
      <c r="BN55" s="2414"/>
    </row>
    <row r="56" spans="1:66">
      <c r="A56" s="2323"/>
      <c r="B56" s="2324"/>
      <c r="C56" s="2324"/>
      <c r="D56" s="4714">
        <v>7.8</v>
      </c>
      <c r="E56" s="4715"/>
      <c r="F56" s="4715"/>
      <c r="G56" s="4715"/>
      <c r="H56" s="4715"/>
      <c r="I56" s="4715"/>
      <c r="J56" s="4715"/>
      <c r="K56" s="4715"/>
      <c r="L56" s="4716"/>
      <c r="M56" s="4717">
        <v>914.9</v>
      </c>
      <c r="N56" s="4718"/>
      <c r="O56" s="4718"/>
      <c r="P56" s="4718"/>
      <c r="Q56" s="4719"/>
      <c r="R56" s="4717">
        <v>33</v>
      </c>
      <c r="S56" s="4718"/>
      <c r="T56" s="4718"/>
      <c r="U56" s="4718"/>
      <c r="V56" s="4719"/>
      <c r="W56" s="4714">
        <f>IF(OR(R56="",$BL$24="",'Cons.Ds CD'!$V$25=""),"",R56*$BL$24/'Cons.Ds CD'!$V$28*10)</f>
        <v>6.9187446267408284</v>
      </c>
      <c r="X56" s="4715"/>
      <c r="Y56" s="4715"/>
      <c r="Z56" s="4715"/>
      <c r="AA56" s="4716"/>
      <c r="AB56" s="4717">
        <v>812.2</v>
      </c>
      <c r="AC56" s="4718"/>
      <c r="AD56" s="4718"/>
      <c r="AE56" s="4718"/>
      <c r="AF56" s="4719"/>
      <c r="AG56" s="4720">
        <v>80</v>
      </c>
      <c r="AH56" s="4721"/>
      <c r="AI56" s="4721"/>
      <c r="AJ56" s="4721"/>
      <c r="AK56" s="4722"/>
      <c r="AL56" s="4714">
        <f>IF(OR(AG56="",$BL$24="",'Cons.Ds CD'!$AH$25=""),"",AG56*$BL$24/'Cons.Ds CD'!$AH$28*10)</f>
        <v>16.77271424664443</v>
      </c>
      <c r="AM56" s="4715"/>
      <c r="AN56" s="4715"/>
      <c r="AO56" s="4715"/>
      <c r="AP56" s="4716"/>
      <c r="AQ56" s="4717">
        <v>643</v>
      </c>
      <c r="AR56" s="4718"/>
      <c r="AS56" s="4718"/>
      <c r="AT56" s="4718"/>
      <c r="AU56" s="4719"/>
      <c r="AV56" s="4720">
        <v>135</v>
      </c>
      <c r="AW56" s="4721"/>
      <c r="AX56" s="4721"/>
      <c r="AY56" s="4721"/>
      <c r="AZ56" s="4722"/>
      <c r="BA56" s="4714">
        <f>IF(OR(AV56="",$BL$24="",'Cons.Ds CD'!$AT$25=""),"",AV56*$BL$24/'Cons.Ds CD'!$AT$28*10)</f>
        <v>28.303955291212475</v>
      </c>
      <c r="BB56" s="4715"/>
      <c r="BC56" s="4715"/>
      <c r="BD56" s="4715"/>
      <c r="BE56" s="4716"/>
      <c r="BF56" s="2326"/>
      <c r="BH56" s="2333">
        <f t="shared" si="1"/>
        <v>7.8</v>
      </c>
      <c r="BI56" s="2527">
        <f t="shared" si="4"/>
        <v>6.9187446267408284</v>
      </c>
      <c r="BJ56" s="2527">
        <f t="shared" si="2"/>
        <v>16.77271424664443</v>
      </c>
      <c r="BK56" s="2527">
        <f t="shared" si="3"/>
        <v>28.303955291212475</v>
      </c>
      <c r="BL56" s="2414"/>
      <c r="BM56" s="2414"/>
      <c r="BN56" s="2414"/>
    </row>
    <row r="57" spans="1:66">
      <c r="A57" s="2323"/>
      <c r="B57" s="2324"/>
      <c r="C57" s="2324"/>
      <c r="D57" s="4714">
        <v>8.1</v>
      </c>
      <c r="E57" s="4715"/>
      <c r="F57" s="4715"/>
      <c r="G57" s="4715"/>
      <c r="H57" s="4715"/>
      <c r="I57" s="4715"/>
      <c r="J57" s="4715"/>
      <c r="K57" s="4715"/>
      <c r="L57" s="4716"/>
      <c r="M57" s="4717">
        <v>915</v>
      </c>
      <c r="N57" s="4718"/>
      <c r="O57" s="4718"/>
      <c r="P57" s="4718"/>
      <c r="Q57" s="4719"/>
      <c r="R57" s="4717">
        <v>33</v>
      </c>
      <c r="S57" s="4718"/>
      <c r="T57" s="4718"/>
      <c r="U57" s="4718"/>
      <c r="V57" s="4719"/>
      <c r="W57" s="4714">
        <f>IF(OR(R57="",$BL$24="",'Cons.Ds CD'!$V$25=""),"",R57*$BL$24/'Cons.Ds CD'!$V$28*10)</f>
        <v>6.9187446267408284</v>
      </c>
      <c r="X57" s="4715"/>
      <c r="Y57" s="4715"/>
      <c r="Z57" s="4715"/>
      <c r="AA57" s="4716"/>
      <c r="AB57" s="4717">
        <v>813</v>
      </c>
      <c r="AC57" s="4718"/>
      <c r="AD57" s="4718"/>
      <c r="AE57" s="4718"/>
      <c r="AF57" s="4719"/>
      <c r="AG57" s="4720">
        <v>80</v>
      </c>
      <c r="AH57" s="4721"/>
      <c r="AI57" s="4721"/>
      <c r="AJ57" s="4721"/>
      <c r="AK57" s="4722"/>
      <c r="AL57" s="4714">
        <f>IF(OR(AG57="",$BL$24="",'Cons.Ds CD'!$AH$25=""),"",AG57*$BL$24/'Cons.Ds CD'!$AH$28*10)</f>
        <v>16.77271424664443</v>
      </c>
      <c r="AM57" s="4715"/>
      <c r="AN57" s="4715"/>
      <c r="AO57" s="4715"/>
      <c r="AP57" s="4716"/>
      <c r="AQ57" s="4717">
        <v>643</v>
      </c>
      <c r="AR57" s="4718"/>
      <c r="AS57" s="4718"/>
      <c r="AT57" s="4718"/>
      <c r="AU57" s="4719"/>
      <c r="AV57" s="4720">
        <v>135</v>
      </c>
      <c r="AW57" s="4721"/>
      <c r="AX57" s="4721"/>
      <c r="AY57" s="4721"/>
      <c r="AZ57" s="4722"/>
      <c r="BA57" s="4714">
        <f>IF(OR(AV57="",$BL$24="",'Cons.Ds CD'!$AT$25=""),"",AV57*$BL$24/'Cons.Ds CD'!$AT$28*10)</f>
        <v>28.303955291212475</v>
      </c>
      <c r="BB57" s="4715"/>
      <c r="BC57" s="4715"/>
      <c r="BD57" s="4715"/>
      <c r="BE57" s="4716"/>
      <c r="BF57" s="2326"/>
      <c r="BH57" s="2333">
        <f t="shared" si="1"/>
        <v>8.1</v>
      </c>
      <c r="BI57" s="2527">
        <f t="shared" si="4"/>
        <v>6.9187446267408284</v>
      </c>
      <c r="BJ57" s="2527">
        <f t="shared" si="2"/>
        <v>16.77271424664443</v>
      </c>
      <c r="BK57" s="2527">
        <f t="shared" si="3"/>
        <v>28.303955291212475</v>
      </c>
      <c r="BL57" s="2414"/>
      <c r="BM57" s="2414"/>
      <c r="BN57" s="2414"/>
    </row>
    <row r="58" spans="1:66">
      <c r="A58" s="2323"/>
      <c r="B58" s="2324"/>
      <c r="C58" s="2324"/>
      <c r="D58" s="4651">
        <v>8.4</v>
      </c>
      <c r="E58" s="4652"/>
      <c r="F58" s="4652"/>
      <c r="G58" s="4652"/>
      <c r="H58" s="4652"/>
      <c r="I58" s="4652"/>
      <c r="J58" s="4652"/>
      <c r="K58" s="4652"/>
      <c r="L58" s="4653"/>
      <c r="M58" s="4724">
        <v>915.1</v>
      </c>
      <c r="N58" s="4725"/>
      <c r="O58" s="4725"/>
      <c r="P58" s="4725"/>
      <c r="Q58" s="4726"/>
      <c r="R58" s="4717">
        <v>50</v>
      </c>
      <c r="S58" s="4718"/>
      <c r="T58" s="4718"/>
      <c r="U58" s="4718"/>
      <c r="V58" s="4719"/>
      <c r="W58" s="4651">
        <f>IF(OR(R58="",$BL$24="",'Cons.Ds CD'!$V$25=""),"",R58*$BL$24/'Cons.Ds CD'!$V$28*10)</f>
        <v>10.482946404152768</v>
      </c>
      <c r="X58" s="4652"/>
      <c r="Y58" s="4652"/>
      <c r="Z58" s="4652"/>
      <c r="AA58" s="4653"/>
      <c r="AB58" s="4724">
        <v>813.2</v>
      </c>
      <c r="AC58" s="4725"/>
      <c r="AD58" s="4725"/>
      <c r="AE58" s="4725"/>
      <c r="AF58" s="4726"/>
      <c r="AG58" s="4720">
        <v>80</v>
      </c>
      <c r="AH58" s="4721"/>
      <c r="AI58" s="4721"/>
      <c r="AJ58" s="4721"/>
      <c r="AK58" s="4722"/>
      <c r="AL58" s="4651">
        <f>IF(OR(AG58="",$BL$24="",'Cons.Ds CD'!$AH$25=""),"",AG58*$BL$24/'Cons.Ds CD'!$AH$28*10)</f>
        <v>16.77271424664443</v>
      </c>
      <c r="AM58" s="4652"/>
      <c r="AN58" s="4652"/>
      <c r="AO58" s="4652"/>
      <c r="AP58" s="4653"/>
      <c r="AQ58" s="4724">
        <v>643</v>
      </c>
      <c r="AR58" s="4725"/>
      <c r="AS58" s="4725"/>
      <c r="AT58" s="4725"/>
      <c r="AU58" s="4726"/>
      <c r="AV58" s="4727">
        <v>135</v>
      </c>
      <c r="AW58" s="4728"/>
      <c r="AX58" s="4728"/>
      <c r="AY58" s="4728"/>
      <c r="AZ58" s="4729"/>
      <c r="BA58" s="4651">
        <f>IF(OR(AV58="",$BL$24="",'Cons.Ds CD'!$AT$25=""),"",AV58*$BL$24/'Cons.Ds CD'!$AT$28*10)</f>
        <v>28.303955291212475</v>
      </c>
      <c r="BB58" s="4652"/>
      <c r="BC58" s="4652"/>
      <c r="BD58" s="4652"/>
      <c r="BE58" s="4653"/>
      <c r="BF58" s="2326"/>
      <c r="BH58" s="2357">
        <f t="shared" si="1"/>
        <v>8.4</v>
      </c>
      <c r="BI58" s="2528">
        <f>W58</f>
        <v>10.482946404152768</v>
      </c>
      <c r="BJ58" s="2528">
        <f t="shared" si="2"/>
        <v>16.77271424664443</v>
      </c>
      <c r="BK58" s="2528">
        <f t="shared" si="3"/>
        <v>28.303955291212475</v>
      </c>
      <c r="BL58" s="2414"/>
      <c r="BM58" s="2414"/>
      <c r="BN58" s="2414"/>
    </row>
    <row r="59" spans="1:66">
      <c r="A59" s="2323"/>
      <c r="B59" s="2324"/>
      <c r="C59" s="2324"/>
      <c r="D59" s="2324"/>
      <c r="E59" s="2324"/>
      <c r="F59" s="2324"/>
      <c r="G59" s="2324"/>
      <c r="H59" s="2324"/>
      <c r="I59" s="2324"/>
      <c r="J59" s="2324"/>
      <c r="K59" s="2324"/>
      <c r="L59" s="2324"/>
      <c r="M59" s="2324"/>
      <c r="N59" s="2324"/>
      <c r="O59" s="2324"/>
      <c r="P59" s="2324"/>
      <c r="Q59" s="2324"/>
      <c r="R59" s="2324"/>
      <c r="S59" s="2324"/>
      <c r="T59" s="2324"/>
      <c r="U59" s="2324"/>
      <c r="V59" s="2324"/>
      <c r="W59" s="2324"/>
      <c r="X59" s="2324"/>
      <c r="Y59" s="2324"/>
      <c r="Z59" s="2324"/>
      <c r="AA59" s="2324"/>
      <c r="AB59" s="2324"/>
      <c r="AC59" s="2324"/>
      <c r="AD59" s="2324"/>
      <c r="AE59" s="2324"/>
      <c r="AF59" s="2324"/>
      <c r="AG59" s="2324"/>
      <c r="AH59" s="2324"/>
      <c r="AI59" s="2324"/>
      <c r="AJ59" s="2324"/>
      <c r="AK59" s="2324"/>
      <c r="AL59" s="2324"/>
      <c r="AM59" s="2324"/>
      <c r="AN59" s="2324"/>
      <c r="AO59" s="2324"/>
      <c r="AP59" s="2324"/>
      <c r="AQ59" s="2324"/>
      <c r="AR59" s="2324"/>
      <c r="AS59" s="2324"/>
      <c r="AT59" s="2324"/>
      <c r="AU59" s="2324"/>
      <c r="AV59" s="2324"/>
      <c r="AW59" s="2324"/>
      <c r="AX59" s="2324"/>
      <c r="AY59" s="2324"/>
      <c r="AZ59" s="2324"/>
      <c r="BA59" s="2324"/>
      <c r="BB59" s="2324"/>
      <c r="BC59" s="2324"/>
      <c r="BD59" s="2324"/>
      <c r="BE59" s="2324"/>
      <c r="BF59" s="2326"/>
      <c r="BJ59" s="2361"/>
    </row>
    <row r="60" spans="1:66">
      <c r="A60" s="2323"/>
      <c r="B60" s="2324"/>
      <c r="C60" s="2324"/>
      <c r="D60" s="2324"/>
      <c r="E60" s="2324"/>
      <c r="F60" s="2324"/>
      <c r="G60" s="2324"/>
      <c r="H60" s="2324"/>
      <c r="I60" s="2324"/>
      <c r="J60" s="2324"/>
      <c r="K60" s="2324"/>
      <c r="L60" s="2324"/>
      <c r="M60" s="2324"/>
      <c r="N60" s="2324"/>
      <c r="O60" s="2324"/>
      <c r="P60" s="2324"/>
      <c r="Q60" s="2324"/>
      <c r="R60" s="2324"/>
      <c r="S60" s="2324"/>
      <c r="T60" s="2324"/>
      <c r="U60" s="2324"/>
      <c r="V60" s="2324"/>
      <c r="W60" s="2324"/>
      <c r="X60" s="2324"/>
      <c r="Y60" s="2324"/>
      <c r="Z60" s="2324"/>
      <c r="AA60" s="2324"/>
      <c r="AB60" s="2324"/>
      <c r="AC60" s="2324"/>
      <c r="AD60" s="2324"/>
      <c r="AE60" s="2324"/>
      <c r="AF60" s="2324"/>
      <c r="AG60" s="2324"/>
      <c r="AH60" s="2324"/>
      <c r="AI60" s="2324"/>
      <c r="AJ60" s="2324"/>
      <c r="AK60" s="2324"/>
      <c r="AL60" s="2324"/>
      <c r="AM60" s="2324"/>
      <c r="AN60" s="2324"/>
      <c r="AO60" s="2324"/>
      <c r="AP60" s="2324"/>
      <c r="AQ60" s="2324"/>
      <c r="AR60" s="2324"/>
      <c r="AS60" s="2324"/>
      <c r="AT60" s="2324"/>
      <c r="AU60" s="2324"/>
      <c r="AV60" s="2324"/>
      <c r="AW60" s="2324"/>
      <c r="AX60" s="2324"/>
      <c r="AY60" s="2324"/>
      <c r="AZ60" s="2324"/>
      <c r="BA60" s="2324"/>
      <c r="BB60" s="2324"/>
      <c r="BC60" s="2324"/>
      <c r="BD60" s="2324"/>
      <c r="BE60" s="2324"/>
      <c r="BF60" s="2326"/>
    </row>
    <row r="61" spans="1:66">
      <c r="A61" s="2323"/>
      <c r="B61" s="2324"/>
      <c r="C61" s="2324"/>
      <c r="D61" s="2324"/>
      <c r="E61" s="2324"/>
      <c r="F61" s="2324"/>
      <c r="G61" s="2324"/>
      <c r="H61" s="2324"/>
      <c r="I61" s="2324"/>
      <c r="J61" s="2324"/>
      <c r="K61" s="2324"/>
      <c r="L61" s="2324"/>
      <c r="M61" s="2324"/>
      <c r="N61" s="2324"/>
      <c r="O61" s="2324"/>
      <c r="P61" s="2324"/>
      <c r="Q61" s="2324"/>
      <c r="R61" s="2324"/>
      <c r="S61" s="2324"/>
      <c r="T61" s="2324"/>
      <c r="U61" s="2324"/>
      <c r="V61" s="2324"/>
      <c r="W61" s="2324"/>
      <c r="X61" s="2324"/>
      <c r="Y61" s="2324"/>
      <c r="Z61" s="2324"/>
      <c r="AA61" s="2324"/>
      <c r="AB61" s="2324"/>
      <c r="AC61" s="2324"/>
      <c r="AD61" s="2324"/>
      <c r="AE61" s="2324"/>
      <c r="AF61" s="2324"/>
      <c r="AG61" s="2324"/>
      <c r="AH61" s="2324"/>
      <c r="AI61" s="2324"/>
      <c r="AJ61" s="2324"/>
      <c r="AK61" s="2324"/>
      <c r="AL61" s="2324"/>
      <c r="AM61" s="2324"/>
      <c r="AN61" s="2324"/>
      <c r="AO61" s="2324"/>
      <c r="AP61" s="2324"/>
      <c r="AQ61" s="2324"/>
      <c r="AR61" s="2324"/>
      <c r="AS61" s="2324"/>
      <c r="AT61" s="2324"/>
      <c r="AU61" s="2324"/>
      <c r="AV61" s="2324"/>
      <c r="AW61" s="2324"/>
      <c r="AX61" s="2324"/>
      <c r="AY61" s="2324"/>
      <c r="AZ61" s="2324"/>
      <c r="BA61" s="2324"/>
      <c r="BB61" s="2324"/>
      <c r="BC61" s="2324"/>
      <c r="BD61" s="2324"/>
      <c r="BE61" s="2324"/>
      <c r="BF61" s="2326"/>
    </row>
    <row r="62" spans="1:66">
      <c r="A62" s="2370"/>
      <c r="B62" s="2371"/>
      <c r="C62" s="2371"/>
      <c r="D62" s="2371"/>
      <c r="E62" s="2371"/>
      <c r="F62" s="2371"/>
      <c r="G62" s="2371"/>
      <c r="H62" s="2371"/>
      <c r="I62" s="2371"/>
      <c r="J62" s="2371"/>
      <c r="K62" s="2371"/>
      <c r="L62" s="2371"/>
      <c r="M62" s="2371"/>
      <c r="N62" s="2371"/>
      <c r="O62" s="2371"/>
      <c r="P62" s="2371"/>
      <c r="Q62" s="2371"/>
      <c r="R62" s="2371"/>
      <c r="S62" s="2371"/>
      <c r="T62" s="2371"/>
      <c r="U62" s="2371"/>
      <c r="V62" s="2371"/>
      <c r="W62" s="2371"/>
      <c r="X62" s="2371"/>
      <c r="Y62" s="2371"/>
      <c r="Z62" s="2371"/>
      <c r="AA62" s="2371"/>
      <c r="AB62" s="2371"/>
      <c r="AC62" s="2371"/>
      <c r="AD62" s="2371"/>
      <c r="AE62" s="2371"/>
      <c r="AF62" s="2371"/>
      <c r="AG62" s="2371"/>
      <c r="AH62" s="2371"/>
      <c r="AI62" s="2371"/>
      <c r="AJ62" s="2371"/>
      <c r="AK62" s="2371"/>
      <c r="AL62" s="2371"/>
      <c r="AM62" s="2371"/>
      <c r="AN62" s="2371"/>
      <c r="AO62" s="2371"/>
      <c r="AP62" s="2371"/>
      <c r="AQ62" s="2371"/>
      <c r="AR62" s="2371"/>
      <c r="AS62" s="2371"/>
      <c r="AT62" s="2371"/>
      <c r="AU62" s="2371"/>
      <c r="AV62" s="2371"/>
      <c r="AW62" s="2371"/>
      <c r="AX62" s="2371"/>
      <c r="AY62" s="2371"/>
      <c r="AZ62" s="2371"/>
      <c r="BA62" s="2371"/>
      <c r="BB62" s="2371"/>
      <c r="BC62" s="2371"/>
      <c r="BD62" s="2371"/>
      <c r="BE62" s="2371"/>
      <c r="BF62" s="2372"/>
    </row>
  </sheetData>
  <mergeCells count="348">
    <mergeCell ref="BA58:BE58"/>
    <mergeCell ref="BA57:BE57"/>
    <mergeCell ref="D58:L58"/>
    <mergeCell ref="M58:Q58"/>
    <mergeCell ref="R58:V58"/>
    <mergeCell ref="W58:AA58"/>
    <mergeCell ref="AB58:AF58"/>
    <mergeCell ref="AG58:AK58"/>
    <mergeCell ref="AL58:AP58"/>
    <mergeCell ref="AQ58:AU58"/>
    <mergeCell ref="AV58:AZ58"/>
    <mergeCell ref="BA56:BE56"/>
    <mergeCell ref="D57:L57"/>
    <mergeCell ref="M57:Q57"/>
    <mergeCell ref="R57:V57"/>
    <mergeCell ref="W57:AA57"/>
    <mergeCell ref="AB57:AF57"/>
    <mergeCell ref="AG57:AK57"/>
    <mergeCell ref="AL57:AP57"/>
    <mergeCell ref="AQ57:AU57"/>
    <mergeCell ref="AV57:AZ57"/>
    <mergeCell ref="D56:L56"/>
    <mergeCell ref="M56:Q56"/>
    <mergeCell ref="R56:V56"/>
    <mergeCell ref="W56:AA56"/>
    <mergeCell ref="AB56:AF56"/>
    <mergeCell ref="AG56:AK56"/>
    <mergeCell ref="AL56:AP56"/>
    <mergeCell ref="AQ56:AU56"/>
    <mergeCell ref="AV56:AZ56"/>
    <mergeCell ref="BA54:BE54"/>
    <mergeCell ref="D55:L55"/>
    <mergeCell ref="M55:Q55"/>
    <mergeCell ref="R55:V55"/>
    <mergeCell ref="W55:AA55"/>
    <mergeCell ref="AB55:AF55"/>
    <mergeCell ref="AG55:AK55"/>
    <mergeCell ref="AL55:AP55"/>
    <mergeCell ref="AQ55:AU55"/>
    <mergeCell ref="AV55:AZ55"/>
    <mergeCell ref="BA55:BE55"/>
    <mergeCell ref="D54:L54"/>
    <mergeCell ref="M54:Q54"/>
    <mergeCell ref="R54:V54"/>
    <mergeCell ref="W54:AA54"/>
    <mergeCell ref="AB54:AF54"/>
    <mergeCell ref="AG54:AK54"/>
    <mergeCell ref="AL54:AP54"/>
    <mergeCell ref="AQ54:AU54"/>
    <mergeCell ref="AV54:AZ54"/>
    <mergeCell ref="BA52:BE52"/>
    <mergeCell ref="D53:L53"/>
    <mergeCell ref="M53:Q53"/>
    <mergeCell ref="R53:V53"/>
    <mergeCell ref="W53:AA53"/>
    <mergeCell ref="AB53:AF53"/>
    <mergeCell ref="AG53:AK53"/>
    <mergeCell ref="AL53:AP53"/>
    <mergeCell ref="AQ53:AU53"/>
    <mergeCell ref="AV53:AZ53"/>
    <mergeCell ref="BA53:BE53"/>
    <mergeCell ref="D52:L52"/>
    <mergeCell ref="M52:Q52"/>
    <mergeCell ref="R52:V52"/>
    <mergeCell ref="W52:AA52"/>
    <mergeCell ref="AB52:AF52"/>
    <mergeCell ref="AG52:AK52"/>
    <mergeCell ref="AL52:AP52"/>
    <mergeCell ref="AQ52:AU52"/>
    <mergeCell ref="AV52:AZ52"/>
    <mergeCell ref="M51:Q51"/>
    <mergeCell ref="R51:V51"/>
    <mergeCell ref="W51:AA51"/>
    <mergeCell ref="AB51:AF51"/>
    <mergeCell ref="AG51:AK51"/>
    <mergeCell ref="AL51:AP51"/>
    <mergeCell ref="AQ51:AU51"/>
    <mergeCell ref="AV51:AZ51"/>
    <mergeCell ref="BA51:BE51"/>
    <mergeCell ref="BA48:BE48"/>
    <mergeCell ref="A49:A52"/>
    <mergeCell ref="B49:B52"/>
    <mergeCell ref="D49:L49"/>
    <mergeCell ref="M49:Q49"/>
    <mergeCell ref="R49:V49"/>
    <mergeCell ref="BA49:BE49"/>
    <mergeCell ref="D50:L50"/>
    <mergeCell ref="M50:Q50"/>
    <mergeCell ref="R50:V50"/>
    <mergeCell ref="W50:AA50"/>
    <mergeCell ref="AB50:AF50"/>
    <mergeCell ref="AG50:AK50"/>
    <mergeCell ref="AL50:AP50"/>
    <mergeCell ref="AQ50:AU50"/>
    <mergeCell ref="AV50:AZ50"/>
    <mergeCell ref="W49:AA49"/>
    <mergeCell ref="AB49:AF49"/>
    <mergeCell ref="AG49:AK49"/>
    <mergeCell ref="AL49:AP49"/>
    <mergeCell ref="AQ49:AU49"/>
    <mergeCell ref="AV49:AZ49"/>
    <mergeCell ref="BA50:BE50"/>
    <mergeCell ref="D51:L51"/>
    <mergeCell ref="D48:L48"/>
    <mergeCell ref="M48:Q48"/>
    <mergeCell ref="R48:V48"/>
    <mergeCell ref="W48:AA48"/>
    <mergeCell ref="AB48:AF48"/>
    <mergeCell ref="AG48:AK48"/>
    <mergeCell ref="AL48:AP48"/>
    <mergeCell ref="AQ48:AU48"/>
    <mergeCell ref="AV48:AZ48"/>
    <mergeCell ref="BA46:BE46"/>
    <mergeCell ref="D47:L47"/>
    <mergeCell ref="M47:Q47"/>
    <mergeCell ref="R47:V47"/>
    <mergeCell ref="W47:AA47"/>
    <mergeCell ref="AB47:AF47"/>
    <mergeCell ref="AG47:AK47"/>
    <mergeCell ref="AL47:AP47"/>
    <mergeCell ref="AQ47:AU47"/>
    <mergeCell ref="AV47:AZ47"/>
    <mergeCell ref="BA47:BE47"/>
    <mergeCell ref="D46:L46"/>
    <mergeCell ref="M46:Q46"/>
    <mergeCell ref="R46:V46"/>
    <mergeCell ref="W46:AA46"/>
    <mergeCell ref="AB46:AF46"/>
    <mergeCell ref="AG46:AK46"/>
    <mergeCell ref="AL46:AP46"/>
    <mergeCell ref="AQ46:AU46"/>
    <mergeCell ref="AV46:AZ46"/>
    <mergeCell ref="BA44:BE44"/>
    <mergeCell ref="D45:L45"/>
    <mergeCell ref="M45:Q45"/>
    <mergeCell ref="R45:V45"/>
    <mergeCell ref="W45:AA45"/>
    <mergeCell ref="AB45:AF45"/>
    <mergeCell ref="AG45:AK45"/>
    <mergeCell ref="AL45:AP45"/>
    <mergeCell ref="AQ45:AU45"/>
    <mergeCell ref="AV45:AZ45"/>
    <mergeCell ref="BA45:BE45"/>
    <mergeCell ref="D44:L44"/>
    <mergeCell ref="M44:Q44"/>
    <mergeCell ref="R44:V44"/>
    <mergeCell ref="W44:AA44"/>
    <mergeCell ref="AB44:AF44"/>
    <mergeCell ref="AG44:AK44"/>
    <mergeCell ref="AL44:AP44"/>
    <mergeCell ref="AQ44:AU44"/>
    <mergeCell ref="AV44:AZ44"/>
    <mergeCell ref="BA42:BE42"/>
    <mergeCell ref="D43:L43"/>
    <mergeCell ref="M43:Q43"/>
    <mergeCell ref="R43:V43"/>
    <mergeCell ref="W43:AA43"/>
    <mergeCell ref="AB43:AF43"/>
    <mergeCell ref="AG43:AK43"/>
    <mergeCell ref="AL43:AP43"/>
    <mergeCell ref="AQ43:AU43"/>
    <mergeCell ref="AV43:AZ43"/>
    <mergeCell ref="BA43:BE43"/>
    <mergeCell ref="D42:L42"/>
    <mergeCell ref="M42:Q42"/>
    <mergeCell ref="R42:V42"/>
    <mergeCell ref="W42:AA42"/>
    <mergeCell ref="AB42:AF42"/>
    <mergeCell ref="AG42:AK42"/>
    <mergeCell ref="AL42:AP42"/>
    <mergeCell ref="AQ42:AU42"/>
    <mergeCell ref="AV42:AZ42"/>
    <mergeCell ref="M41:Q41"/>
    <mergeCell ref="R41:V41"/>
    <mergeCell ref="W41:AA41"/>
    <mergeCell ref="AB41:AF41"/>
    <mergeCell ref="AG41:AK41"/>
    <mergeCell ref="AL41:AP41"/>
    <mergeCell ref="AQ41:AU41"/>
    <mergeCell ref="AV41:AZ41"/>
    <mergeCell ref="BA41:BE41"/>
    <mergeCell ref="AQ39:AU39"/>
    <mergeCell ref="AV39:AZ39"/>
    <mergeCell ref="BA39:BE39"/>
    <mergeCell ref="D40:L40"/>
    <mergeCell ref="M40:Q40"/>
    <mergeCell ref="R40:V40"/>
    <mergeCell ref="W40:AA40"/>
    <mergeCell ref="AB40:AF40"/>
    <mergeCell ref="AG40:AK40"/>
    <mergeCell ref="AL40:AP40"/>
    <mergeCell ref="AQ40:AU40"/>
    <mergeCell ref="AV40:AZ40"/>
    <mergeCell ref="BA40:BE40"/>
    <mergeCell ref="AQ37:AU37"/>
    <mergeCell ref="AV37:AZ37"/>
    <mergeCell ref="BA37:BE37"/>
    <mergeCell ref="D38:L38"/>
    <mergeCell ref="M38:Q38"/>
    <mergeCell ref="R38:V38"/>
    <mergeCell ref="W38:AA38"/>
    <mergeCell ref="AB38:AF38"/>
    <mergeCell ref="AG38:AK38"/>
    <mergeCell ref="AL38:AP38"/>
    <mergeCell ref="AQ38:AU38"/>
    <mergeCell ref="AV38:AZ38"/>
    <mergeCell ref="BA38:BE38"/>
    <mergeCell ref="AQ35:AU35"/>
    <mergeCell ref="AV35:AZ35"/>
    <mergeCell ref="BA35:BE35"/>
    <mergeCell ref="D36:L36"/>
    <mergeCell ref="M36:Q36"/>
    <mergeCell ref="R36:V36"/>
    <mergeCell ref="W36:AA36"/>
    <mergeCell ref="AB36:AF36"/>
    <mergeCell ref="AG36:AK36"/>
    <mergeCell ref="AL36:AP36"/>
    <mergeCell ref="AQ36:AU36"/>
    <mergeCell ref="AV36:AZ36"/>
    <mergeCell ref="BA36:BE36"/>
    <mergeCell ref="A35:A47"/>
    <mergeCell ref="B35:B47"/>
    <mergeCell ref="D35:L35"/>
    <mergeCell ref="M35:Q35"/>
    <mergeCell ref="R35:V35"/>
    <mergeCell ref="W35:AA35"/>
    <mergeCell ref="AB35:AF35"/>
    <mergeCell ref="AG35:AK35"/>
    <mergeCell ref="AL35:AP35"/>
    <mergeCell ref="D37:L37"/>
    <mergeCell ref="M37:Q37"/>
    <mergeCell ref="R37:V37"/>
    <mergeCell ref="W37:AA37"/>
    <mergeCell ref="AB37:AF37"/>
    <mergeCell ref="AG37:AK37"/>
    <mergeCell ref="AL37:AP37"/>
    <mergeCell ref="D39:L39"/>
    <mergeCell ref="M39:Q39"/>
    <mergeCell ref="R39:V39"/>
    <mergeCell ref="W39:AA39"/>
    <mergeCell ref="AB39:AF39"/>
    <mergeCell ref="AG39:AK39"/>
    <mergeCell ref="AL39:AP39"/>
    <mergeCell ref="D41:L41"/>
    <mergeCell ref="BA33:BE33"/>
    <mergeCell ref="D34:L34"/>
    <mergeCell ref="M34:Q34"/>
    <mergeCell ref="R34:V34"/>
    <mergeCell ref="W34:AA34"/>
    <mergeCell ref="AB34:AF34"/>
    <mergeCell ref="AG34:AK34"/>
    <mergeCell ref="AL34:AP34"/>
    <mergeCell ref="AQ34:AU34"/>
    <mergeCell ref="AV34:AZ34"/>
    <mergeCell ref="BA34:BE34"/>
    <mergeCell ref="D33:L33"/>
    <mergeCell ref="M33:Q33"/>
    <mergeCell ref="R33:V33"/>
    <mergeCell ref="W33:AA33"/>
    <mergeCell ref="AB33:AF33"/>
    <mergeCell ref="AG33:AK33"/>
    <mergeCell ref="AL33:AP33"/>
    <mergeCell ref="AQ33:AU33"/>
    <mergeCell ref="AV33:AZ33"/>
    <mergeCell ref="M32:Q32"/>
    <mergeCell ref="R32:V32"/>
    <mergeCell ref="W32:AA32"/>
    <mergeCell ref="AB32:AF32"/>
    <mergeCell ref="AG32:AK32"/>
    <mergeCell ref="AL32:AP32"/>
    <mergeCell ref="AQ32:AU32"/>
    <mergeCell ref="AV32:AZ32"/>
    <mergeCell ref="BA32:BE32"/>
    <mergeCell ref="BA29:BE29"/>
    <mergeCell ref="A30:A33"/>
    <mergeCell ref="B30:B33"/>
    <mergeCell ref="D30:L30"/>
    <mergeCell ref="M30:Q30"/>
    <mergeCell ref="R30:V30"/>
    <mergeCell ref="W30:AA30"/>
    <mergeCell ref="AB30:AF30"/>
    <mergeCell ref="AG30:AK30"/>
    <mergeCell ref="AL30:AP30"/>
    <mergeCell ref="AQ30:AU30"/>
    <mergeCell ref="AV30:AZ30"/>
    <mergeCell ref="BA30:BE30"/>
    <mergeCell ref="D31:L31"/>
    <mergeCell ref="M31:Q31"/>
    <mergeCell ref="R31:V31"/>
    <mergeCell ref="W31:AA31"/>
    <mergeCell ref="AB31:AF31"/>
    <mergeCell ref="AG31:AK31"/>
    <mergeCell ref="AL31:AP31"/>
    <mergeCell ref="AQ31:AU31"/>
    <mergeCell ref="AV31:AZ31"/>
    <mergeCell ref="BA31:BE31"/>
    <mergeCell ref="D32:L32"/>
    <mergeCell ref="BK27:BK28"/>
    <mergeCell ref="D29:L29"/>
    <mergeCell ref="M29:Q29"/>
    <mergeCell ref="R29:V29"/>
    <mergeCell ref="W29:AA29"/>
    <mergeCell ref="AB29:AF29"/>
    <mergeCell ref="AG29:AK29"/>
    <mergeCell ref="AL29:AP29"/>
    <mergeCell ref="AQ29:AU29"/>
    <mergeCell ref="AV29:AZ29"/>
    <mergeCell ref="AL27:AP28"/>
    <mergeCell ref="AQ27:AU28"/>
    <mergeCell ref="AV27:AZ28"/>
    <mergeCell ref="BA27:BE28"/>
    <mergeCell ref="BI27:BI28"/>
    <mergeCell ref="BJ27:BJ28"/>
    <mergeCell ref="D26:L28"/>
    <mergeCell ref="M26:AA26"/>
    <mergeCell ref="AB26:AP26"/>
    <mergeCell ref="AQ26:BE26"/>
    <mergeCell ref="BH26:BH27"/>
    <mergeCell ref="M27:Q28"/>
    <mergeCell ref="R27:V28"/>
    <mergeCell ref="W27:AA28"/>
    <mergeCell ref="AB27:AF28"/>
    <mergeCell ref="AG27:AK28"/>
    <mergeCell ref="Q22:U22"/>
    <mergeCell ref="V22:AG22"/>
    <mergeCell ref="AH22:AS22"/>
    <mergeCell ref="AT22:BE22"/>
    <mergeCell ref="A23:A24"/>
    <mergeCell ref="B23:B24"/>
    <mergeCell ref="Q23:U23"/>
    <mergeCell ref="V23:AG23"/>
    <mergeCell ref="AH23:AS23"/>
    <mergeCell ref="AT23:BE23"/>
    <mergeCell ref="Q20:U20"/>
    <mergeCell ref="V20:AG20"/>
    <mergeCell ref="AH20:AS20"/>
    <mergeCell ref="AT20:BE20"/>
    <mergeCell ref="Q21:U21"/>
    <mergeCell ref="V21:AG21"/>
    <mergeCell ref="AH21:AS21"/>
    <mergeCell ref="AT21:BE21"/>
    <mergeCell ref="AV7:BA7"/>
    <mergeCell ref="AV8:BA8"/>
    <mergeCell ref="D11:BE11"/>
    <mergeCell ref="D12:BE12"/>
    <mergeCell ref="V19:AG19"/>
    <mergeCell ref="AH19:AS19"/>
    <mergeCell ref="AT19:BE19"/>
  </mergeCells>
  <printOptions horizontalCentered="1" verticalCentered="1"/>
  <pageMargins left="0.3" right="0.3" top="0.3" bottom="0.3" header="0.2" footer="0.25"/>
  <pageSetup paperSize="9" scale="82" orientation="portrait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72640-6857-4CFF-BE55-9C5AD0EE6CFD}">
  <sheetPr>
    <tabColor theme="9"/>
  </sheetPr>
  <dimension ref="A1:CB75"/>
  <sheetViews>
    <sheetView showGridLines="0" topLeftCell="BG3" zoomScale="115" zoomScaleNormal="115" zoomScaleSheetLayoutView="130" workbookViewId="0">
      <selection activeCell="BH18" sqref="BH18"/>
    </sheetView>
  </sheetViews>
  <sheetFormatPr defaultColWidth="8" defaultRowHeight="13.5"/>
  <cols>
    <col min="1" max="3" width="2.625" style="2324" hidden="1" customWidth="1"/>
    <col min="4" max="57" width="1.5" style="2324" hidden="1" customWidth="1"/>
    <col min="58" max="58" width="6.75" style="2324" hidden="1" customWidth="1"/>
    <col min="59" max="59" width="2.375" style="2324" customWidth="1"/>
    <col min="60" max="60" width="8" style="2324"/>
    <col min="61" max="61" width="9.625" style="2324" customWidth="1"/>
    <col min="62" max="62" width="9.375" style="2324" customWidth="1"/>
    <col min="63" max="63" width="9.125" style="2324" customWidth="1"/>
    <col min="64" max="16384" width="8" style="2324"/>
  </cols>
  <sheetData>
    <row r="1" spans="1:80">
      <c r="A1" s="2323"/>
      <c r="BF1" s="2326"/>
    </row>
    <row r="2" spans="1:80">
      <c r="A2" s="2323"/>
      <c r="BF2" s="2326"/>
    </row>
    <row r="3" spans="1:80">
      <c r="A3" s="2323"/>
      <c r="D3" s="4632" t="s">
        <v>1188</v>
      </c>
      <c r="E3" s="4632"/>
      <c r="F3" s="4632"/>
      <c r="G3" s="4632"/>
      <c r="H3" s="4632"/>
      <c r="I3" s="4632"/>
      <c r="J3" s="4632"/>
      <c r="K3" s="4632"/>
      <c r="L3" s="4632"/>
      <c r="M3" s="4632"/>
      <c r="N3" s="4632"/>
      <c r="O3" s="4632"/>
      <c r="P3" s="4632"/>
      <c r="Q3" s="4632"/>
      <c r="R3" s="4632"/>
      <c r="S3" s="4632"/>
      <c r="T3" s="4632"/>
      <c r="U3" s="4632"/>
      <c r="V3" s="4632"/>
      <c r="W3" s="4632"/>
      <c r="X3" s="4632"/>
      <c r="Y3" s="4632"/>
      <c r="Z3" s="4632"/>
      <c r="AA3" s="4632"/>
      <c r="AB3" s="4632"/>
      <c r="AC3" s="4632"/>
      <c r="AD3" s="4632"/>
      <c r="AE3" s="4632"/>
      <c r="AF3" s="4632"/>
      <c r="AG3" s="4632"/>
      <c r="AH3" s="4632"/>
      <c r="AI3" s="4632"/>
      <c r="AJ3" s="4632"/>
      <c r="AK3" s="4632"/>
      <c r="AL3" s="4632"/>
      <c r="AM3" s="4632"/>
      <c r="AN3" s="4632"/>
      <c r="AO3" s="4632"/>
      <c r="AP3" s="4632"/>
      <c r="AQ3" s="4632"/>
      <c r="AR3" s="4632"/>
      <c r="AS3" s="4632"/>
      <c r="AT3" s="4632"/>
      <c r="AU3" s="4632"/>
      <c r="AV3" s="4632"/>
      <c r="AW3" s="4632"/>
      <c r="AX3" s="4632"/>
      <c r="AY3" s="4632"/>
      <c r="AZ3" s="4632"/>
      <c r="BA3" s="4632"/>
      <c r="BB3" s="4632"/>
      <c r="BC3" s="4632"/>
      <c r="BD3" s="4632"/>
      <c r="BE3" s="4632"/>
      <c r="BF3" s="2326"/>
    </row>
    <row r="4" spans="1:80">
      <c r="A4" s="2323"/>
      <c r="D4" s="4633" t="s">
        <v>1102</v>
      </c>
      <c r="E4" s="4633"/>
      <c r="F4" s="4633"/>
      <c r="G4" s="4633"/>
      <c r="H4" s="4633"/>
      <c r="I4" s="4633"/>
      <c r="J4" s="4633"/>
      <c r="K4" s="4633"/>
      <c r="L4" s="4633"/>
      <c r="M4" s="4633"/>
      <c r="N4" s="4633"/>
      <c r="O4" s="4633"/>
      <c r="P4" s="4633"/>
      <c r="Q4" s="4633"/>
      <c r="R4" s="4633"/>
      <c r="S4" s="4633"/>
      <c r="T4" s="4633"/>
      <c r="U4" s="4633"/>
      <c r="V4" s="4633"/>
      <c r="W4" s="4633"/>
      <c r="X4" s="4633"/>
      <c r="Y4" s="4633"/>
      <c r="Z4" s="4633"/>
      <c r="AA4" s="4633"/>
      <c r="AB4" s="4633"/>
      <c r="AC4" s="4633"/>
      <c r="AD4" s="4633"/>
      <c r="AE4" s="4633"/>
      <c r="AF4" s="4633"/>
      <c r="AG4" s="4633"/>
      <c r="AH4" s="4633"/>
      <c r="AI4" s="4633"/>
      <c r="AJ4" s="4633"/>
      <c r="AK4" s="4633"/>
      <c r="AL4" s="4633"/>
      <c r="AM4" s="4633"/>
      <c r="AN4" s="4633"/>
      <c r="AO4" s="4633"/>
      <c r="AP4" s="4633"/>
      <c r="AQ4" s="4633"/>
      <c r="AR4" s="4633"/>
      <c r="AS4" s="4633"/>
      <c r="AT4" s="4633"/>
      <c r="AU4" s="4633"/>
      <c r="AV4" s="4633"/>
      <c r="AW4" s="4633"/>
      <c r="AX4" s="4633"/>
      <c r="AY4" s="4633"/>
      <c r="AZ4" s="4633"/>
      <c r="BA4" s="4633"/>
      <c r="BB4" s="4633"/>
      <c r="BC4" s="4633"/>
      <c r="BD4" s="4633"/>
      <c r="BE4" s="4633"/>
      <c r="BF4" s="2326"/>
    </row>
    <row r="5" spans="1:80">
      <c r="A5" s="2323"/>
      <c r="BF5" s="2326"/>
      <c r="BH5" s="2386" t="s">
        <v>1189</v>
      </c>
    </row>
    <row r="6" spans="1:80">
      <c r="A6" s="2323"/>
      <c r="O6" s="4730"/>
      <c r="P6" s="4730"/>
      <c r="Q6" s="4730"/>
      <c r="R6" s="4730"/>
      <c r="S6" s="4730"/>
      <c r="BF6" s="2326"/>
    </row>
    <row r="7" spans="1:80">
      <c r="A7" s="2323"/>
      <c r="BF7" s="2326"/>
      <c r="BH7" s="2322" t="s">
        <v>16</v>
      </c>
      <c r="BI7" s="2322" t="s">
        <v>1186</v>
      </c>
    </row>
    <row r="8" spans="1:80">
      <c r="A8" s="2323"/>
      <c r="D8" s="2319"/>
      <c r="E8" s="2320"/>
      <c r="F8" s="2320"/>
      <c r="G8" s="2320"/>
      <c r="H8" s="2320"/>
      <c r="I8" s="2320"/>
      <c r="J8" s="2320"/>
      <c r="K8" s="2320"/>
      <c r="L8" s="2320"/>
      <c r="M8" s="2320"/>
      <c r="N8" s="2320"/>
      <c r="O8" s="2320"/>
      <c r="P8" s="2320"/>
      <c r="Q8" s="2320"/>
      <c r="R8" s="2387"/>
      <c r="S8" s="2387"/>
      <c r="T8" s="2387"/>
      <c r="U8" s="2387"/>
      <c r="V8" s="2320"/>
      <c r="W8" s="2320"/>
      <c r="X8" s="2320"/>
      <c r="Y8" s="2320"/>
      <c r="Z8" s="2320"/>
      <c r="AA8" s="2320"/>
      <c r="AB8" s="2320"/>
      <c r="AC8" s="2320"/>
      <c r="AD8" s="2320"/>
      <c r="AE8" s="2320"/>
      <c r="AF8" s="2320"/>
      <c r="AG8" s="2320"/>
      <c r="AH8" s="2320"/>
      <c r="AI8" s="2320"/>
      <c r="AJ8" s="2320"/>
      <c r="AK8" s="2320"/>
      <c r="AL8" s="2320"/>
      <c r="AM8" s="2320"/>
      <c r="AN8" s="2320"/>
      <c r="AO8" s="2320"/>
      <c r="AP8" s="2320"/>
      <c r="AQ8" s="2320"/>
      <c r="AR8" s="2320"/>
      <c r="AS8" s="2320"/>
      <c r="AT8" s="2320"/>
      <c r="AU8" s="2320"/>
      <c r="AV8" s="2320"/>
      <c r="AW8" s="2320"/>
      <c r="AX8" s="2320"/>
      <c r="AY8" s="2320"/>
      <c r="AZ8" s="2320"/>
      <c r="BA8" s="2320"/>
      <c r="BB8" s="2320"/>
      <c r="BC8" s="2320"/>
      <c r="BD8" s="2320"/>
      <c r="BE8" s="2321"/>
      <c r="BF8" s="2326"/>
      <c r="BH8" s="2327" t="s">
        <v>1190</v>
      </c>
      <c r="BI8" s="2327" t="s">
        <v>583</v>
      </c>
    </row>
    <row r="9" spans="1:80" ht="15" customHeight="1">
      <c r="A9" s="2323"/>
      <c r="D9" s="2323"/>
      <c r="AB9" s="2388"/>
      <c r="AC9" s="2388"/>
      <c r="AD9" s="2388"/>
      <c r="AE9" s="2388"/>
      <c r="AF9" s="2388"/>
      <c r="AG9" s="2388"/>
      <c r="AH9" s="2388"/>
      <c r="AI9" s="2388"/>
      <c r="AJ9" s="2388"/>
      <c r="AK9" s="2388"/>
      <c r="AL9" s="2388"/>
      <c r="AM9" s="2388"/>
      <c r="AN9" s="2388"/>
      <c r="AO9" s="2388"/>
      <c r="AP9" s="2388"/>
      <c r="AQ9" s="2388"/>
      <c r="AR9" s="2388"/>
      <c r="AS9" s="2388"/>
      <c r="AT9" s="2388"/>
      <c r="AU9" s="2388"/>
      <c r="AV9" s="2388"/>
      <c r="AW9" s="2388"/>
      <c r="AX9" s="2388"/>
      <c r="AY9" s="2388"/>
      <c r="AZ9" s="2388"/>
      <c r="BA9" s="2388"/>
      <c r="BB9" s="2388"/>
      <c r="BC9" s="2388"/>
      <c r="BD9" s="2388"/>
      <c r="BE9" s="2389"/>
      <c r="BF9" s="2326"/>
      <c r="BH9" s="2390">
        <f>'Cons.Ds CD'!D45</f>
        <v>0</v>
      </c>
      <c r="BI9" s="2330">
        <f>IF('Cons.Ds CD'!P45="","",'Cons.Ds CD'!P45)</f>
        <v>24.900000000000002</v>
      </c>
      <c r="CB9" s="2324" t="s">
        <v>55</v>
      </c>
    </row>
    <row r="10" spans="1:80">
      <c r="A10" s="2307" t="s">
        <v>27</v>
      </c>
      <c r="B10" s="2306" t="s">
        <v>27</v>
      </c>
      <c r="D10" s="2323"/>
      <c r="R10" s="2362"/>
      <c r="S10" s="2362"/>
      <c r="T10" s="2362"/>
      <c r="U10" s="2362"/>
      <c r="AB10" s="2391"/>
      <c r="AC10" s="2391"/>
      <c r="AD10" s="2391"/>
      <c r="AE10" s="2391"/>
      <c r="AF10" s="2391"/>
      <c r="AG10" s="2391"/>
      <c r="AH10" s="2391"/>
      <c r="AI10" s="2391"/>
      <c r="AJ10" s="2391"/>
      <c r="AK10" s="2391"/>
      <c r="AL10" s="2391"/>
      <c r="AM10" s="2391"/>
      <c r="AN10" s="2391"/>
      <c r="AO10" s="2391"/>
      <c r="AP10" s="2391"/>
      <c r="AQ10" s="2391"/>
      <c r="AR10" s="2391"/>
      <c r="AS10" s="2391"/>
      <c r="AT10" s="2391"/>
      <c r="AU10" s="2391"/>
      <c r="AV10" s="2391"/>
      <c r="AW10" s="2391"/>
      <c r="AX10" s="2391"/>
      <c r="AY10" s="2391"/>
      <c r="AZ10" s="2391"/>
      <c r="BA10" s="2391"/>
      <c r="BB10" s="2391"/>
      <c r="BC10" s="2391"/>
      <c r="BD10" s="2391"/>
      <c r="BE10" s="2392"/>
      <c r="BF10" s="2326"/>
      <c r="BH10" s="2393">
        <f>'Cons.Ds CD'!D46</f>
        <v>0.25</v>
      </c>
      <c r="BI10" s="2333">
        <f>IF('Cons.Ds CD'!P46="","",'Cons.Ds CD'!P46)</f>
        <v>24.603000000000002</v>
      </c>
    </row>
    <row r="11" spans="1:80" ht="15" customHeight="1">
      <c r="A11" s="4642" t="s">
        <v>76</v>
      </c>
      <c r="B11" s="4643" t="s">
        <v>76</v>
      </c>
      <c r="D11" s="2323"/>
      <c r="R11" s="2362"/>
      <c r="S11" s="2362"/>
      <c r="T11" s="2362"/>
      <c r="U11" s="2362"/>
      <c r="AB11" s="2391"/>
      <c r="AC11" s="2391"/>
      <c r="AD11" s="2391"/>
      <c r="AE11" s="2391"/>
      <c r="AF11" s="2391"/>
      <c r="AG11" s="2391"/>
      <c r="AH11" s="2391"/>
      <c r="AI11" s="2391"/>
      <c r="AJ11" s="2391"/>
      <c r="AK11" s="2391"/>
      <c r="AL11" s="2391"/>
      <c r="AM11" s="2391"/>
      <c r="AN11" s="2391"/>
      <c r="AO11" s="2391"/>
      <c r="AP11" s="2391"/>
      <c r="AQ11" s="2391"/>
      <c r="AR11" s="2391"/>
      <c r="AS11" s="2391"/>
      <c r="AT11" s="2391"/>
      <c r="AU11" s="2391"/>
      <c r="AV11" s="2391"/>
      <c r="AW11" s="2391"/>
      <c r="AX11" s="2391"/>
      <c r="AY11" s="2391"/>
      <c r="AZ11" s="2391"/>
      <c r="BA11" s="2391"/>
      <c r="BB11" s="2391"/>
      <c r="BC11" s="2391"/>
      <c r="BD11" s="2391"/>
      <c r="BE11" s="2392"/>
      <c r="BF11" s="2326"/>
      <c r="BH11" s="2393">
        <f>'Cons.Ds CD'!D47</f>
        <v>1</v>
      </c>
      <c r="BI11" s="2333">
        <f>IF('Cons.Ds CD'!P47="","",'Cons.Ds CD'!P47)</f>
        <v>24.582000000000004</v>
      </c>
    </row>
    <row r="12" spans="1:80">
      <c r="A12" s="4642"/>
      <c r="B12" s="4643"/>
      <c r="D12" s="2323"/>
      <c r="R12" s="2362"/>
      <c r="S12" s="2362"/>
      <c r="T12" s="2362"/>
      <c r="U12" s="2362"/>
      <c r="AB12" s="2391"/>
      <c r="AC12" s="2391"/>
      <c r="AD12" s="2391"/>
      <c r="AE12" s="2391"/>
      <c r="AF12" s="2391"/>
      <c r="AG12" s="2391"/>
      <c r="AH12" s="2391"/>
      <c r="AI12" s="2391"/>
      <c r="AJ12" s="2391"/>
      <c r="AK12" s="2391"/>
      <c r="AL12" s="2391"/>
      <c r="AM12" s="2391"/>
      <c r="AN12" s="2391"/>
      <c r="AO12" s="2391"/>
      <c r="AP12" s="2391"/>
      <c r="AQ12" s="2391"/>
      <c r="AR12" s="2391"/>
      <c r="AS12" s="2391"/>
      <c r="AT12" s="2391"/>
      <c r="AU12" s="2391"/>
      <c r="AV12" s="2391"/>
      <c r="AW12" s="2391"/>
      <c r="AX12" s="2391"/>
      <c r="AY12" s="2391"/>
      <c r="AZ12" s="2391"/>
      <c r="BA12" s="2391"/>
      <c r="BB12" s="2391"/>
      <c r="BC12" s="2391"/>
      <c r="BD12" s="2391"/>
      <c r="BE12" s="2392"/>
      <c r="BF12" s="2326"/>
      <c r="BH12" s="2393">
        <f>'Cons.Ds CD'!D48</f>
        <v>4</v>
      </c>
      <c r="BI12" s="2333">
        <f>IF('Cons.Ds CD'!P48="","",'Cons.Ds CD'!P48)</f>
        <v>24.569000000000003</v>
      </c>
    </row>
    <row r="13" spans="1:80">
      <c r="A13" s="4642"/>
      <c r="B13" s="4643"/>
      <c r="D13" s="2323"/>
      <c r="R13" s="2362"/>
      <c r="S13" s="2362"/>
      <c r="T13" s="2362"/>
      <c r="U13" s="2362"/>
      <c r="AB13" s="2391"/>
      <c r="AC13" s="2391"/>
      <c r="AD13" s="2391"/>
      <c r="AE13" s="2391"/>
      <c r="AF13" s="2391"/>
      <c r="AG13" s="2391"/>
      <c r="AH13" s="2391"/>
      <c r="AI13" s="2391"/>
      <c r="AJ13" s="2391"/>
      <c r="AK13" s="2391"/>
      <c r="AL13" s="2391"/>
      <c r="AM13" s="2391"/>
      <c r="AN13" s="2391"/>
      <c r="AO13" s="2391"/>
      <c r="AP13" s="2391"/>
      <c r="AQ13" s="2391"/>
      <c r="AR13" s="2391"/>
      <c r="AS13" s="2391"/>
      <c r="AT13" s="2391"/>
      <c r="AU13" s="2391"/>
      <c r="AV13" s="2391"/>
      <c r="AW13" s="2391"/>
      <c r="AX13" s="2391"/>
      <c r="AY13" s="2391"/>
      <c r="AZ13" s="2391"/>
      <c r="BA13" s="2391"/>
      <c r="BB13" s="2391"/>
      <c r="BC13" s="2391"/>
      <c r="BD13" s="2391"/>
      <c r="BE13" s="2392"/>
      <c r="BF13" s="2326"/>
      <c r="BH13" s="2393">
        <f>'Cons.Ds CD'!D49</f>
        <v>6.25</v>
      </c>
      <c r="BI13" s="2333">
        <f>IF('Cons.Ds CD'!P49="","",'Cons.Ds CD'!P49)</f>
        <v>24.559000000000001</v>
      </c>
    </row>
    <row r="14" spans="1:80">
      <c r="A14" s="2323"/>
      <c r="D14" s="2323"/>
      <c r="R14" s="2362"/>
      <c r="S14" s="2362"/>
      <c r="T14" s="2362"/>
      <c r="U14" s="2362"/>
      <c r="AB14" s="2391"/>
      <c r="AC14" s="2391"/>
      <c r="AD14" s="2391"/>
      <c r="AE14" s="2391"/>
      <c r="AF14" s="2391"/>
      <c r="AG14" s="2391"/>
      <c r="AH14" s="2391"/>
      <c r="AI14" s="2391"/>
      <c r="AJ14" s="2391"/>
      <c r="AK14" s="2391"/>
      <c r="AL14" s="2391"/>
      <c r="AM14" s="2391"/>
      <c r="AN14" s="2391"/>
      <c r="AO14" s="2391"/>
      <c r="AP14" s="2391"/>
      <c r="AQ14" s="2391"/>
      <c r="AR14" s="2391"/>
      <c r="AS14" s="2391"/>
      <c r="AT14" s="2391"/>
      <c r="AU14" s="2391"/>
      <c r="AV14" s="2391"/>
      <c r="AW14" s="2391"/>
      <c r="AX14" s="2391"/>
      <c r="AY14" s="2391"/>
      <c r="AZ14" s="2391"/>
      <c r="BA14" s="2391"/>
      <c r="BB14" s="2391"/>
      <c r="BC14" s="2391"/>
      <c r="BD14" s="2391"/>
      <c r="BE14" s="2392"/>
      <c r="BF14" s="2326"/>
      <c r="BH14" s="2393">
        <f>'Cons.Ds CD'!D50</f>
        <v>9</v>
      </c>
      <c r="BI14" s="2333">
        <f>IF('Cons.Ds CD'!P50="","",'Cons.Ds CD'!P50)</f>
        <v>24.55</v>
      </c>
      <c r="CA14" s="2394"/>
      <c r="CB14" s="2362"/>
    </row>
    <row r="15" spans="1:80" ht="15" customHeight="1">
      <c r="A15" s="2323"/>
      <c r="D15" s="2323"/>
      <c r="R15" s="2362"/>
      <c r="S15" s="2362"/>
      <c r="T15" s="2362"/>
      <c r="U15" s="2362"/>
      <c r="AB15" s="2391"/>
      <c r="AC15" s="2391"/>
      <c r="AD15" s="2391"/>
      <c r="AE15" s="2391"/>
      <c r="AF15" s="2391"/>
      <c r="AG15" s="2391"/>
      <c r="AH15" s="2391"/>
      <c r="AI15" s="2391"/>
      <c r="AJ15" s="2391"/>
      <c r="AK15" s="2391"/>
      <c r="AL15" s="2391"/>
      <c r="AM15" s="2391"/>
      <c r="AN15" s="2391"/>
      <c r="AO15" s="2391"/>
      <c r="AP15" s="2391"/>
      <c r="AQ15" s="2391"/>
      <c r="AR15" s="2391"/>
      <c r="AS15" s="2391"/>
      <c r="AT15" s="2391"/>
      <c r="AU15" s="2391"/>
      <c r="AV15" s="2391"/>
      <c r="AW15" s="2391"/>
      <c r="AX15" s="2391"/>
      <c r="AY15" s="2391"/>
      <c r="AZ15" s="2391"/>
      <c r="BA15" s="2391"/>
      <c r="BB15" s="2391"/>
      <c r="BC15" s="2391"/>
      <c r="BD15" s="2391"/>
      <c r="BE15" s="2392"/>
      <c r="BF15" s="2326"/>
      <c r="BH15" s="2393">
        <f>'Cons.Ds CD'!D51</f>
        <v>12.25</v>
      </c>
      <c r="BI15" s="2333">
        <f>IF('Cons.Ds CD'!P51="","",'Cons.Ds CD'!P51)</f>
        <v>24.548000000000002</v>
      </c>
      <c r="CA15" s="2362"/>
      <c r="CB15" s="2394"/>
    </row>
    <row r="16" spans="1:80">
      <c r="A16" s="2380"/>
      <c r="B16" s="2381"/>
      <c r="D16" s="2323"/>
      <c r="R16" s="2362"/>
      <c r="S16" s="2362"/>
      <c r="T16" s="2362"/>
      <c r="U16" s="2362"/>
      <c r="AB16" s="2391"/>
      <c r="AC16" s="2391"/>
      <c r="AD16" s="2391"/>
      <c r="AE16" s="2391"/>
      <c r="AF16" s="2391"/>
      <c r="AG16" s="2391"/>
      <c r="AH16" s="2391"/>
      <c r="AI16" s="2391"/>
      <c r="AJ16" s="2391"/>
      <c r="AK16" s="2391"/>
      <c r="AL16" s="2391"/>
      <c r="AM16" s="2391"/>
      <c r="AN16" s="2391"/>
      <c r="AO16" s="2391"/>
      <c r="AP16" s="2391"/>
      <c r="AQ16" s="2391"/>
      <c r="AR16" s="2391"/>
      <c r="AS16" s="2391"/>
      <c r="AT16" s="2391"/>
      <c r="AU16" s="2391"/>
      <c r="AV16" s="2391"/>
      <c r="AW16" s="2391"/>
      <c r="AX16" s="2391"/>
      <c r="AY16" s="2391"/>
      <c r="AZ16" s="2391"/>
      <c r="BA16" s="2391"/>
      <c r="BB16" s="2391"/>
      <c r="BC16" s="2391"/>
      <c r="BD16" s="2391"/>
      <c r="BE16" s="2392"/>
      <c r="BF16" s="2326"/>
      <c r="BH16" s="2393">
        <f>'Cons.Ds CD'!D52</f>
        <v>16</v>
      </c>
      <c r="BI16" s="2333">
        <f>IF('Cons.Ds CD'!P52="","",'Cons.Ds CD'!P52)</f>
        <v>24.542000000000002</v>
      </c>
      <c r="CA16" s="2362"/>
      <c r="CB16" s="2394"/>
    </row>
    <row r="17" spans="1:80">
      <c r="A17" s="2380"/>
      <c r="B17" s="2381"/>
      <c r="D17" s="2323"/>
      <c r="AB17" s="2391"/>
      <c r="AC17" s="2391"/>
      <c r="AD17" s="2391"/>
      <c r="AE17" s="2391"/>
      <c r="AF17" s="2391"/>
      <c r="AG17" s="2391"/>
      <c r="AH17" s="2391"/>
      <c r="AI17" s="2391"/>
      <c r="AJ17" s="2391"/>
      <c r="AK17" s="2391"/>
      <c r="AL17" s="2391"/>
      <c r="AM17" s="2391"/>
      <c r="AN17" s="2391"/>
      <c r="AO17" s="2391"/>
      <c r="AP17" s="2391"/>
      <c r="AQ17" s="2391"/>
      <c r="AR17" s="2391"/>
      <c r="AS17" s="2391"/>
      <c r="AT17" s="2391"/>
      <c r="AU17" s="2391"/>
      <c r="AV17" s="2391"/>
      <c r="AW17" s="2391"/>
      <c r="AX17" s="2391"/>
      <c r="AY17" s="2391"/>
      <c r="AZ17" s="2391"/>
      <c r="BA17" s="2391"/>
      <c r="BB17" s="2391"/>
      <c r="BC17" s="2391"/>
      <c r="BD17" s="2391"/>
      <c r="BE17" s="2392"/>
      <c r="BF17" s="2326"/>
      <c r="BH17" s="2393">
        <f>'Cons.Ds CD'!D53</f>
        <v>20.25</v>
      </c>
      <c r="BI17" s="2333">
        <f>IF('Cons.Ds CD'!P53="","",'Cons.Ds CD'!P53)</f>
        <v>24.523000000000003</v>
      </c>
      <c r="BY17" s="2362"/>
      <c r="BZ17" s="2362"/>
      <c r="CA17" s="2362"/>
      <c r="CB17" s="2362"/>
    </row>
    <row r="18" spans="1:80">
      <c r="A18" s="2380"/>
      <c r="B18" s="2381"/>
      <c r="D18" s="2323"/>
      <c r="AB18" s="2391"/>
      <c r="AC18" s="2391"/>
      <c r="AD18" s="2391"/>
      <c r="AE18" s="2391"/>
      <c r="AF18" s="2391"/>
      <c r="AG18" s="2391"/>
      <c r="AH18" s="2391"/>
      <c r="AI18" s="2391"/>
      <c r="AJ18" s="2391"/>
      <c r="AK18" s="2391"/>
      <c r="AL18" s="2391"/>
      <c r="AM18" s="2391"/>
      <c r="AN18" s="2391"/>
      <c r="AO18" s="2391"/>
      <c r="AP18" s="2391"/>
      <c r="AQ18" s="2391"/>
      <c r="AR18" s="2391"/>
      <c r="AS18" s="2391"/>
      <c r="AT18" s="2391"/>
      <c r="AU18" s="2391"/>
      <c r="AV18" s="2391"/>
      <c r="AW18" s="2391"/>
      <c r="AX18" s="2391"/>
      <c r="AY18" s="2391"/>
      <c r="AZ18" s="2391"/>
      <c r="BA18" s="2391"/>
      <c r="BB18" s="2391"/>
      <c r="BC18" s="2391"/>
      <c r="BD18" s="2391"/>
      <c r="BE18" s="2392"/>
      <c r="BF18" s="2326"/>
      <c r="BH18" s="2393">
        <f>'Cons.Ds CD'!D54</f>
        <v>60</v>
      </c>
      <c r="BI18" s="2333">
        <f>IF('Cons.Ds CD'!P54="","",'Cons.Ds CD'!P54)</f>
        <v>24.51</v>
      </c>
      <c r="BY18" s="2362"/>
      <c r="BZ18" s="2362"/>
      <c r="CA18" s="2362"/>
      <c r="CB18" s="2362"/>
    </row>
    <row r="19" spans="1:80">
      <c r="A19" s="2307" t="s">
        <v>27</v>
      </c>
      <c r="B19" s="2306" t="s">
        <v>27</v>
      </c>
      <c r="D19" s="2323"/>
      <c r="AB19" s="2391"/>
      <c r="AC19" s="2391"/>
      <c r="AD19" s="2391"/>
      <c r="AE19" s="2391"/>
      <c r="AF19" s="2391"/>
      <c r="AG19" s="2391"/>
      <c r="AH19" s="2391"/>
      <c r="AI19" s="2391"/>
      <c r="AJ19" s="2391"/>
      <c r="AK19" s="2391"/>
      <c r="AL19" s="2391"/>
      <c r="AM19" s="2391"/>
      <c r="AN19" s="2391"/>
      <c r="AO19" s="2391"/>
      <c r="AP19" s="2391"/>
      <c r="AQ19" s="2391"/>
      <c r="AR19" s="2391"/>
      <c r="AS19" s="2391"/>
      <c r="AT19" s="2391"/>
      <c r="AU19" s="2391"/>
      <c r="AV19" s="2391"/>
      <c r="AW19" s="2391"/>
      <c r="AX19" s="2391"/>
      <c r="AY19" s="2391"/>
      <c r="AZ19" s="2391"/>
      <c r="BA19" s="2391"/>
      <c r="BB19" s="2391"/>
      <c r="BC19" s="2391"/>
      <c r="BD19" s="2391"/>
      <c r="BE19" s="2392"/>
      <c r="BF19" s="2326"/>
      <c r="BH19" s="2393">
        <f>'Cons.Ds CD'!D55</f>
        <v>120</v>
      </c>
      <c r="BI19" s="2333">
        <f>IF('Cons.Ds CD'!P55="","",'Cons.Ds CD'!P55)</f>
        <v>24.500000000000004</v>
      </c>
      <c r="BM19" s="2337"/>
      <c r="BY19" s="2362"/>
      <c r="BZ19" s="2362"/>
      <c r="CA19" s="2362"/>
      <c r="CB19" s="2362"/>
    </row>
    <row r="20" spans="1:80">
      <c r="A20" s="2308"/>
      <c r="B20" s="2309"/>
      <c r="D20" s="2323"/>
      <c r="AB20" s="2391"/>
      <c r="AC20" s="2391"/>
      <c r="AD20" s="2391"/>
      <c r="AE20" s="2391"/>
      <c r="AF20" s="2391"/>
      <c r="AG20" s="2391"/>
      <c r="AH20" s="2391"/>
      <c r="AI20" s="2391"/>
      <c r="AJ20" s="2391"/>
      <c r="AK20" s="2391"/>
      <c r="AL20" s="2391"/>
      <c r="AM20" s="2391"/>
      <c r="AN20" s="2391"/>
      <c r="AO20" s="2391"/>
      <c r="AP20" s="2391"/>
      <c r="AQ20" s="2391"/>
      <c r="AR20" s="2391"/>
      <c r="AS20" s="2391"/>
      <c r="AT20" s="2391"/>
      <c r="AU20" s="2391"/>
      <c r="AV20" s="2391"/>
      <c r="AW20" s="2391"/>
      <c r="AX20" s="2391"/>
      <c r="AY20" s="2391"/>
      <c r="AZ20" s="2391"/>
      <c r="BA20" s="2391"/>
      <c r="BB20" s="2391"/>
      <c r="BC20" s="2391"/>
      <c r="BD20" s="2391"/>
      <c r="BE20" s="2392"/>
      <c r="BF20" s="2326"/>
      <c r="BH20" s="2393">
        <f>'Cons.Ds CD'!D56</f>
        <v>240</v>
      </c>
      <c r="BI20" s="2333">
        <f>IF('Cons.Ds CD'!P56="","",'Cons.Ds CD'!P56)</f>
        <v>24.492000000000001</v>
      </c>
    </row>
    <row r="21" spans="1:80" ht="15" customHeight="1">
      <c r="A21" s="4654" t="s">
        <v>1106</v>
      </c>
      <c r="B21" s="4643" t="s">
        <v>1107</v>
      </c>
      <c r="D21" s="2323"/>
      <c r="R21" s="2362"/>
      <c r="S21" s="2362"/>
      <c r="T21" s="2362"/>
      <c r="U21" s="2362"/>
      <c r="BE21" s="2326"/>
      <c r="BF21" s="2326"/>
      <c r="BH21" s="2393">
        <f>'Cons.Ds CD'!D57</f>
        <v>480</v>
      </c>
      <c r="BI21" s="2333">
        <f>IF('Cons.Ds CD'!P57="","",'Cons.Ds CD'!P57)</f>
        <v>24.471000000000004</v>
      </c>
    </row>
    <row r="22" spans="1:80">
      <c r="A22" s="4654"/>
      <c r="B22" s="4643"/>
      <c r="D22" s="2323"/>
      <c r="AB22" s="2338"/>
      <c r="AC22" s="2338"/>
      <c r="AD22" s="2338"/>
      <c r="AE22" s="2338"/>
      <c r="AF22" s="2338"/>
      <c r="AG22" s="2338"/>
      <c r="AH22" s="2338"/>
      <c r="AI22" s="2338"/>
      <c r="AJ22" s="2338"/>
      <c r="AK22" s="2338"/>
      <c r="AL22" s="2338"/>
      <c r="AM22" s="2338"/>
      <c r="AN22" s="2338"/>
      <c r="AO22" s="2338"/>
      <c r="AP22" s="2338"/>
      <c r="AQ22" s="2338"/>
      <c r="AR22" s="2338"/>
      <c r="AS22" s="2338"/>
      <c r="AT22" s="2338"/>
      <c r="AU22" s="2338"/>
      <c r="AV22" s="2338"/>
      <c r="AW22" s="2338"/>
      <c r="AX22" s="2338"/>
      <c r="AY22" s="2338"/>
      <c r="AZ22" s="2338"/>
      <c r="BA22" s="2338"/>
      <c r="BB22" s="2338"/>
      <c r="BC22" s="2338"/>
      <c r="BD22" s="2338"/>
      <c r="BE22" s="2395"/>
      <c r="BF22" s="2326"/>
      <c r="BH22" s="2393">
        <f>'Cons.Ds CD'!D58</f>
        <v>1440</v>
      </c>
      <c r="BI22" s="2333">
        <f>IF('Cons.Ds CD'!P58="","",'Cons.Ds CD'!P58)</f>
        <v>24.453000000000003</v>
      </c>
      <c r="BP22" s="4675"/>
      <c r="BQ22" s="4675"/>
      <c r="BR22" s="2362"/>
      <c r="BS22" s="2362"/>
      <c r="BT22" s="2362"/>
      <c r="BU22" s="2362"/>
    </row>
    <row r="23" spans="1:80">
      <c r="A23" s="4654"/>
      <c r="B23" s="4643"/>
      <c r="D23" s="2396"/>
      <c r="E23" s="2365"/>
      <c r="F23" s="2365"/>
      <c r="G23" s="2365"/>
      <c r="H23" s="2365"/>
      <c r="I23" s="2365"/>
      <c r="J23" s="2365"/>
      <c r="K23" s="2365"/>
      <c r="L23" s="2365"/>
      <c r="M23" s="2365"/>
      <c r="N23" s="2365"/>
      <c r="O23" s="2365"/>
      <c r="P23" s="2365"/>
      <c r="Q23" s="2365"/>
      <c r="R23" s="2365"/>
      <c r="S23" s="2365"/>
      <c r="T23" s="2365"/>
      <c r="U23" s="2365"/>
      <c r="V23" s="2365"/>
      <c r="W23" s="2365"/>
      <c r="X23" s="2365"/>
      <c r="Y23" s="2365"/>
      <c r="Z23" s="2365"/>
      <c r="AA23" s="2365"/>
      <c r="AB23" s="2365"/>
      <c r="AC23" s="2365"/>
      <c r="AD23" s="2365"/>
      <c r="AE23" s="2365"/>
      <c r="AF23" s="2365"/>
      <c r="AG23" s="2365"/>
      <c r="AH23" s="2365"/>
      <c r="AI23" s="2365"/>
      <c r="AJ23" s="2365"/>
      <c r="AK23" s="2365"/>
      <c r="AL23" s="2365"/>
      <c r="AM23" s="2365"/>
      <c r="AN23" s="2365"/>
      <c r="AO23" s="2365"/>
      <c r="AP23" s="2365"/>
      <c r="AQ23" s="2365"/>
      <c r="AR23" s="2365"/>
      <c r="AS23" s="2365"/>
      <c r="AT23" s="2365"/>
      <c r="AU23" s="2365"/>
      <c r="AV23" s="2365"/>
      <c r="AW23" s="2365"/>
      <c r="AX23" s="2365"/>
      <c r="AY23" s="2365"/>
      <c r="AZ23" s="2365"/>
      <c r="BA23" s="2365"/>
      <c r="BB23" s="2365"/>
      <c r="BC23" s="2365"/>
      <c r="BD23" s="2365"/>
      <c r="BE23" s="2397"/>
      <c r="BF23" s="2326"/>
      <c r="BH23" s="2331"/>
      <c r="BI23" s="2332" t="str">
        <f>IF('Cons.Ds CD'!P59="","",'Cons.Ds CD'!P59)</f>
        <v/>
      </c>
      <c r="BJ23" s="4730" t="s">
        <v>1191</v>
      </c>
      <c r="BK23" s="4732"/>
      <c r="BL23" s="2398"/>
      <c r="BM23" s="2399" t="s">
        <v>1192</v>
      </c>
      <c r="BN23" s="2400" t="s">
        <v>1193</v>
      </c>
      <c r="BO23" s="2401" t="s">
        <v>1194</v>
      </c>
      <c r="BP23" s="4733" t="s">
        <v>1195</v>
      </c>
      <c r="BQ23" s="4734"/>
      <c r="BR23" s="4733" t="s">
        <v>1196</v>
      </c>
      <c r="BS23" s="4734"/>
      <c r="BT23" s="2323"/>
      <c r="BV23" s="2324" t="s">
        <v>1293</v>
      </c>
      <c r="BW23" s="2402">
        <f>IF(BO24="","",50*BO24)</f>
        <v>125</v>
      </c>
      <c r="BX23" s="2324" t="s">
        <v>3</v>
      </c>
    </row>
    <row r="24" spans="1:80">
      <c r="A24" s="4654"/>
      <c r="B24" s="4643"/>
      <c r="D24" s="2396"/>
      <c r="E24" s="2365"/>
      <c r="F24" s="2365"/>
      <c r="G24" s="2365"/>
      <c r="H24" s="2365"/>
      <c r="I24" s="2365"/>
      <c r="J24" s="2365"/>
      <c r="K24" s="2365"/>
      <c r="L24" s="2365"/>
      <c r="M24" s="2365"/>
      <c r="N24" s="2365"/>
      <c r="O24" s="2365"/>
      <c r="P24" s="2365"/>
      <c r="Q24" s="2365"/>
      <c r="R24" s="2365"/>
      <c r="S24" s="2365"/>
      <c r="T24" s="2365"/>
      <c r="U24" s="2365"/>
      <c r="V24" s="2365"/>
      <c r="W24" s="2365"/>
      <c r="X24" s="2365"/>
      <c r="Y24" s="2365"/>
      <c r="Z24" s="2365"/>
      <c r="AA24" s="2365"/>
      <c r="AB24" s="2365"/>
      <c r="AC24" s="2365"/>
      <c r="AD24" s="2365"/>
      <c r="AE24" s="2365"/>
      <c r="AF24" s="2365"/>
      <c r="AG24" s="2365"/>
      <c r="AH24" s="2365"/>
      <c r="AI24" s="2365"/>
      <c r="AJ24" s="2365"/>
      <c r="AK24" s="2365"/>
      <c r="AL24" s="2365"/>
      <c r="AM24" s="2365"/>
      <c r="AN24" s="2365"/>
      <c r="AO24" s="2365"/>
      <c r="AP24" s="2365"/>
      <c r="AQ24" s="2365"/>
      <c r="AR24" s="2365"/>
      <c r="AS24" s="2365"/>
      <c r="AT24" s="2365"/>
      <c r="AU24" s="2365"/>
      <c r="AV24" s="2365"/>
      <c r="AW24" s="2365"/>
      <c r="AX24" s="2365"/>
      <c r="AY24" s="2365"/>
      <c r="AZ24" s="2365"/>
      <c r="BA24" s="2365"/>
      <c r="BB24" s="2365"/>
      <c r="BC24" s="2365"/>
      <c r="BD24" s="2365"/>
      <c r="BE24" s="2397"/>
      <c r="BF24" s="2326"/>
      <c r="BH24" s="2355"/>
      <c r="BI24" s="2403"/>
      <c r="BK24" s="2324" t="s">
        <v>1294</v>
      </c>
      <c r="BL24" s="2404">
        <f>BI22-0.01</f>
        <v>24.443000000000001</v>
      </c>
      <c r="BM24" s="2405">
        <v>20.25</v>
      </c>
      <c r="BN24" s="2406">
        <v>240</v>
      </c>
      <c r="BO24" s="2407">
        <v>2.5</v>
      </c>
      <c r="BP24" s="2382">
        <v>0</v>
      </c>
      <c r="BQ24" s="2408">
        <v>60</v>
      </c>
      <c r="BR24" s="2383">
        <v>0</v>
      </c>
      <c r="BS24" s="2408">
        <v>240</v>
      </c>
      <c r="BV24" s="2324" t="s">
        <v>1295</v>
      </c>
      <c r="BW24" s="2324">
        <v>12</v>
      </c>
      <c r="BX24" s="2324" t="s">
        <v>2</v>
      </c>
    </row>
    <row r="25" spans="1:80">
      <c r="A25" s="2323"/>
      <c r="D25" s="2323"/>
      <c r="R25" s="2362"/>
      <c r="S25" s="2362"/>
      <c r="T25" s="2362"/>
      <c r="U25" s="2362"/>
      <c r="AB25" s="2391"/>
      <c r="AC25" s="2391"/>
      <c r="AD25" s="2391"/>
      <c r="AE25" s="2391"/>
      <c r="AF25" s="2391"/>
      <c r="AG25" s="2391"/>
      <c r="AH25" s="2391"/>
      <c r="AI25" s="2391"/>
      <c r="AJ25" s="2391"/>
      <c r="AK25" s="2391"/>
      <c r="AL25" s="2391"/>
      <c r="AM25" s="2391"/>
      <c r="AN25" s="2391"/>
      <c r="AO25" s="2391"/>
      <c r="AP25" s="2391"/>
      <c r="AQ25" s="2391"/>
      <c r="AR25" s="2391"/>
      <c r="AS25" s="2391"/>
      <c r="AT25" s="2391"/>
      <c r="AU25" s="2391"/>
      <c r="AV25" s="2391"/>
      <c r="AW25" s="2391"/>
      <c r="AX25" s="2391"/>
      <c r="AY25" s="2391"/>
      <c r="AZ25" s="2391"/>
      <c r="BA25" s="2391"/>
      <c r="BB25" s="2391"/>
      <c r="BC25" s="2391"/>
      <c r="BD25" s="2391"/>
      <c r="BE25" s="2392"/>
      <c r="BF25" s="2326"/>
      <c r="BH25" s="2362"/>
      <c r="BK25" s="2324" t="s">
        <v>1296</v>
      </c>
      <c r="BL25" s="2404">
        <f>BI10+0.01</f>
        <v>24.613000000000003</v>
      </c>
      <c r="BM25" s="2399"/>
      <c r="BN25" s="2405">
        <v>19.899999999999999</v>
      </c>
      <c r="BO25" s="2409"/>
      <c r="BP25" s="2366"/>
      <c r="BQ25" s="2410">
        <v>240</v>
      </c>
      <c r="BR25" s="2372"/>
      <c r="BS25" s="2410">
        <v>1440</v>
      </c>
      <c r="BV25" s="2324" t="s">
        <v>1297</v>
      </c>
      <c r="BW25" s="2373">
        <f>BW24/BW23</f>
        <v>9.6000000000000002E-2</v>
      </c>
      <c r="BX25" s="2324" t="s">
        <v>556</v>
      </c>
    </row>
    <row r="26" spans="1:80" ht="15" customHeight="1">
      <c r="A26" s="4642" t="str">
        <f ca="1">MID(CELL("filename",A1),FIND("[",CELL("filename",A1))+1, FIND("]",CELL("filename",A1))-FIND("[",CELL("filename",A1))-1)</f>
        <v>LHU Template New 7 (Recovered) revisi.xlsx</v>
      </c>
      <c r="B26" s="4735" t="e">
        <f>IF(#REF!="","",#REF!)</f>
        <v>#REF!</v>
      </c>
      <c r="D26" s="2323"/>
      <c r="F26" s="2353"/>
      <c r="G26" s="2354"/>
      <c r="H26" s="2354"/>
      <c r="I26" s="2354"/>
      <c r="J26" s="2354"/>
      <c r="K26" s="2354"/>
      <c r="L26" s="2354"/>
      <c r="M26" s="2354"/>
      <c r="N26" s="2354"/>
      <c r="O26" s="2354"/>
      <c r="P26" s="2354"/>
      <c r="Q26" s="2354"/>
      <c r="R26" s="2343"/>
      <c r="S26" s="2343"/>
      <c r="T26" s="2343"/>
      <c r="U26" s="2343"/>
      <c r="V26" s="2354"/>
      <c r="W26" s="2354"/>
      <c r="X26" s="2354"/>
      <c r="Y26" s="2354"/>
      <c r="Z26" s="2354"/>
      <c r="AA26" s="4645" t="s">
        <v>1298</v>
      </c>
      <c r="AB26" s="4645"/>
      <c r="AC26" s="4645"/>
      <c r="AD26" s="2411" t="s">
        <v>176</v>
      </c>
      <c r="AE26" s="2411"/>
      <c r="AF26" s="4736">
        <f>IF(BQ32="","",BQ32)</f>
        <v>2.5</v>
      </c>
      <c r="AG26" s="4736"/>
      <c r="AH26" s="4736"/>
      <c r="AI26" s="2411" t="s">
        <v>1197</v>
      </c>
      <c r="AJ26" s="2411"/>
      <c r="AK26" s="2411"/>
      <c r="AL26" s="2411"/>
      <c r="AM26" s="2411"/>
      <c r="AN26" s="2411"/>
      <c r="AO26" s="2411"/>
      <c r="AP26" s="2411"/>
      <c r="AQ26" s="2411"/>
      <c r="AR26" s="2411"/>
      <c r="AS26" s="2411"/>
      <c r="AT26" s="2411"/>
      <c r="AU26" s="2411"/>
      <c r="AV26" s="2411"/>
      <c r="AW26" s="2411"/>
      <c r="AX26" s="2411"/>
      <c r="AY26" s="2411"/>
      <c r="AZ26" s="2411"/>
      <c r="BA26" s="2411"/>
      <c r="BB26" s="2411"/>
      <c r="BC26" s="2412"/>
      <c r="BD26" s="2363"/>
      <c r="BE26" s="2413"/>
      <c r="BF26" s="2326"/>
      <c r="BL26" s="2362"/>
      <c r="BM26" s="2362"/>
      <c r="BN26" s="2362"/>
      <c r="BO26" s="2362"/>
      <c r="BQ26" s="2414"/>
    </row>
    <row r="27" spans="1:80">
      <c r="A27" s="4642"/>
      <c r="B27" s="4735"/>
      <c r="D27" s="2323"/>
      <c r="R27" s="2362"/>
      <c r="S27" s="2362"/>
      <c r="T27" s="2362"/>
      <c r="U27" s="2362"/>
      <c r="AB27" s="2363"/>
      <c r="AC27" s="2363"/>
      <c r="AD27" s="2363"/>
      <c r="AE27" s="2363"/>
      <c r="AF27" s="2363"/>
      <c r="AG27" s="2363"/>
      <c r="AH27" s="2363"/>
      <c r="AI27" s="2363"/>
      <c r="AJ27" s="2363"/>
      <c r="AK27" s="2363"/>
      <c r="AL27" s="2363"/>
      <c r="AM27" s="2363"/>
      <c r="AN27" s="2363"/>
      <c r="AO27" s="2363"/>
      <c r="AP27" s="2363"/>
      <c r="AQ27" s="2363"/>
      <c r="AR27" s="2363"/>
      <c r="AS27" s="2363"/>
      <c r="AT27" s="2363"/>
      <c r="AU27" s="2363"/>
      <c r="AV27" s="2363"/>
      <c r="AW27" s="2363"/>
      <c r="AX27" s="2363"/>
      <c r="AY27" s="2363"/>
      <c r="AZ27" s="2363"/>
      <c r="BA27" s="2363"/>
      <c r="BB27" s="2363"/>
      <c r="BC27" s="2363"/>
      <c r="BD27" s="2363"/>
      <c r="BE27" s="2413"/>
      <c r="BF27" s="2326"/>
      <c r="BK27" s="2324" t="s">
        <v>1198</v>
      </c>
      <c r="BL27" s="2324">
        <v>1</v>
      </c>
      <c r="BM27" s="2324" t="s">
        <v>1199</v>
      </c>
    </row>
    <row r="28" spans="1:80" ht="14.25" customHeight="1">
      <c r="A28" s="4642"/>
      <c r="B28" s="4735"/>
      <c r="D28" s="2370"/>
      <c r="E28" s="2371"/>
      <c r="F28" s="2371"/>
      <c r="G28" s="2371"/>
      <c r="H28" s="2371"/>
      <c r="I28" s="2371"/>
      <c r="J28" s="2371"/>
      <c r="K28" s="2371"/>
      <c r="L28" s="2371"/>
      <c r="M28" s="2371"/>
      <c r="N28" s="2371"/>
      <c r="O28" s="2371"/>
      <c r="P28" s="2371"/>
      <c r="Q28" s="2371"/>
      <c r="R28" s="2367"/>
      <c r="S28" s="2367"/>
      <c r="T28" s="2367"/>
      <c r="U28" s="2367"/>
      <c r="V28" s="2371"/>
      <c r="W28" s="2371"/>
      <c r="X28" s="2371"/>
      <c r="Y28" s="2371"/>
      <c r="Z28" s="2371"/>
      <c r="AA28" s="2371"/>
      <c r="AB28" s="2415"/>
      <c r="AC28" s="2415"/>
      <c r="AD28" s="2415"/>
      <c r="AE28" s="2415"/>
      <c r="AF28" s="2415"/>
      <c r="AG28" s="2415"/>
      <c r="AH28" s="2415"/>
      <c r="AI28" s="2415"/>
      <c r="AJ28" s="2415"/>
      <c r="AK28" s="2415"/>
      <c r="AL28" s="2415"/>
      <c r="AM28" s="2415"/>
      <c r="AN28" s="2415"/>
      <c r="AO28" s="2415"/>
      <c r="AP28" s="2415"/>
      <c r="AQ28" s="2415"/>
      <c r="AR28" s="2415"/>
      <c r="AS28" s="2415"/>
      <c r="AT28" s="2415"/>
      <c r="AU28" s="2415"/>
      <c r="AV28" s="2415"/>
      <c r="AW28" s="2415"/>
      <c r="AX28" s="2415"/>
      <c r="AY28" s="2415"/>
      <c r="AZ28" s="2415"/>
      <c r="BA28" s="2415"/>
      <c r="BB28" s="2415"/>
      <c r="BC28" s="2415"/>
      <c r="BD28" s="2415"/>
      <c r="BE28" s="2416"/>
      <c r="BF28" s="2326"/>
      <c r="BK28" s="2324" t="s">
        <v>1200</v>
      </c>
      <c r="BL28" s="2417">
        <f>4*BL27</f>
        <v>4</v>
      </c>
      <c r="BM28" s="2324" t="s">
        <v>1199</v>
      </c>
    </row>
    <row r="29" spans="1:80">
      <c r="A29" s="4642"/>
      <c r="B29" s="4735"/>
      <c r="R29" s="2362"/>
      <c r="S29" s="2362"/>
      <c r="T29" s="2362"/>
      <c r="U29" s="2362"/>
      <c r="AB29" s="2363"/>
      <c r="BF29" s="2326"/>
      <c r="BP29" s="2371"/>
    </row>
    <row r="30" spans="1:80">
      <c r="A30" s="4642"/>
      <c r="B30" s="4735"/>
      <c r="BF30" s="2326"/>
      <c r="BJ30" s="4629" t="s">
        <v>1201</v>
      </c>
      <c r="BK30" s="4731" t="s">
        <v>1202</v>
      </c>
      <c r="BL30" s="4731"/>
      <c r="BM30" s="4731" t="s">
        <v>1203</v>
      </c>
      <c r="BN30" s="4731"/>
      <c r="BO30" s="2354"/>
      <c r="BP30" s="2418"/>
      <c r="BQ30" s="2419" t="s">
        <v>1194</v>
      </c>
      <c r="BR30" s="2420"/>
      <c r="BS30" s="2420"/>
      <c r="BT30" s="2421"/>
    </row>
    <row r="31" spans="1:80">
      <c r="A31" s="4642"/>
      <c r="B31" s="4735"/>
      <c r="D31" s="2319"/>
      <c r="E31" s="2320"/>
      <c r="F31" s="2320"/>
      <c r="G31" s="2320"/>
      <c r="H31" s="2320"/>
      <c r="I31" s="2320"/>
      <c r="J31" s="2320"/>
      <c r="K31" s="2320"/>
      <c r="L31" s="2320"/>
      <c r="M31" s="2320"/>
      <c r="N31" s="2320"/>
      <c r="O31" s="2320"/>
      <c r="P31" s="2320"/>
      <c r="Q31" s="2320"/>
      <c r="R31" s="2387"/>
      <c r="S31" s="2387"/>
      <c r="T31" s="2387"/>
      <c r="U31" s="2387"/>
      <c r="V31" s="2320"/>
      <c r="W31" s="2320"/>
      <c r="X31" s="2320"/>
      <c r="Y31" s="2320"/>
      <c r="Z31" s="2320"/>
      <c r="AA31" s="2320"/>
      <c r="AB31" s="2320"/>
      <c r="AC31" s="2320"/>
      <c r="AD31" s="2320"/>
      <c r="AE31" s="2320"/>
      <c r="AF31" s="2320"/>
      <c r="AG31" s="2320"/>
      <c r="AH31" s="2320"/>
      <c r="AI31" s="2320"/>
      <c r="AJ31" s="2320"/>
      <c r="AK31" s="2320"/>
      <c r="AL31" s="2320"/>
      <c r="AM31" s="2320"/>
      <c r="AN31" s="2320"/>
      <c r="AO31" s="2320"/>
      <c r="AP31" s="2320"/>
      <c r="AQ31" s="2320"/>
      <c r="AR31" s="2320"/>
      <c r="AS31" s="2320"/>
      <c r="AT31" s="2320"/>
      <c r="AU31" s="2320"/>
      <c r="AV31" s="2320"/>
      <c r="AW31" s="2320"/>
      <c r="AX31" s="2320"/>
      <c r="AY31" s="2320"/>
      <c r="AZ31" s="2320"/>
      <c r="BA31" s="2320"/>
      <c r="BB31" s="2320"/>
      <c r="BC31" s="2320"/>
      <c r="BD31" s="2320"/>
      <c r="BE31" s="2321"/>
      <c r="BF31" s="2326"/>
      <c r="BJ31" s="4707"/>
      <c r="BK31" s="2390">
        <f>BL27</f>
        <v>1</v>
      </c>
      <c r="BL31" s="2390">
        <f>IF(BL24="","",BL24)</f>
        <v>24.443000000000001</v>
      </c>
      <c r="BM31" s="2390">
        <f>BL28</f>
        <v>4</v>
      </c>
      <c r="BN31" s="2390">
        <f>IF(BL31="","",BL31)</f>
        <v>24.443000000000001</v>
      </c>
      <c r="BO31" s="2422">
        <f>BN24</f>
        <v>240</v>
      </c>
      <c r="BP31" s="2384">
        <f>BN25</f>
        <v>19.899999999999999</v>
      </c>
      <c r="BQ31" s="2390">
        <f>BK36</f>
        <v>1</v>
      </c>
      <c r="BR31" s="2390">
        <f>IF(OR(BP36="",BW36=""),"",BP36-((BP36-BW36)/2))</f>
        <v>24.407000000000004</v>
      </c>
      <c r="BS31" s="2423">
        <f>BO24</f>
        <v>2.5</v>
      </c>
      <c r="BT31" s="2424">
        <f>IF(BR31="","",BR31)</f>
        <v>24.407000000000004</v>
      </c>
    </row>
    <row r="32" spans="1:80" ht="15" customHeight="1">
      <c r="A32" s="4642"/>
      <c r="B32" s="4735"/>
      <c r="D32" s="2323"/>
      <c r="AB32" s="2388"/>
      <c r="AC32" s="2388"/>
      <c r="AD32" s="2388"/>
      <c r="AE32" s="2388"/>
      <c r="AF32" s="2388"/>
      <c r="AG32" s="2388"/>
      <c r="AH32" s="2388"/>
      <c r="AI32" s="2388"/>
      <c r="AJ32" s="2388"/>
      <c r="AK32" s="2388"/>
      <c r="AL32" s="2388"/>
      <c r="AM32" s="2388"/>
      <c r="AN32" s="2388"/>
      <c r="AO32" s="2388"/>
      <c r="AP32" s="2388"/>
      <c r="AQ32" s="2388"/>
      <c r="AR32" s="2388"/>
      <c r="AS32" s="2388"/>
      <c r="AT32" s="2388"/>
      <c r="AU32" s="2388"/>
      <c r="AV32" s="2388"/>
      <c r="AW32" s="2388"/>
      <c r="AX32" s="2388"/>
      <c r="AY32" s="2388"/>
      <c r="AZ32" s="2388"/>
      <c r="BA32" s="2388"/>
      <c r="BB32" s="2388"/>
      <c r="BC32" s="2388"/>
      <c r="BD32" s="2388"/>
      <c r="BE32" s="2389"/>
      <c r="BF32" s="2326"/>
      <c r="BJ32" s="4630"/>
      <c r="BK32" s="2385">
        <f>BL27</f>
        <v>1</v>
      </c>
      <c r="BL32" s="2385">
        <f>IF(BL25="","",BL25)</f>
        <v>24.613000000000003</v>
      </c>
      <c r="BM32" s="2385">
        <f>BL28</f>
        <v>4</v>
      </c>
      <c r="BN32" s="2385">
        <f>IF(BL32="","",BL32)</f>
        <v>24.613000000000003</v>
      </c>
      <c r="BO32" s="2425">
        <f>BO31</f>
        <v>240</v>
      </c>
      <c r="BP32" s="2385">
        <f>IF(BL24="","",BL24)</f>
        <v>24.443000000000001</v>
      </c>
      <c r="BQ32" s="2385">
        <f>IF(BS31="","",BS31)</f>
        <v>2.5</v>
      </c>
      <c r="BR32" s="2385">
        <f>BR31</f>
        <v>24.407000000000004</v>
      </c>
      <c r="BS32" s="2426">
        <f>IF(BS31="","",BS31)</f>
        <v>2.5</v>
      </c>
      <c r="BT32" s="2426">
        <f>IF(BL24="","",BL24)</f>
        <v>24.443000000000001</v>
      </c>
    </row>
    <row r="33" spans="1:77">
      <c r="A33" s="4642"/>
      <c r="B33" s="4735"/>
      <c r="D33" s="2323"/>
      <c r="R33" s="2362"/>
      <c r="S33" s="2362"/>
      <c r="T33" s="2362"/>
      <c r="U33" s="2362"/>
      <c r="AB33" s="2391"/>
      <c r="AC33" s="2391"/>
      <c r="AD33" s="2391"/>
      <c r="AE33" s="2391"/>
      <c r="AF33" s="2391"/>
      <c r="AG33" s="2391"/>
      <c r="AH33" s="2391"/>
      <c r="AI33" s="2391"/>
      <c r="AJ33" s="2391"/>
      <c r="AK33" s="2391"/>
      <c r="AL33" s="2391"/>
      <c r="AM33" s="2391"/>
      <c r="AN33" s="2391"/>
      <c r="AO33" s="2391"/>
      <c r="AP33" s="2391"/>
      <c r="AQ33" s="2391"/>
      <c r="AR33" s="2391"/>
      <c r="AS33" s="2391"/>
      <c r="AT33" s="2391"/>
      <c r="AU33" s="2391"/>
      <c r="AV33" s="2391"/>
      <c r="AW33" s="2391"/>
      <c r="AX33" s="2391"/>
      <c r="AY33" s="2391"/>
      <c r="AZ33" s="2391"/>
      <c r="BA33" s="2391"/>
      <c r="BB33" s="2391"/>
      <c r="BC33" s="2391"/>
      <c r="BD33" s="2391"/>
      <c r="BE33" s="2392"/>
      <c r="BF33" s="2326"/>
      <c r="BP33" s="2362" t="s">
        <v>1298</v>
      </c>
      <c r="BQ33" s="2427">
        <f>IF(BQ32="","",BQ32)</f>
        <v>2.5</v>
      </c>
      <c r="BR33" s="2324" t="s">
        <v>3</v>
      </c>
    </row>
    <row r="34" spans="1:77">
      <c r="A34" s="4642"/>
      <c r="B34" s="4735"/>
      <c r="D34" s="2323"/>
      <c r="R34" s="2362"/>
      <c r="S34" s="2362"/>
      <c r="T34" s="2362"/>
      <c r="U34" s="2362"/>
      <c r="AB34" s="2391"/>
      <c r="AC34" s="2391"/>
      <c r="AD34" s="2391"/>
      <c r="AE34" s="2391"/>
      <c r="AF34" s="2391"/>
      <c r="AG34" s="2391"/>
      <c r="AH34" s="2391"/>
      <c r="AI34" s="2391"/>
      <c r="AJ34" s="2391"/>
      <c r="AK34" s="2391"/>
      <c r="AL34" s="2391"/>
      <c r="AM34" s="2391"/>
      <c r="AN34" s="2391"/>
      <c r="AO34" s="2391"/>
      <c r="AP34" s="2391"/>
      <c r="AQ34" s="2391"/>
      <c r="AR34" s="2391"/>
      <c r="AS34" s="2391"/>
      <c r="AT34" s="2391"/>
      <c r="AU34" s="2391"/>
      <c r="AV34" s="2391"/>
      <c r="AW34" s="2391"/>
      <c r="AX34" s="2391"/>
      <c r="AY34" s="2391"/>
      <c r="AZ34" s="2391"/>
      <c r="BA34" s="2391"/>
      <c r="BB34" s="2391"/>
      <c r="BC34" s="2391"/>
      <c r="BD34" s="2391"/>
      <c r="BE34" s="2392"/>
      <c r="BF34" s="2326"/>
    </row>
    <row r="35" spans="1:77">
      <c r="A35" s="4642"/>
      <c r="B35" s="4735"/>
      <c r="D35" s="2323"/>
      <c r="R35" s="2362"/>
      <c r="S35" s="2362"/>
      <c r="T35" s="2362"/>
      <c r="U35" s="2362"/>
      <c r="AB35" s="2391"/>
      <c r="AC35" s="2391"/>
      <c r="AD35" s="2391"/>
      <c r="AE35" s="2391"/>
      <c r="AF35" s="2391"/>
      <c r="AG35" s="2391"/>
      <c r="AH35" s="2391"/>
      <c r="AI35" s="2391"/>
      <c r="AJ35" s="2391"/>
      <c r="AK35" s="2391"/>
      <c r="AL35" s="2391"/>
      <c r="AM35" s="2391"/>
      <c r="AN35" s="2391"/>
      <c r="AO35" s="2391"/>
      <c r="AP35" s="2391"/>
      <c r="AQ35" s="2391"/>
      <c r="AR35" s="2391"/>
      <c r="AS35" s="2391"/>
      <c r="AT35" s="2391"/>
      <c r="AU35" s="2391"/>
      <c r="AV35" s="2391"/>
      <c r="AW35" s="2391"/>
      <c r="AX35" s="2391"/>
      <c r="AY35" s="2391"/>
      <c r="AZ35" s="2391"/>
      <c r="BA35" s="2391"/>
      <c r="BB35" s="2391"/>
      <c r="BC35" s="2391"/>
      <c r="BD35" s="2391"/>
      <c r="BE35" s="2392"/>
      <c r="BF35" s="2326"/>
      <c r="BJ35" s="4629" t="s">
        <v>1204</v>
      </c>
      <c r="BK35" s="4731" t="s">
        <v>1205</v>
      </c>
      <c r="BL35" s="4731"/>
      <c r="BM35" s="4731" t="s">
        <v>1206</v>
      </c>
      <c r="BN35" s="4731"/>
      <c r="BO35" s="4731" t="s">
        <v>1299</v>
      </c>
      <c r="BP35" s="4731"/>
      <c r="BQ35" s="2354"/>
      <c r="BR35" s="2418"/>
      <c r="BS35" s="2428">
        <f>BR24/500</f>
        <v>0</v>
      </c>
      <c r="BT35" s="2354"/>
      <c r="BU35" s="2418"/>
      <c r="BV35" s="4644" t="s">
        <v>1207</v>
      </c>
      <c r="BW35" s="4646"/>
      <c r="BX35" s="2428">
        <f>BP24/500</f>
        <v>0</v>
      </c>
      <c r="BY35" s="2429"/>
    </row>
    <row r="36" spans="1:77">
      <c r="A36" s="4642"/>
      <c r="B36" s="4735"/>
      <c r="D36" s="2323"/>
      <c r="R36" s="2362"/>
      <c r="S36" s="2362"/>
      <c r="T36" s="2362"/>
      <c r="U36" s="2362"/>
      <c r="AB36" s="2391"/>
      <c r="AC36" s="2391"/>
      <c r="AD36" s="2391"/>
      <c r="AE36" s="2391"/>
      <c r="AF36" s="2391"/>
      <c r="AG36" s="2391"/>
      <c r="AH36" s="2391"/>
      <c r="AI36" s="2391"/>
      <c r="AJ36" s="2391"/>
      <c r="AK36" s="2391"/>
      <c r="AL36" s="2391"/>
      <c r="AM36" s="2391"/>
      <c r="AN36" s="2391"/>
      <c r="AO36" s="2391"/>
      <c r="AP36" s="2391"/>
      <c r="AQ36" s="2391"/>
      <c r="AR36" s="2391"/>
      <c r="AS36" s="2391"/>
      <c r="AT36" s="2391"/>
      <c r="AU36" s="2391"/>
      <c r="AV36" s="2391"/>
      <c r="AW36" s="2391"/>
      <c r="AX36" s="2391"/>
      <c r="AY36" s="2391"/>
      <c r="AZ36" s="2391"/>
      <c r="BA36" s="2391"/>
      <c r="BB36" s="2391"/>
      <c r="BC36" s="2391"/>
      <c r="BD36" s="2391"/>
      <c r="BE36" s="2392"/>
      <c r="BF36" s="2326"/>
      <c r="BJ36" s="4707"/>
      <c r="BK36" s="2430">
        <f>BL27</f>
        <v>1</v>
      </c>
      <c r="BL36" s="2430">
        <f>IF(BI11="","",BI11)</f>
        <v>24.582000000000004</v>
      </c>
      <c r="BM36" s="2390">
        <f>BL28</f>
        <v>4</v>
      </c>
      <c r="BN36" s="2431">
        <f>BM24</f>
        <v>20.25</v>
      </c>
      <c r="BO36" s="2430">
        <f>BK36</f>
        <v>1</v>
      </c>
      <c r="BP36" s="2430">
        <f>IF(OR(BL36="",BN36=""),"",BL36+BN38)</f>
        <v>28.914000000000009</v>
      </c>
      <c r="BQ36" s="2432">
        <f>BQ24</f>
        <v>60</v>
      </c>
      <c r="BR36" s="2433">
        <f>BX36-BX35</f>
        <v>24.51</v>
      </c>
      <c r="BS36" s="2322"/>
      <c r="BT36" s="2434">
        <f>BS24</f>
        <v>240</v>
      </c>
      <c r="BU36" s="2435">
        <f>BY36+BS35</f>
        <v>24.492000000000001</v>
      </c>
      <c r="BV36" s="2430">
        <f>BK36</f>
        <v>1</v>
      </c>
      <c r="BW36" s="2430">
        <f>IF(BP31="","",BP31)</f>
        <v>19.899999999999999</v>
      </c>
      <c r="BX36" s="2436">
        <f>IF(BQ24="","",VLOOKUP(BX35+BQ24,BH9:BI23,2))</f>
        <v>24.51</v>
      </c>
      <c r="BY36" s="2435">
        <f>IF(BS24="","",VLOOKUP(BS35+BS24,BH9:BI23,2))</f>
        <v>24.492000000000001</v>
      </c>
    </row>
    <row r="37" spans="1:77" ht="15.75" customHeight="1">
      <c r="A37" s="4642"/>
      <c r="B37" s="4735"/>
      <c r="D37" s="2323"/>
      <c r="R37" s="2362"/>
      <c r="S37" s="2362"/>
      <c r="T37" s="2362"/>
      <c r="U37" s="2362"/>
      <c r="AB37" s="2391"/>
      <c r="AC37" s="2391"/>
      <c r="AD37" s="2391"/>
      <c r="AE37" s="2391"/>
      <c r="AF37" s="2391"/>
      <c r="AG37" s="2391"/>
      <c r="AH37" s="2391"/>
      <c r="AI37" s="2391"/>
      <c r="AJ37" s="2391"/>
      <c r="AK37" s="2391"/>
      <c r="AL37" s="2391"/>
      <c r="AM37" s="2391"/>
      <c r="AN37" s="2391"/>
      <c r="AO37" s="2391"/>
      <c r="AP37" s="2391"/>
      <c r="AQ37" s="2391"/>
      <c r="AR37" s="2391"/>
      <c r="AS37" s="2391"/>
      <c r="AT37" s="2391"/>
      <c r="AU37" s="2391"/>
      <c r="AV37" s="2391"/>
      <c r="AW37" s="2391"/>
      <c r="AX37" s="2391"/>
      <c r="AY37" s="2391"/>
      <c r="AZ37" s="2391"/>
      <c r="BA37" s="2391"/>
      <c r="BB37" s="2391"/>
      <c r="BC37" s="2391"/>
      <c r="BD37" s="2391"/>
      <c r="BE37" s="2392"/>
      <c r="BF37" s="2326"/>
      <c r="BJ37" s="4630"/>
      <c r="BK37" s="2355">
        <v>10000</v>
      </c>
      <c r="BL37" s="2385">
        <f>IF(BI11="","",BI11)</f>
        <v>24.582000000000004</v>
      </c>
      <c r="BM37" s="2385">
        <f>BK37</f>
        <v>10000</v>
      </c>
      <c r="BN37" s="2385">
        <f>IF(BN36="","",BN36)</f>
        <v>20.25</v>
      </c>
      <c r="BO37" s="2385">
        <f>BK37</f>
        <v>10000</v>
      </c>
      <c r="BP37" s="2385">
        <f>IF(BP36="","",BP36)</f>
        <v>28.914000000000009</v>
      </c>
      <c r="BQ37" s="2437">
        <f>BQ25</f>
        <v>240</v>
      </c>
      <c r="BR37" s="2438">
        <f>BX37</f>
        <v>24.492000000000001</v>
      </c>
      <c r="BS37" s="2439"/>
      <c r="BT37" s="2440">
        <f>BS25</f>
        <v>1440</v>
      </c>
      <c r="BU37" s="2441">
        <f>BY37</f>
        <v>24.453000000000003</v>
      </c>
      <c r="BV37" s="2385">
        <f>IF(BN24="","",BN24)</f>
        <v>240</v>
      </c>
      <c r="BW37" s="2385">
        <f>BW36</f>
        <v>19.899999999999999</v>
      </c>
      <c r="BX37" s="2442">
        <f>IF(BQ25="","",VLOOKUP(BQ25,BH9:BI23,2))</f>
        <v>24.492000000000001</v>
      </c>
      <c r="BY37" s="2443">
        <f>IF(BS25="","",VLOOKUP(BS36+BS25,BH9:BI23,2))</f>
        <v>24.453000000000003</v>
      </c>
    </row>
    <row r="38" spans="1:77">
      <c r="A38" s="4642"/>
      <c r="B38" s="4735"/>
      <c r="D38" s="2323"/>
      <c r="R38" s="2362"/>
      <c r="S38" s="2362"/>
      <c r="T38" s="2362"/>
      <c r="U38" s="2362"/>
      <c r="AB38" s="2391"/>
      <c r="AC38" s="2391"/>
      <c r="AD38" s="2391"/>
      <c r="AE38" s="2391"/>
      <c r="AF38" s="2391"/>
      <c r="AG38" s="2391"/>
      <c r="AH38" s="2391"/>
      <c r="AI38" s="2391"/>
      <c r="AJ38" s="2391"/>
      <c r="AK38" s="2391"/>
      <c r="AL38" s="2391"/>
      <c r="AM38" s="2391"/>
      <c r="AN38" s="2391"/>
      <c r="AO38" s="2391"/>
      <c r="AP38" s="2391"/>
      <c r="AQ38" s="2391"/>
      <c r="AR38" s="2391"/>
      <c r="AS38" s="2391"/>
      <c r="AT38" s="2391"/>
      <c r="AU38" s="2391"/>
      <c r="AV38" s="2391"/>
      <c r="AW38" s="2391"/>
      <c r="AX38" s="2391"/>
      <c r="AY38" s="2391"/>
      <c r="AZ38" s="2391"/>
      <c r="BA38" s="2391"/>
      <c r="BB38" s="2391"/>
      <c r="BC38" s="2391"/>
      <c r="BD38" s="2391"/>
      <c r="BE38" s="2392"/>
      <c r="BF38" s="2326"/>
      <c r="BM38" s="2362" t="s">
        <v>1300</v>
      </c>
      <c r="BN38" s="2444">
        <f>IF(OR(BL36="",BN36=""),"",BL36-BN36)</f>
        <v>4.3320000000000043</v>
      </c>
      <c r="BO38" s="2362" t="s">
        <v>1299</v>
      </c>
      <c r="BP38" s="2444">
        <f>BP36</f>
        <v>28.914000000000009</v>
      </c>
      <c r="BQ38" s="2445">
        <f>BQ26</f>
        <v>0</v>
      </c>
      <c r="BR38" s="2446" t="str">
        <f>BX38</f>
        <v/>
      </c>
      <c r="BV38" s="2362" t="s">
        <v>1301</v>
      </c>
      <c r="BW38" s="2444">
        <f>BW36</f>
        <v>19.899999999999999</v>
      </c>
      <c r="BX38" s="2447" t="str">
        <f>IF(BQ26="","",VLOOKUP(BQ26,BH9:BI23,2))</f>
        <v/>
      </c>
    </row>
    <row r="39" spans="1:77">
      <c r="A39" s="2380"/>
      <c r="B39" s="2448"/>
      <c r="D39" s="2323"/>
      <c r="R39" s="2362"/>
      <c r="S39" s="2362"/>
      <c r="T39" s="2362"/>
      <c r="U39" s="2362"/>
      <c r="AB39" s="2391"/>
      <c r="AC39" s="2391"/>
      <c r="AD39" s="2391"/>
      <c r="AE39" s="2391"/>
      <c r="AF39" s="2391"/>
      <c r="AG39" s="2391"/>
      <c r="AH39" s="2391"/>
      <c r="AI39" s="2391"/>
      <c r="AJ39" s="2391"/>
      <c r="AK39" s="2391"/>
      <c r="AL39" s="2391"/>
      <c r="AM39" s="2391"/>
      <c r="AN39" s="2391"/>
      <c r="AO39" s="2391"/>
      <c r="AP39" s="2391"/>
      <c r="AQ39" s="2391"/>
      <c r="AR39" s="2391"/>
      <c r="AS39" s="2391"/>
      <c r="AT39" s="2391"/>
      <c r="AU39" s="2391"/>
      <c r="AV39" s="2391"/>
      <c r="AW39" s="2391"/>
      <c r="AX39" s="2391"/>
      <c r="AY39" s="2391"/>
      <c r="AZ39" s="2391"/>
      <c r="BA39" s="2391"/>
      <c r="BB39" s="2391"/>
      <c r="BC39" s="2391"/>
      <c r="BD39" s="2391"/>
      <c r="BE39" s="2392"/>
      <c r="BF39" s="2326"/>
    </row>
    <row r="40" spans="1:77">
      <c r="A40" s="2307" t="s">
        <v>27</v>
      </c>
      <c r="B40" s="2306" t="s">
        <v>27</v>
      </c>
      <c r="D40" s="2323"/>
      <c r="AB40" s="2391"/>
      <c r="AC40" s="2391"/>
      <c r="AD40" s="2391"/>
      <c r="AE40" s="2391"/>
      <c r="AF40" s="2391"/>
      <c r="AG40" s="2391"/>
      <c r="AH40" s="2391"/>
      <c r="AI40" s="2391"/>
      <c r="AJ40" s="2391"/>
      <c r="AK40" s="2391"/>
      <c r="AL40" s="2391"/>
      <c r="AM40" s="2391"/>
      <c r="AN40" s="2391"/>
      <c r="AO40" s="2391"/>
      <c r="AP40" s="2391"/>
      <c r="AQ40" s="2391"/>
      <c r="AR40" s="2391"/>
      <c r="AS40" s="2391"/>
      <c r="AT40" s="2391"/>
      <c r="AU40" s="2391"/>
      <c r="AV40" s="2391"/>
      <c r="AW40" s="2391"/>
      <c r="AX40" s="2391"/>
      <c r="AY40" s="2391"/>
      <c r="AZ40" s="2391"/>
      <c r="BA40" s="2391"/>
      <c r="BB40" s="2391"/>
      <c r="BC40" s="2391"/>
      <c r="BD40" s="2391"/>
      <c r="BE40" s="2392"/>
      <c r="BF40" s="2326"/>
      <c r="BK40" s="4737"/>
      <c r="BL40" s="4737"/>
      <c r="BM40" s="4737"/>
      <c r="BN40" s="4737"/>
    </row>
    <row r="41" spans="1:77" ht="15" customHeight="1">
      <c r="A41" s="4654" t="s">
        <v>1110</v>
      </c>
      <c r="B41" s="4643" t="s">
        <v>76</v>
      </c>
      <c r="D41" s="2323"/>
      <c r="AB41" s="2391"/>
      <c r="AC41" s="2391"/>
      <c r="AD41" s="2391"/>
      <c r="AE41" s="2391"/>
      <c r="AF41" s="2391"/>
      <c r="AG41" s="2391"/>
      <c r="AH41" s="2391"/>
      <c r="AI41" s="2391"/>
      <c r="AJ41" s="2391"/>
      <c r="AK41" s="2391"/>
      <c r="AL41" s="2391"/>
      <c r="AM41" s="2391"/>
      <c r="AN41" s="2391"/>
      <c r="AO41" s="2391"/>
      <c r="AP41" s="2391"/>
      <c r="AQ41" s="2391"/>
      <c r="AR41" s="2391"/>
      <c r="AS41" s="2391"/>
      <c r="AT41" s="2391"/>
      <c r="AU41" s="2391"/>
      <c r="AV41" s="2391"/>
      <c r="AW41" s="2391"/>
      <c r="AX41" s="2391"/>
      <c r="AY41" s="2391"/>
      <c r="AZ41" s="2391"/>
      <c r="BA41" s="2391"/>
      <c r="BB41" s="2391"/>
      <c r="BC41" s="2391"/>
      <c r="BD41" s="2391"/>
      <c r="BE41" s="2392"/>
      <c r="BF41" s="2326"/>
      <c r="BJ41" s="2449"/>
      <c r="BK41" s="2450"/>
      <c r="BL41" s="2450"/>
    </row>
    <row r="42" spans="1:77">
      <c r="A42" s="4654"/>
      <c r="B42" s="4643"/>
      <c r="D42" s="2323"/>
      <c r="AB42" s="2391"/>
      <c r="AC42" s="2391"/>
      <c r="AD42" s="2391"/>
      <c r="AE42" s="2391"/>
      <c r="AF42" s="2391"/>
      <c r="AG42" s="2391"/>
      <c r="AH42" s="2391"/>
      <c r="AI42" s="2391"/>
      <c r="AJ42" s="2391"/>
      <c r="AK42" s="2391"/>
      <c r="AL42" s="2391"/>
      <c r="AM42" s="2391"/>
      <c r="AN42" s="2391"/>
      <c r="AO42" s="2391"/>
      <c r="AP42" s="2391"/>
      <c r="AQ42" s="2391"/>
      <c r="AR42" s="2391"/>
      <c r="AS42" s="2391"/>
      <c r="AT42" s="2391"/>
      <c r="AU42" s="2391"/>
      <c r="AV42" s="2391"/>
      <c r="AW42" s="2391"/>
      <c r="AX42" s="2391"/>
      <c r="AY42" s="2391"/>
      <c r="AZ42" s="2391"/>
      <c r="BA42" s="2391"/>
      <c r="BB42" s="2391"/>
      <c r="BC42" s="2391"/>
      <c r="BD42" s="2391"/>
      <c r="BE42" s="2392"/>
      <c r="BF42" s="2326"/>
      <c r="BJ42" s="2449"/>
      <c r="BK42" s="2450"/>
      <c r="BL42" s="2450"/>
    </row>
    <row r="43" spans="1:77">
      <c r="A43" s="4654"/>
      <c r="B43" s="4643"/>
      <c r="D43" s="2323"/>
      <c r="AB43" s="2391"/>
      <c r="AC43" s="2391"/>
      <c r="AD43" s="2391"/>
      <c r="AE43" s="2391"/>
      <c r="AF43" s="2391"/>
      <c r="AG43" s="2391"/>
      <c r="AH43" s="2391"/>
      <c r="AI43" s="2391"/>
      <c r="AJ43" s="2391"/>
      <c r="AK43" s="2391"/>
      <c r="AL43" s="2391"/>
      <c r="AM43" s="2391"/>
      <c r="AN43" s="2391"/>
      <c r="AO43" s="2391"/>
      <c r="AP43" s="2391"/>
      <c r="AQ43" s="2391"/>
      <c r="AR43" s="2391"/>
      <c r="AS43" s="2391"/>
      <c r="AT43" s="2391"/>
      <c r="AU43" s="2391"/>
      <c r="AV43" s="2391"/>
      <c r="AW43" s="2391"/>
      <c r="AX43" s="2391"/>
      <c r="AY43" s="2391"/>
      <c r="AZ43" s="2391"/>
      <c r="BA43" s="2391"/>
      <c r="BB43" s="2391"/>
      <c r="BC43" s="2391"/>
      <c r="BD43" s="2391"/>
      <c r="BE43" s="2392"/>
      <c r="BF43" s="2326"/>
      <c r="BJ43" s="2449"/>
      <c r="BK43" s="2363"/>
    </row>
    <row r="44" spans="1:77">
      <c r="A44" s="4654"/>
      <c r="B44" s="4643"/>
      <c r="D44" s="2323"/>
      <c r="R44" s="2362"/>
      <c r="S44" s="2362"/>
      <c r="T44" s="2362"/>
      <c r="U44" s="2362"/>
      <c r="BE44" s="2326"/>
      <c r="BF44" s="2326"/>
      <c r="BJ44" s="2449"/>
      <c r="BK44" s="2363"/>
    </row>
    <row r="45" spans="1:77">
      <c r="A45" s="2323"/>
      <c r="D45" s="2323"/>
      <c r="AB45" s="2338"/>
      <c r="AC45" s="2338"/>
      <c r="AD45" s="2338"/>
      <c r="AE45" s="2338"/>
      <c r="AF45" s="2338"/>
      <c r="AG45" s="2338"/>
      <c r="AH45" s="2338"/>
      <c r="AI45" s="2338"/>
      <c r="AJ45" s="2338"/>
      <c r="AK45" s="2338"/>
      <c r="AL45" s="2338"/>
      <c r="AM45" s="2338"/>
      <c r="AN45" s="2338"/>
      <c r="AO45" s="2338"/>
      <c r="AP45" s="2338"/>
      <c r="AQ45" s="2338"/>
      <c r="AR45" s="2338"/>
      <c r="AS45" s="2338"/>
      <c r="AT45" s="2338"/>
      <c r="AU45" s="2338"/>
      <c r="AV45" s="2338"/>
      <c r="AW45" s="2338"/>
      <c r="AX45" s="2338"/>
      <c r="AY45" s="2338"/>
      <c r="AZ45" s="2338"/>
      <c r="BA45" s="2338"/>
      <c r="BB45" s="2338"/>
      <c r="BC45" s="2338"/>
      <c r="BD45" s="2338"/>
      <c r="BE45" s="2395"/>
      <c r="BF45" s="2326"/>
      <c r="BJ45" s="2449"/>
      <c r="BK45" s="2363"/>
    </row>
    <row r="46" spans="1:77">
      <c r="A46" s="2323"/>
      <c r="D46" s="2396"/>
      <c r="E46" s="2365"/>
      <c r="F46" s="2365"/>
      <c r="G46" s="2365"/>
      <c r="H46" s="2365"/>
      <c r="I46" s="2365"/>
      <c r="J46" s="2365"/>
      <c r="K46" s="2365"/>
      <c r="L46" s="2365"/>
      <c r="M46" s="2365"/>
      <c r="N46" s="2365"/>
      <c r="O46" s="2365"/>
      <c r="P46" s="2365"/>
      <c r="Q46" s="2365"/>
      <c r="R46" s="2365"/>
      <c r="S46" s="2365"/>
      <c r="T46" s="2365"/>
      <c r="U46" s="2365"/>
      <c r="V46" s="2365"/>
      <c r="W46" s="2365"/>
      <c r="X46" s="2365"/>
      <c r="Y46" s="2365"/>
      <c r="Z46" s="2365"/>
      <c r="AA46" s="2365"/>
      <c r="AB46" s="2365"/>
      <c r="AC46" s="2365"/>
      <c r="AD46" s="2365"/>
      <c r="AE46" s="2365"/>
      <c r="AF46" s="2365"/>
      <c r="AG46" s="2365"/>
      <c r="AH46" s="2365"/>
      <c r="AI46" s="2365"/>
      <c r="AJ46" s="2365"/>
      <c r="AK46" s="2365"/>
      <c r="AL46" s="2365"/>
      <c r="AM46" s="2365"/>
      <c r="AN46" s="2365"/>
      <c r="AO46" s="2365"/>
      <c r="AP46" s="2365"/>
      <c r="AQ46" s="2365"/>
      <c r="AR46" s="2365"/>
      <c r="AS46" s="2365"/>
      <c r="AT46" s="2365"/>
      <c r="AU46" s="2365"/>
      <c r="AV46" s="2365"/>
      <c r="AW46" s="2365"/>
      <c r="AX46" s="2365"/>
      <c r="AY46" s="2365"/>
      <c r="AZ46" s="2365"/>
      <c r="BA46" s="2365"/>
      <c r="BB46" s="2365"/>
      <c r="BC46" s="2365"/>
      <c r="BD46" s="2365"/>
      <c r="BE46" s="2397"/>
      <c r="BF46" s="2326"/>
      <c r="BH46" s="2386"/>
      <c r="BJ46" s="2449"/>
      <c r="BK46" s="2363"/>
    </row>
    <row r="47" spans="1:77">
      <c r="A47" s="2323"/>
      <c r="D47" s="2396"/>
      <c r="E47" s="2365"/>
      <c r="F47" s="2365"/>
      <c r="G47" s="2365"/>
      <c r="H47" s="2365"/>
      <c r="I47" s="2365"/>
      <c r="J47" s="2365"/>
      <c r="K47" s="2365"/>
      <c r="L47" s="2365"/>
      <c r="M47" s="2365"/>
      <c r="N47" s="2365"/>
      <c r="O47" s="2365"/>
      <c r="P47" s="2365"/>
      <c r="Q47" s="2365"/>
      <c r="R47" s="2365"/>
      <c r="S47" s="2365"/>
      <c r="T47" s="2365"/>
      <c r="U47" s="2365"/>
      <c r="V47" s="2365"/>
      <c r="W47" s="2365"/>
      <c r="X47" s="2365"/>
      <c r="Y47" s="2365"/>
      <c r="Z47" s="2365"/>
      <c r="AA47" s="2365"/>
      <c r="AB47" s="2365"/>
      <c r="AC47" s="2365"/>
      <c r="AD47" s="2365"/>
      <c r="AE47" s="2365"/>
      <c r="AF47" s="2365"/>
      <c r="AG47" s="2365"/>
      <c r="AH47" s="2365"/>
      <c r="AI47" s="2365"/>
      <c r="AJ47" s="2365"/>
      <c r="AK47" s="2365"/>
      <c r="AL47" s="2365"/>
      <c r="AM47" s="2365"/>
      <c r="AN47" s="2365"/>
      <c r="AO47" s="2365"/>
      <c r="AP47" s="2365"/>
      <c r="AQ47" s="2365"/>
      <c r="AR47" s="2365"/>
      <c r="AS47" s="2365"/>
      <c r="AT47" s="2365"/>
      <c r="AU47" s="2365"/>
      <c r="AV47" s="2365"/>
      <c r="AW47" s="2365"/>
      <c r="AX47" s="2365"/>
      <c r="AY47" s="2365"/>
      <c r="AZ47" s="2365"/>
      <c r="BA47" s="2365"/>
      <c r="BB47" s="2365"/>
      <c r="BC47" s="2365"/>
      <c r="BD47" s="2365"/>
      <c r="BE47" s="2397"/>
      <c r="BF47" s="2326"/>
      <c r="BJ47" s="2451"/>
      <c r="BK47" s="2451"/>
    </row>
    <row r="48" spans="1:77">
      <c r="A48" s="2323"/>
      <c r="D48" s="2323"/>
      <c r="R48" s="2362"/>
      <c r="S48" s="2362"/>
      <c r="T48" s="2362"/>
      <c r="U48" s="2362"/>
      <c r="AB48" s="2391"/>
      <c r="AC48" s="2391"/>
      <c r="AD48" s="2391"/>
      <c r="AE48" s="2391"/>
      <c r="AF48" s="2391"/>
      <c r="AG48" s="2391"/>
      <c r="AH48" s="2391"/>
      <c r="AI48" s="2391"/>
      <c r="AJ48" s="2391"/>
      <c r="AK48" s="2391"/>
      <c r="AL48" s="2391"/>
      <c r="AM48" s="2391"/>
      <c r="AN48" s="2391"/>
      <c r="AO48" s="2391"/>
      <c r="AP48" s="2391"/>
      <c r="AQ48" s="2391"/>
      <c r="AR48" s="2391"/>
      <c r="AS48" s="2391"/>
      <c r="AT48" s="2391"/>
      <c r="AU48" s="2391"/>
      <c r="AV48" s="2391"/>
      <c r="AW48" s="2391"/>
      <c r="AX48" s="2391"/>
      <c r="AY48" s="2391"/>
      <c r="AZ48" s="2391"/>
      <c r="BA48" s="2391"/>
      <c r="BB48" s="2391"/>
      <c r="BC48" s="2391"/>
      <c r="BD48" s="2391"/>
      <c r="BE48" s="2392"/>
      <c r="BF48" s="2326"/>
      <c r="BH48" s="2362"/>
      <c r="BI48" s="2362"/>
      <c r="BJ48" s="2362"/>
      <c r="BK48" s="2362"/>
    </row>
    <row r="49" spans="1:64">
      <c r="A49" s="2323"/>
      <c r="D49" s="2323"/>
      <c r="F49" s="2353"/>
      <c r="G49" s="2354"/>
      <c r="H49" s="2354"/>
      <c r="I49" s="2354"/>
      <c r="J49" s="2354"/>
      <c r="K49" s="2354"/>
      <c r="L49" s="2354"/>
      <c r="M49" s="2354"/>
      <c r="N49" s="2354"/>
      <c r="O49" s="2354"/>
      <c r="P49" s="2354"/>
      <c r="Q49" s="2354"/>
      <c r="R49" s="2343"/>
      <c r="S49" s="2343"/>
      <c r="T49" s="2343"/>
      <c r="U49" s="2343"/>
      <c r="V49" s="2354"/>
      <c r="W49" s="2354"/>
      <c r="X49" s="2354"/>
      <c r="Y49" s="2354"/>
      <c r="Z49" s="2354"/>
      <c r="AA49" s="4645" t="s">
        <v>1302</v>
      </c>
      <c r="AB49" s="4645"/>
      <c r="AC49" s="4645"/>
      <c r="AD49" s="2411" t="s">
        <v>176</v>
      </c>
      <c r="AE49" s="2411"/>
      <c r="AF49" s="4645" t="str">
        <f>IF(BO68="","",BK75)</f>
        <v/>
      </c>
      <c r="AG49" s="4645"/>
      <c r="AH49" s="4645"/>
      <c r="AI49" s="2411" t="s">
        <v>1197</v>
      </c>
      <c r="AJ49" s="2411"/>
      <c r="AK49" s="2411"/>
      <c r="AL49" s="2411"/>
      <c r="AM49" s="2411"/>
      <c r="AN49" s="2411"/>
      <c r="AO49" s="2411"/>
      <c r="AP49" s="2411"/>
      <c r="AQ49" s="2411"/>
      <c r="AR49" s="2411"/>
      <c r="AS49" s="2411"/>
      <c r="AT49" s="2411"/>
      <c r="AU49" s="2411"/>
      <c r="AV49" s="2411"/>
      <c r="AW49" s="2411"/>
      <c r="AX49" s="2411"/>
      <c r="AY49" s="2411"/>
      <c r="AZ49" s="2411"/>
      <c r="BA49" s="2411"/>
      <c r="BB49" s="2411"/>
      <c r="BC49" s="2412"/>
      <c r="BD49" s="2363"/>
      <c r="BE49" s="2413"/>
      <c r="BF49" s="2326"/>
      <c r="BH49" s="2362"/>
      <c r="BI49" s="2362"/>
      <c r="BJ49" s="2362"/>
      <c r="BK49" s="2362"/>
    </row>
    <row r="50" spans="1:64">
      <c r="A50" s="2323"/>
      <c r="D50" s="2323"/>
      <c r="R50" s="2362"/>
      <c r="S50" s="2362"/>
      <c r="T50" s="2362"/>
      <c r="U50" s="2362"/>
      <c r="AB50" s="2363"/>
      <c r="AC50" s="2363"/>
      <c r="AD50" s="2363"/>
      <c r="AE50" s="2363"/>
      <c r="AF50" s="2363"/>
      <c r="AG50" s="2363"/>
      <c r="AH50" s="2363"/>
      <c r="AI50" s="2363"/>
      <c r="AJ50" s="2363"/>
      <c r="AK50" s="2363"/>
      <c r="AL50" s="2363"/>
      <c r="AM50" s="2363"/>
      <c r="AN50" s="2363"/>
      <c r="AO50" s="2363"/>
      <c r="AP50" s="2363"/>
      <c r="AQ50" s="2363"/>
      <c r="AR50" s="2363"/>
      <c r="AS50" s="2363"/>
      <c r="AT50" s="2363"/>
      <c r="AU50" s="2363"/>
      <c r="AV50" s="2363"/>
      <c r="AW50" s="2363"/>
      <c r="AX50" s="2363"/>
      <c r="AY50" s="2363"/>
      <c r="AZ50" s="2363"/>
      <c r="BA50" s="2363"/>
      <c r="BB50" s="2363"/>
      <c r="BC50" s="2363"/>
      <c r="BD50" s="2363"/>
      <c r="BE50" s="2413"/>
      <c r="BF50" s="2326"/>
      <c r="BH50" s="2452"/>
      <c r="BI50" s="2362"/>
      <c r="BJ50" s="2453"/>
      <c r="BK50" s="2362"/>
      <c r="BL50" s="2450"/>
    </row>
    <row r="51" spans="1:64">
      <c r="A51" s="2323"/>
      <c r="D51" s="2370"/>
      <c r="E51" s="2371"/>
      <c r="F51" s="2371"/>
      <c r="G51" s="2371"/>
      <c r="H51" s="2371"/>
      <c r="I51" s="2371"/>
      <c r="J51" s="2371"/>
      <c r="K51" s="2371"/>
      <c r="L51" s="2371"/>
      <c r="M51" s="2371"/>
      <c r="N51" s="2371"/>
      <c r="O51" s="2371"/>
      <c r="P51" s="2371"/>
      <c r="Q51" s="2371"/>
      <c r="R51" s="2367"/>
      <c r="S51" s="2367"/>
      <c r="T51" s="2367"/>
      <c r="U51" s="2367"/>
      <c r="V51" s="2371"/>
      <c r="W51" s="2371"/>
      <c r="X51" s="2371"/>
      <c r="Y51" s="2371"/>
      <c r="Z51" s="2371"/>
      <c r="AA51" s="2371"/>
      <c r="AB51" s="2415"/>
      <c r="AC51" s="2415"/>
      <c r="AD51" s="2415"/>
      <c r="AE51" s="2415"/>
      <c r="AF51" s="2415"/>
      <c r="AG51" s="2415"/>
      <c r="AH51" s="2415"/>
      <c r="AI51" s="2415"/>
      <c r="AJ51" s="2415"/>
      <c r="AK51" s="2415"/>
      <c r="AL51" s="2415"/>
      <c r="AM51" s="2415"/>
      <c r="AN51" s="2415"/>
      <c r="AO51" s="2415"/>
      <c r="AP51" s="2415"/>
      <c r="AQ51" s="2415"/>
      <c r="AR51" s="2415"/>
      <c r="AS51" s="2415"/>
      <c r="AT51" s="2415"/>
      <c r="AU51" s="2415"/>
      <c r="AV51" s="2415"/>
      <c r="AW51" s="2415"/>
      <c r="AX51" s="2415"/>
      <c r="AY51" s="2415"/>
      <c r="AZ51" s="2415"/>
      <c r="BA51" s="2415"/>
      <c r="BB51" s="2415"/>
      <c r="BC51" s="2415"/>
      <c r="BD51" s="2415"/>
      <c r="BE51" s="2416"/>
      <c r="BF51" s="2326"/>
      <c r="BH51" s="2452"/>
      <c r="BI51" s="2362"/>
      <c r="BJ51" s="2453"/>
      <c r="BK51" s="2362"/>
    </row>
    <row r="52" spans="1:64">
      <c r="A52" s="2323"/>
      <c r="BF52" s="2326"/>
      <c r="BH52" s="2452"/>
      <c r="BI52" s="2362"/>
      <c r="BJ52" s="2453"/>
      <c r="BK52" s="2362"/>
    </row>
    <row r="53" spans="1:64">
      <c r="A53" s="2323"/>
      <c r="BF53" s="2326"/>
      <c r="BH53" s="2452"/>
      <c r="BI53" s="2362"/>
      <c r="BJ53" s="2454"/>
      <c r="BK53" s="2362"/>
    </row>
    <row r="54" spans="1:64">
      <c r="A54" s="2370"/>
      <c r="B54" s="2371"/>
      <c r="C54" s="2371"/>
      <c r="D54" s="2371"/>
      <c r="E54" s="2371"/>
      <c r="F54" s="2371"/>
      <c r="G54" s="2371"/>
      <c r="H54" s="2371"/>
      <c r="I54" s="2371"/>
      <c r="J54" s="2371"/>
      <c r="K54" s="2371"/>
      <c r="L54" s="2371"/>
      <c r="M54" s="2371"/>
      <c r="N54" s="2371"/>
      <c r="O54" s="2371"/>
      <c r="P54" s="2371"/>
      <c r="Q54" s="2371"/>
      <c r="R54" s="2371"/>
      <c r="S54" s="2371"/>
      <c r="T54" s="2371"/>
      <c r="U54" s="2371"/>
      <c r="V54" s="2371"/>
      <c r="W54" s="2371"/>
      <c r="X54" s="2371"/>
      <c r="Y54" s="2371"/>
      <c r="Z54" s="2371"/>
      <c r="AA54" s="2371"/>
      <c r="AB54" s="2371"/>
      <c r="AC54" s="2371"/>
      <c r="AD54" s="2371"/>
      <c r="AE54" s="2371"/>
      <c r="AF54" s="2371"/>
      <c r="AG54" s="2371"/>
      <c r="AH54" s="2371"/>
      <c r="AI54" s="2371"/>
      <c r="AJ54" s="2371"/>
      <c r="AK54" s="2371"/>
      <c r="AL54" s="2371"/>
      <c r="AM54" s="2371"/>
      <c r="AN54" s="2371"/>
      <c r="AO54" s="2371"/>
      <c r="AP54" s="2371"/>
      <c r="AQ54" s="2371"/>
      <c r="AR54" s="2371"/>
      <c r="AS54" s="2371"/>
      <c r="AT54" s="2371"/>
      <c r="AU54" s="2371"/>
      <c r="AV54" s="2371"/>
      <c r="AW54" s="2371"/>
      <c r="AX54" s="2371"/>
      <c r="AY54" s="2371"/>
      <c r="AZ54" s="2371"/>
      <c r="BA54" s="2371"/>
      <c r="BB54" s="2371"/>
      <c r="BC54" s="2371"/>
      <c r="BD54" s="2371"/>
      <c r="BE54" s="2371"/>
      <c r="BF54" s="2372"/>
      <c r="BH54" s="2452"/>
      <c r="BI54" s="2362"/>
      <c r="BJ54" s="2454"/>
      <c r="BK54" s="2362"/>
    </row>
    <row r="55" spans="1:64">
      <c r="BH55" s="2452"/>
      <c r="BI55" s="2362"/>
      <c r="BJ55" s="2454"/>
      <c r="BK55" s="2362"/>
    </row>
    <row r="56" spans="1:64">
      <c r="BH56" s="2452"/>
      <c r="BI56" s="2362"/>
      <c r="BJ56" s="2454"/>
      <c r="BK56" s="2362"/>
    </row>
    <row r="57" spans="1:64">
      <c r="BH57" s="2452"/>
      <c r="BI57" s="2362"/>
      <c r="BJ57" s="2454"/>
      <c r="BK57" s="2362"/>
    </row>
    <row r="58" spans="1:64">
      <c r="BH58" s="2452"/>
      <c r="BI58" s="2362"/>
    </row>
    <row r="59" spans="1:64">
      <c r="BH59" s="2452"/>
      <c r="BI59" s="2362"/>
    </row>
    <row r="60" spans="1:64">
      <c r="BH60" s="2452"/>
      <c r="BI60" s="2362"/>
    </row>
    <row r="61" spans="1:64">
      <c r="BH61" s="2452"/>
      <c r="BI61" s="2362"/>
    </row>
    <row r="62" spans="1:64">
      <c r="BH62" s="2452"/>
      <c r="BI62" s="2362"/>
    </row>
    <row r="63" spans="1:64">
      <c r="BH63" s="2452"/>
      <c r="BI63" s="2362"/>
    </row>
    <row r="64" spans="1:64">
      <c r="BH64" s="2452"/>
      <c r="BI64" s="2362"/>
      <c r="BL64" s="2455"/>
    </row>
    <row r="65" spans="62:68">
      <c r="BL65" s="2455"/>
    </row>
    <row r="67" spans="62:68">
      <c r="BK67" s="4737"/>
      <c r="BL67" s="4737"/>
      <c r="BM67" s="4737"/>
      <c r="BN67" s="4737"/>
      <c r="BO67" s="4737"/>
      <c r="BP67" s="4737"/>
    </row>
    <row r="68" spans="62:68">
      <c r="BK68" s="2456"/>
      <c r="BL68" s="2452"/>
      <c r="BM68" s="2452"/>
      <c r="BN68" s="2452"/>
      <c r="BO68" s="2456"/>
      <c r="BP68" s="2452"/>
    </row>
    <row r="69" spans="62:68">
      <c r="BK69" s="2456"/>
      <c r="BL69" s="2452"/>
      <c r="BM69" s="2452"/>
      <c r="BN69" s="2452"/>
      <c r="BO69" s="2452"/>
      <c r="BP69" s="2452"/>
    </row>
    <row r="70" spans="62:68">
      <c r="BK70" s="2452"/>
      <c r="BL70" s="2452"/>
      <c r="BM70" s="2452"/>
      <c r="BN70" s="2452"/>
      <c r="BO70" s="2452"/>
      <c r="BP70" s="2452"/>
    </row>
    <row r="71" spans="62:68">
      <c r="BK71" s="2452"/>
      <c r="BL71" s="2452"/>
      <c r="BM71" s="2452"/>
      <c r="BN71" s="2452"/>
      <c r="BO71" s="2452"/>
      <c r="BP71" s="2452"/>
    </row>
    <row r="72" spans="62:68">
      <c r="BK72" s="2452"/>
      <c r="BL72" s="2452"/>
      <c r="BM72" s="2452"/>
      <c r="BN72" s="2452"/>
      <c r="BO72" s="2452"/>
      <c r="BP72" s="2452"/>
    </row>
    <row r="74" spans="62:68">
      <c r="BJ74" s="2362"/>
    </row>
    <row r="75" spans="62:68">
      <c r="BJ75" s="2362"/>
    </row>
  </sheetData>
  <mergeCells count="32">
    <mergeCell ref="BK67:BL67"/>
    <mergeCell ref="BM67:BN67"/>
    <mergeCell ref="BO67:BP67"/>
    <mergeCell ref="BK40:BL40"/>
    <mergeCell ref="BM40:BN40"/>
    <mergeCell ref="A41:A44"/>
    <mergeCell ref="B41:B44"/>
    <mergeCell ref="AA49:AC49"/>
    <mergeCell ref="AF49:AH49"/>
    <mergeCell ref="BM30:BN30"/>
    <mergeCell ref="BJ35:BJ37"/>
    <mergeCell ref="BK35:BL35"/>
    <mergeCell ref="BM35:BN35"/>
    <mergeCell ref="A26:A38"/>
    <mergeCell ref="B26:B38"/>
    <mergeCell ref="AA26:AC26"/>
    <mergeCell ref="AF26:AH26"/>
    <mergeCell ref="BO35:BP35"/>
    <mergeCell ref="BV35:BW35"/>
    <mergeCell ref="BP22:BQ22"/>
    <mergeCell ref="BJ23:BK23"/>
    <mergeCell ref="BP23:BQ23"/>
    <mergeCell ref="BR23:BS23"/>
    <mergeCell ref="BJ30:BJ32"/>
    <mergeCell ref="BK30:BL30"/>
    <mergeCell ref="A21:A24"/>
    <mergeCell ref="B21:B24"/>
    <mergeCell ref="D3:BE3"/>
    <mergeCell ref="D4:BE4"/>
    <mergeCell ref="O6:S6"/>
    <mergeCell ref="A11:A13"/>
    <mergeCell ref="B11:B13"/>
  </mergeCells>
  <printOptions horizontalCentered="1" verticalCentered="1"/>
  <pageMargins left="0.3" right="0.3" top="0.3" bottom="0.3" header="0.2" footer="0.25"/>
  <pageSetup paperSize="9" scale="75" orientation="landscape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1BF01-68A0-42EB-8495-B85AA279C20E}">
  <sheetPr>
    <tabColor theme="9"/>
  </sheetPr>
  <dimension ref="A1:CB75"/>
  <sheetViews>
    <sheetView showGridLines="0" topLeftCell="BG1" zoomScaleNormal="100" zoomScaleSheetLayoutView="100" workbookViewId="0">
      <selection activeCell="BR23" sqref="BR23:BS23"/>
    </sheetView>
  </sheetViews>
  <sheetFormatPr defaultColWidth="8" defaultRowHeight="13.5"/>
  <cols>
    <col min="1" max="3" width="2.625" style="2313" hidden="1" customWidth="1"/>
    <col min="4" max="57" width="1.5" style="2313" hidden="1" customWidth="1"/>
    <col min="58" max="58" width="6.75" style="2313" hidden="1" customWidth="1"/>
    <col min="59" max="59" width="2.375" style="2313" customWidth="1"/>
    <col min="60" max="60" width="8" style="2313"/>
    <col min="61" max="61" width="9.625" style="2313" customWidth="1"/>
    <col min="62" max="62" width="9.375" style="2313" customWidth="1"/>
    <col min="63" max="63" width="9.125" style="2313" customWidth="1"/>
    <col min="64" max="16384" width="8" style="2313"/>
  </cols>
  <sheetData>
    <row r="1" spans="1:80">
      <c r="A1" s="2323"/>
      <c r="B1" s="2324"/>
      <c r="C1" s="2324"/>
      <c r="D1" s="2324"/>
      <c r="E1" s="2324"/>
      <c r="F1" s="2324"/>
      <c r="G1" s="2324"/>
      <c r="H1" s="2324"/>
      <c r="I1" s="2324"/>
      <c r="J1" s="2324"/>
      <c r="K1" s="2324"/>
      <c r="L1" s="2324"/>
      <c r="M1" s="2324"/>
      <c r="N1" s="2324"/>
      <c r="O1" s="2324"/>
      <c r="P1" s="2324"/>
      <c r="Q1" s="2324"/>
      <c r="R1" s="2324"/>
      <c r="S1" s="2324"/>
      <c r="T1" s="2324"/>
      <c r="U1" s="2324"/>
      <c r="V1" s="2324"/>
      <c r="W1" s="2324"/>
      <c r="X1" s="2324"/>
      <c r="Y1" s="2324"/>
      <c r="Z1" s="2324"/>
      <c r="AA1" s="2324"/>
      <c r="AB1" s="2324"/>
      <c r="AC1" s="2324"/>
      <c r="AD1" s="2324"/>
      <c r="AE1" s="2324"/>
      <c r="AF1" s="2324"/>
      <c r="AG1" s="2324"/>
      <c r="AH1" s="2324"/>
      <c r="AI1" s="2324"/>
      <c r="AJ1" s="2324"/>
      <c r="AK1" s="2324"/>
      <c r="AL1" s="2324"/>
      <c r="AM1" s="2324"/>
      <c r="AN1" s="2324"/>
      <c r="AO1" s="2324"/>
      <c r="AP1" s="2324"/>
      <c r="AQ1" s="2324"/>
      <c r="AR1" s="2324"/>
      <c r="AS1" s="2324"/>
      <c r="AT1" s="2324"/>
      <c r="AU1" s="2324"/>
      <c r="AV1" s="2324"/>
      <c r="AW1" s="2324"/>
      <c r="AX1" s="2324"/>
      <c r="AY1" s="2324"/>
      <c r="AZ1" s="2324"/>
      <c r="BA1" s="2324"/>
      <c r="BB1" s="2324"/>
      <c r="BC1" s="2324"/>
      <c r="BD1" s="2324"/>
      <c r="BE1" s="2324"/>
      <c r="BF1" s="2326"/>
    </row>
    <row r="2" spans="1:80">
      <c r="A2" s="2323"/>
      <c r="B2" s="2324"/>
      <c r="C2" s="2324"/>
      <c r="BF2" s="2326"/>
    </row>
    <row r="3" spans="1:80">
      <c r="A3" s="2323"/>
      <c r="B3" s="2324"/>
      <c r="C3" s="2324"/>
      <c r="D3" s="4632" t="s">
        <v>1188</v>
      </c>
      <c r="E3" s="4632"/>
      <c r="F3" s="4632"/>
      <c r="G3" s="4632"/>
      <c r="H3" s="4632"/>
      <c r="I3" s="4632"/>
      <c r="J3" s="4632"/>
      <c r="K3" s="4632"/>
      <c r="L3" s="4632"/>
      <c r="M3" s="4632"/>
      <c r="N3" s="4632"/>
      <c r="O3" s="4632"/>
      <c r="P3" s="4632"/>
      <c r="Q3" s="4632"/>
      <c r="R3" s="4632"/>
      <c r="S3" s="4632"/>
      <c r="T3" s="4632"/>
      <c r="U3" s="4632"/>
      <c r="V3" s="4632"/>
      <c r="W3" s="4632"/>
      <c r="X3" s="4632"/>
      <c r="Y3" s="4632"/>
      <c r="Z3" s="4632"/>
      <c r="AA3" s="4632"/>
      <c r="AB3" s="4632"/>
      <c r="AC3" s="4632"/>
      <c r="AD3" s="4632"/>
      <c r="AE3" s="4632"/>
      <c r="AF3" s="4632"/>
      <c r="AG3" s="4632"/>
      <c r="AH3" s="4632"/>
      <c r="AI3" s="4632"/>
      <c r="AJ3" s="4632"/>
      <c r="AK3" s="4632"/>
      <c r="AL3" s="4632"/>
      <c r="AM3" s="4632"/>
      <c r="AN3" s="4632"/>
      <c r="AO3" s="4632"/>
      <c r="AP3" s="4632"/>
      <c r="AQ3" s="4632"/>
      <c r="AR3" s="4632"/>
      <c r="AS3" s="4632"/>
      <c r="AT3" s="4632"/>
      <c r="AU3" s="4632"/>
      <c r="AV3" s="4632"/>
      <c r="AW3" s="4632"/>
      <c r="AX3" s="4632"/>
      <c r="AY3" s="4632"/>
      <c r="AZ3" s="4632"/>
      <c r="BA3" s="4632"/>
      <c r="BB3" s="4632"/>
      <c r="BC3" s="4632"/>
      <c r="BD3" s="4632"/>
      <c r="BE3" s="4632"/>
      <c r="BF3" s="2326"/>
    </row>
    <row r="4" spans="1:80">
      <c r="A4" s="2323"/>
      <c r="B4" s="2324"/>
      <c r="C4" s="2324"/>
      <c r="D4" s="4633" t="s">
        <v>1102</v>
      </c>
      <c r="E4" s="4633"/>
      <c r="F4" s="4633"/>
      <c r="G4" s="4633"/>
      <c r="H4" s="4633"/>
      <c r="I4" s="4633"/>
      <c r="J4" s="4633"/>
      <c r="K4" s="4633"/>
      <c r="L4" s="4633"/>
      <c r="M4" s="4633"/>
      <c r="N4" s="4633"/>
      <c r="O4" s="4633"/>
      <c r="P4" s="4633"/>
      <c r="Q4" s="4633"/>
      <c r="R4" s="4633"/>
      <c r="S4" s="4633"/>
      <c r="T4" s="4633"/>
      <c r="U4" s="4633"/>
      <c r="V4" s="4633"/>
      <c r="W4" s="4633"/>
      <c r="X4" s="4633"/>
      <c r="Y4" s="4633"/>
      <c r="Z4" s="4633"/>
      <c r="AA4" s="4633"/>
      <c r="AB4" s="4633"/>
      <c r="AC4" s="4633"/>
      <c r="AD4" s="4633"/>
      <c r="AE4" s="4633"/>
      <c r="AF4" s="4633"/>
      <c r="AG4" s="4633"/>
      <c r="AH4" s="4633"/>
      <c r="AI4" s="4633"/>
      <c r="AJ4" s="4633"/>
      <c r="AK4" s="4633"/>
      <c r="AL4" s="4633"/>
      <c r="AM4" s="4633"/>
      <c r="AN4" s="4633"/>
      <c r="AO4" s="4633"/>
      <c r="AP4" s="4633"/>
      <c r="AQ4" s="4633"/>
      <c r="AR4" s="4633"/>
      <c r="AS4" s="4633"/>
      <c r="AT4" s="4633"/>
      <c r="AU4" s="4633"/>
      <c r="AV4" s="4633"/>
      <c r="AW4" s="4633"/>
      <c r="AX4" s="4633"/>
      <c r="AY4" s="4633"/>
      <c r="AZ4" s="4633"/>
      <c r="BA4" s="4633"/>
      <c r="BB4" s="4633"/>
      <c r="BC4" s="4633"/>
      <c r="BD4" s="4633"/>
      <c r="BE4" s="4633"/>
      <c r="BF4" s="2326"/>
    </row>
    <row r="5" spans="1:80">
      <c r="A5" s="2323"/>
      <c r="B5" s="2324"/>
      <c r="C5" s="2324"/>
      <c r="D5" s="2324"/>
      <c r="E5" s="2324"/>
      <c r="F5" s="2324"/>
      <c r="G5" s="2324"/>
      <c r="H5" s="2324"/>
      <c r="I5" s="2324"/>
      <c r="J5" s="2324"/>
      <c r="K5" s="2324"/>
      <c r="L5" s="2324"/>
      <c r="M5" s="2324"/>
      <c r="N5" s="2324"/>
      <c r="O5" s="2324"/>
      <c r="P5" s="2324"/>
      <c r="Q5" s="2324"/>
      <c r="R5" s="2324"/>
      <c r="S5" s="2324"/>
      <c r="T5" s="2324"/>
      <c r="U5" s="2324"/>
      <c r="V5" s="2324"/>
      <c r="W5" s="2324"/>
      <c r="X5" s="2324"/>
      <c r="Y5" s="2324"/>
      <c r="Z5" s="2324"/>
      <c r="AA5" s="2324"/>
      <c r="AB5" s="2324"/>
      <c r="AC5" s="2324"/>
      <c r="AD5" s="2324"/>
      <c r="AE5" s="2324"/>
      <c r="AF5" s="2324"/>
      <c r="AG5" s="2324"/>
      <c r="AH5" s="2324"/>
      <c r="AI5" s="2324"/>
      <c r="AJ5" s="2324"/>
      <c r="AK5" s="2324"/>
      <c r="AL5" s="2324"/>
      <c r="AM5" s="2324"/>
      <c r="AN5" s="2324"/>
      <c r="AO5" s="2324"/>
      <c r="AP5" s="2324"/>
      <c r="AQ5" s="2324"/>
      <c r="AR5" s="2324"/>
      <c r="AS5" s="2324"/>
      <c r="AT5" s="2324"/>
      <c r="AU5" s="2324"/>
      <c r="AV5" s="2324"/>
      <c r="AW5" s="2324"/>
      <c r="AX5" s="2324"/>
      <c r="AY5" s="2324"/>
      <c r="AZ5" s="2324"/>
      <c r="BA5" s="2324"/>
      <c r="BB5" s="2324"/>
      <c r="BC5" s="2324"/>
      <c r="BD5" s="2324"/>
      <c r="BE5" s="2324"/>
      <c r="BF5" s="2326"/>
      <c r="BH5" s="2457" t="s">
        <v>1189</v>
      </c>
    </row>
    <row r="6" spans="1:80">
      <c r="A6" s="2323"/>
      <c r="B6" s="2324"/>
      <c r="C6" s="2324"/>
      <c r="O6" s="4738"/>
      <c r="P6" s="4738"/>
      <c r="Q6" s="4738"/>
      <c r="R6" s="4738"/>
      <c r="S6" s="4738"/>
      <c r="X6" s="2324"/>
      <c r="Y6" s="2324"/>
      <c r="Z6" s="2324"/>
      <c r="AA6" s="2324"/>
      <c r="AB6" s="2324"/>
      <c r="AC6" s="2324"/>
      <c r="AD6" s="2324"/>
      <c r="AE6" s="2324"/>
      <c r="AF6" s="2324"/>
      <c r="AG6" s="2324"/>
      <c r="AH6" s="2324"/>
      <c r="AI6" s="2324"/>
      <c r="AJ6" s="2324"/>
      <c r="AK6" s="2324"/>
      <c r="AL6" s="2324"/>
      <c r="AM6" s="2324"/>
      <c r="AN6" s="2324"/>
      <c r="AO6" s="2324"/>
      <c r="AP6" s="2324"/>
      <c r="AQ6" s="2324"/>
      <c r="AR6" s="2324"/>
      <c r="AS6" s="2324"/>
      <c r="AT6" s="2324"/>
      <c r="AU6" s="2324"/>
      <c r="AV6" s="2324"/>
      <c r="AW6" s="2324"/>
      <c r="AX6" s="2324"/>
      <c r="AY6" s="2324"/>
      <c r="AZ6" s="2324"/>
      <c r="BA6" s="2324"/>
      <c r="BB6" s="2324"/>
      <c r="BC6" s="2324"/>
      <c r="BD6" s="2324"/>
      <c r="BE6" s="2324"/>
      <c r="BF6" s="2326"/>
    </row>
    <row r="7" spans="1:80">
      <c r="A7" s="2323"/>
      <c r="B7" s="2324"/>
      <c r="C7" s="2324"/>
      <c r="D7" s="2324"/>
      <c r="E7" s="2324"/>
      <c r="F7" s="2324"/>
      <c r="G7" s="2324"/>
      <c r="H7" s="2324"/>
      <c r="I7" s="2324"/>
      <c r="J7" s="2324"/>
      <c r="K7" s="2324"/>
      <c r="L7" s="2324"/>
      <c r="M7" s="2324"/>
      <c r="N7" s="2324"/>
      <c r="O7" s="2324"/>
      <c r="P7" s="2324"/>
      <c r="Q7" s="2324"/>
      <c r="R7" s="2324"/>
      <c r="S7" s="2324"/>
      <c r="T7" s="2324"/>
      <c r="U7" s="2324"/>
      <c r="V7" s="2324"/>
      <c r="W7" s="2324"/>
      <c r="X7" s="2324"/>
      <c r="Y7" s="2324"/>
      <c r="Z7" s="2324"/>
      <c r="AA7" s="2324"/>
      <c r="AB7" s="2324"/>
      <c r="AC7" s="2324"/>
      <c r="AD7" s="2324"/>
      <c r="AE7" s="2324"/>
      <c r="AF7" s="2324"/>
      <c r="AG7" s="2324"/>
      <c r="AH7" s="2324"/>
      <c r="AI7" s="2324"/>
      <c r="AJ7" s="2324"/>
      <c r="AK7" s="2324"/>
      <c r="AL7" s="2324"/>
      <c r="AM7" s="2324"/>
      <c r="AN7" s="2324"/>
      <c r="AO7" s="2324"/>
      <c r="AP7" s="2324"/>
      <c r="AQ7" s="2324"/>
      <c r="AR7" s="2324"/>
      <c r="AS7" s="2324"/>
      <c r="AT7" s="2324"/>
      <c r="AU7" s="2324"/>
      <c r="AV7" s="2324"/>
      <c r="AW7" s="2324"/>
      <c r="AX7" s="2324"/>
      <c r="AY7" s="2324"/>
      <c r="AZ7" s="2324"/>
      <c r="BA7" s="2324"/>
      <c r="BB7" s="2324"/>
      <c r="BC7" s="2324"/>
      <c r="BD7" s="2324"/>
      <c r="BE7" s="2324"/>
      <c r="BF7" s="2326"/>
      <c r="BH7" s="2322" t="s">
        <v>16</v>
      </c>
      <c r="BI7" s="2322" t="s">
        <v>1186</v>
      </c>
    </row>
    <row r="8" spans="1:80">
      <c r="A8" s="2314"/>
      <c r="C8" s="2324"/>
      <c r="D8" s="2319"/>
      <c r="E8" s="2320"/>
      <c r="F8" s="2320"/>
      <c r="G8" s="2320"/>
      <c r="H8" s="2320"/>
      <c r="I8" s="2320"/>
      <c r="J8" s="2320"/>
      <c r="K8" s="2320"/>
      <c r="L8" s="2320"/>
      <c r="M8" s="2320"/>
      <c r="N8" s="2320"/>
      <c r="O8" s="2320"/>
      <c r="P8" s="2320"/>
      <c r="Q8" s="2320"/>
      <c r="R8" s="2387"/>
      <c r="S8" s="2387"/>
      <c r="T8" s="2387"/>
      <c r="U8" s="2387"/>
      <c r="V8" s="2320"/>
      <c r="W8" s="2320"/>
      <c r="X8" s="2320"/>
      <c r="Y8" s="2320"/>
      <c r="Z8" s="2320"/>
      <c r="AA8" s="2320"/>
      <c r="AB8" s="2320"/>
      <c r="AC8" s="2320"/>
      <c r="AD8" s="2320"/>
      <c r="AE8" s="2320"/>
      <c r="AF8" s="2320"/>
      <c r="AG8" s="2320"/>
      <c r="AH8" s="2320"/>
      <c r="AI8" s="2320"/>
      <c r="AJ8" s="2320"/>
      <c r="AK8" s="2320"/>
      <c r="AL8" s="2320"/>
      <c r="AM8" s="2320"/>
      <c r="AN8" s="2320"/>
      <c r="AO8" s="2320"/>
      <c r="AP8" s="2320"/>
      <c r="AQ8" s="2320"/>
      <c r="AR8" s="2320"/>
      <c r="AS8" s="2320"/>
      <c r="AT8" s="2320"/>
      <c r="AU8" s="2320"/>
      <c r="AV8" s="2320"/>
      <c r="AW8" s="2320"/>
      <c r="AX8" s="2320"/>
      <c r="AY8" s="2320"/>
      <c r="AZ8" s="2320"/>
      <c r="BA8" s="2320"/>
      <c r="BB8" s="2320"/>
      <c r="BC8" s="2320"/>
      <c r="BD8" s="2320"/>
      <c r="BE8" s="2321"/>
      <c r="BF8" s="2326"/>
      <c r="BH8" s="2458" t="s">
        <v>1190</v>
      </c>
      <c r="BI8" s="2458" t="s">
        <v>583</v>
      </c>
    </row>
    <row r="9" spans="1:80" ht="15" customHeight="1">
      <c r="A9" s="2314"/>
      <c r="C9" s="2324"/>
      <c r="D9" s="2323"/>
      <c r="E9" s="2324"/>
      <c r="F9" s="2324"/>
      <c r="G9" s="2324"/>
      <c r="H9" s="2324"/>
      <c r="I9" s="2324"/>
      <c r="J9" s="2324"/>
      <c r="K9" s="2324"/>
      <c r="L9" s="2324"/>
      <c r="M9" s="2324"/>
      <c r="N9" s="2324"/>
      <c r="O9" s="2324"/>
      <c r="P9" s="2324"/>
      <c r="Q9" s="2324"/>
      <c r="R9" s="2324"/>
      <c r="S9" s="2324"/>
      <c r="T9" s="2324"/>
      <c r="U9" s="2324"/>
      <c r="V9" s="2324"/>
      <c r="W9" s="2324"/>
      <c r="X9" s="2324"/>
      <c r="Y9" s="2324"/>
      <c r="Z9" s="2324"/>
      <c r="AA9" s="2324"/>
      <c r="AB9" s="2388"/>
      <c r="AC9" s="2388"/>
      <c r="AD9" s="2388"/>
      <c r="AE9" s="2388"/>
      <c r="AF9" s="2388"/>
      <c r="AG9" s="2388"/>
      <c r="AH9" s="2388"/>
      <c r="AI9" s="2388"/>
      <c r="AJ9" s="2388"/>
      <c r="AK9" s="2388"/>
      <c r="AL9" s="2388"/>
      <c r="AM9" s="2388"/>
      <c r="AN9" s="2388"/>
      <c r="AO9" s="2388"/>
      <c r="AP9" s="2388"/>
      <c r="AQ9" s="2388"/>
      <c r="AR9" s="2388"/>
      <c r="AS9" s="2388"/>
      <c r="AT9" s="2388"/>
      <c r="AU9" s="2388"/>
      <c r="AV9" s="2388"/>
      <c r="AW9" s="2388"/>
      <c r="AX9" s="2388"/>
      <c r="AY9" s="2388"/>
      <c r="AZ9" s="2388"/>
      <c r="BA9" s="2388"/>
      <c r="BB9" s="2388"/>
      <c r="BC9" s="2388"/>
      <c r="BD9" s="2388"/>
      <c r="BE9" s="2389"/>
      <c r="BF9" s="2326"/>
      <c r="BH9" s="2390">
        <f>'Cons.Ds CD'!D45</f>
        <v>0</v>
      </c>
      <c r="BI9" s="2459">
        <f>IF('Cons.Ds CD'!AH45="","",'Cons.Ds CD'!AH45)</f>
        <v>24.900000000000002</v>
      </c>
    </row>
    <row r="10" spans="1:80">
      <c r="A10" s="2307" t="s">
        <v>27</v>
      </c>
      <c r="B10" s="2306" t="s">
        <v>27</v>
      </c>
      <c r="C10" s="2324"/>
      <c r="D10" s="2323"/>
      <c r="E10" s="2324"/>
      <c r="F10" s="2324"/>
      <c r="G10" s="2324"/>
      <c r="H10" s="2324"/>
      <c r="I10" s="2324"/>
      <c r="J10" s="2324"/>
      <c r="K10" s="2324"/>
      <c r="L10" s="2324"/>
      <c r="M10" s="2324"/>
      <c r="N10" s="2324"/>
      <c r="O10" s="2324"/>
      <c r="P10" s="2324"/>
      <c r="Q10" s="2324"/>
      <c r="R10" s="2362"/>
      <c r="S10" s="2362"/>
      <c r="T10" s="2362"/>
      <c r="U10" s="2362"/>
      <c r="V10" s="2324"/>
      <c r="W10" s="2324"/>
      <c r="X10" s="2324"/>
      <c r="Y10" s="2324"/>
      <c r="Z10" s="2324"/>
      <c r="AA10" s="2324"/>
      <c r="AB10" s="2391"/>
      <c r="AC10" s="2391"/>
      <c r="AD10" s="2391"/>
      <c r="AE10" s="2391"/>
      <c r="AF10" s="2391"/>
      <c r="AG10" s="2391"/>
      <c r="AH10" s="2391"/>
      <c r="AI10" s="2391"/>
      <c r="AJ10" s="2391"/>
      <c r="AK10" s="2391"/>
      <c r="AL10" s="2391"/>
      <c r="AM10" s="2391"/>
      <c r="AN10" s="2391"/>
      <c r="AO10" s="2391"/>
      <c r="AP10" s="2391"/>
      <c r="AQ10" s="2391"/>
      <c r="AR10" s="2391"/>
      <c r="AS10" s="2391"/>
      <c r="AT10" s="2391"/>
      <c r="AU10" s="2391"/>
      <c r="AV10" s="2391"/>
      <c r="AW10" s="2391"/>
      <c r="AX10" s="2391"/>
      <c r="AY10" s="2391"/>
      <c r="AZ10" s="2391"/>
      <c r="BA10" s="2391"/>
      <c r="BB10" s="2391"/>
      <c r="BC10" s="2391"/>
      <c r="BD10" s="2391"/>
      <c r="BE10" s="2392"/>
      <c r="BF10" s="2326"/>
      <c r="BH10" s="2393">
        <f>'Cons.Ds CD'!D46</f>
        <v>0.25</v>
      </c>
      <c r="BI10" s="2460">
        <f>IF('Cons.Ds CD'!AH46="","",'Cons.Ds CD'!AH46)</f>
        <v>23.886000000000003</v>
      </c>
    </row>
    <row r="11" spans="1:80" ht="15" customHeight="1">
      <c r="A11" s="4700" t="s">
        <v>76</v>
      </c>
      <c r="B11" s="4701" t="s">
        <v>76</v>
      </c>
      <c r="C11" s="2324"/>
      <c r="D11" s="2323"/>
      <c r="E11" s="2324"/>
      <c r="F11" s="2324"/>
      <c r="G11" s="2324"/>
      <c r="H11" s="2324"/>
      <c r="I11" s="2324"/>
      <c r="J11" s="2324"/>
      <c r="K11" s="2324"/>
      <c r="L11" s="2324"/>
      <c r="M11" s="2324"/>
      <c r="N11" s="2324"/>
      <c r="O11" s="2324"/>
      <c r="P11" s="2324"/>
      <c r="Q11" s="2324"/>
      <c r="R11" s="2362"/>
      <c r="S11" s="2362"/>
      <c r="T11" s="2362"/>
      <c r="U11" s="2362"/>
      <c r="V11" s="2324"/>
      <c r="W11" s="2324"/>
      <c r="X11" s="2324"/>
      <c r="Y11" s="2324"/>
      <c r="Z11" s="2324"/>
      <c r="AA11" s="2324"/>
      <c r="AB11" s="2391"/>
      <c r="AC11" s="2391"/>
      <c r="AD11" s="2391"/>
      <c r="AE11" s="2391"/>
      <c r="AF11" s="2391"/>
      <c r="AG11" s="2391"/>
      <c r="AH11" s="2391"/>
      <c r="AI11" s="2391"/>
      <c r="AJ11" s="2391"/>
      <c r="AK11" s="2391"/>
      <c r="AL11" s="2391"/>
      <c r="AM11" s="2391"/>
      <c r="AN11" s="2391"/>
      <c r="AO11" s="2391"/>
      <c r="AP11" s="2391"/>
      <c r="AQ11" s="2391"/>
      <c r="AR11" s="2391"/>
      <c r="AS11" s="2391"/>
      <c r="AT11" s="2391"/>
      <c r="AU11" s="2391"/>
      <c r="AV11" s="2391"/>
      <c r="AW11" s="2391"/>
      <c r="AX11" s="2391"/>
      <c r="AY11" s="2391"/>
      <c r="AZ11" s="2391"/>
      <c r="BA11" s="2391"/>
      <c r="BB11" s="2391"/>
      <c r="BC11" s="2391"/>
      <c r="BD11" s="2391"/>
      <c r="BE11" s="2392"/>
      <c r="BF11" s="2326"/>
      <c r="BH11" s="2393">
        <f>'Cons.Ds CD'!D47</f>
        <v>1</v>
      </c>
      <c r="BI11" s="2460">
        <f>IF('Cons.Ds CD'!AH47="","",'Cons.Ds CD'!AH47)</f>
        <v>23.867000000000001</v>
      </c>
    </row>
    <row r="12" spans="1:80">
      <c r="A12" s="4700"/>
      <c r="B12" s="4701"/>
      <c r="C12" s="2324"/>
      <c r="D12" s="2323"/>
      <c r="E12" s="2324"/>
      <c r="F12" s="2324"/>
      <c r="G12" s="2324"/>
      <c r="H12" s="2324"/>
      <c r="I12" s="2324"/>
      <c r="J12" s="2324"/>
      <c r="K12" s="2324"/>
      <c r="L12" s="2324"/>
      <c r="M12" s="2324"/>
      <c r="N12" s="2324"/>
      <c r="O12" s="2324"/>
      <c r="P12" s="2324"/>
      <c r="Q12" s="2324"/>
      <c r="R12" s="2362"/>
      <c r="S12" s="2362"/>
      <c r="T12" s="2362"/>
      <c r="U12" s="2362"/>
      <c r="V12" s="2324"/>
      <c r="W12" s="2324"/>
      <c r="X12" s="2324"/>
      <c r="Y12" s="2324"/>
      <c r="Z12" s="2324"/>
      <c r="AA12" s="2324"/>
      <c r="AB12" s="2391"/>
      <c r="AC12" s="2391"/>
      <c r="AD12" s="2391"/>
      <c r="AE12" s="2391"/>
      <c r="AF12" s="2391"/>
      <c r="AG12" s="2391"/>
      <c r="AH12" s="2391"/>
      <c r="AI12" s="2391"/>
      <c r="AJ12" s="2391"/>
      <c r="AK12" s="2391"/>
      <c r="AL12" s="2391"/>
      <c r="AM12" s="2391"/>
      <c r="AN12" s="2391"/>
      <c r="AO12" s="2391"/>
      <c r="AP12" s="2391"/>
      <c r="AQ12" s="2391"/>
      <c r="AR12" s="2391"/>
      <c r="AS12" s="2391"/>
      <c r="AT12" s="2391"/>
      <c r="AU12" s="2391"/>
      <c r="AV12" s="2391"/>
      <c r="AW12" s="2391"/>
      <c r="AX12" s="2391"/>
      <c r="AY12" s="2391"/>
      <c r="AZ12" s="2391"/>
      <c r="BA12" s="2391"/>
      <c r="BB12" s="2391"/>
      <c r="BC12" s="2391"/>
      <c r="BD12" s="2391"/>
      <c r="BE12" s="2392"/>
      <c r="BF12" s="2326"/>
      <c r="BH12" s="2393">
        <f>'Cons.Ds CD'!D48</f>
        <v>4</v>
      </c>
      <c r="BI12" s="2460">
        <f>IF('Cons.Ds CD'!AH48="","",'Cons.Ds CD'!AH48)</f>
        <v>23.846</v>
      </c>
    </row>
    <row r="13" spans="1:80">
      <c r="A13" s="4700"/>
      <c r="B13" s="4701"/>
      <c r="C13" s="2324"/>
      <c r="D13" s="2323"/>
      <c r="E13" s="2324"/>
      <c r="F13" s="2324"/>
      <c r="G13" s="2324"/>
      <c r="H13" s="2324"/>
      <c r="I13" s="2324"/>
      <c r="J13" s="2324"/>
      <c r="K13" s="2324"/>
      <c r="L13" s="2324"/>
      <c r="M13" s="2324"/>
      <c r="N13" s="2324"/>
      <c r="O13" s="2324"/>
      <c r="P13" s="2324"/>
      <c r="Q13" s="2324"/>
      <c r="R13" s="2362"/>
      <c r="S13" s="2362"/>
      <c r="T13" s="2362"/>
      <c r="U13" s="2362"/>
      <c r="V13" s="2324"/>
      <c r="W13" s="2324"/>
      <c r="X13" s="2324"/>
      <c r="Y13" s="2324"/>
      <c r="Z13" s="2324"/>
      <c r="AA13" s="2324"/>
      <c r="AB13" s="2391"/>
      <c r="AC13" s="2391"/>
      <c r="AD13" s="2391"/>
      <c r="AE13" s="2391"/>
      <c r="AF13" s="2391"/>
      <c r="AG13" s="2391"/>
      <c r="AH13" s="2391"/>
      <c r="AI13" s="2391"/>
      <c r="AJ13" s="2391"/>
      <c r="AK13" s="2391"/>
      <c r="AL13" s="2391"/>
      <c r="AM13" s="2391"/>
      <c r="AN13" s="2391"/>
      <c r="AO13" s="2391"/>
      <c r="AP13" s="2391"/>
      <c r="AQ13" s="2391"/>
      <c r="AR13" s="2391"/>
      <c r="AS13" s="2391"/>
      <c r="AT13" s="2391"/>
      <c r="AU13" s="2391"/>
      <c r="AV13" s="2391"/>
      <c r="AW13" s="2391"/>
      <c r="AX13" s="2391"/>
      <c r="AY13" s="2391"/>
      <c r="AZ13" s="2391"/>
      <c r="BA13" s="2391"/>
      <c r="BB13" s="2391"/>
      <c r="BC13" s="2391"/>
      <c r="BD13" s="2391"/>
      <c r="BE13" s="2392"/>
      <c r="BF13" s="2326"/>
      <c r="BH13" s="2393">
        <f>'Cons.Ds CD'!D49</f>
        <v>6.25</v>
      </c>
      <c r="BI13" s="2460">
        <f>IF('Cons.Ds CD'!AH49="","",'Cons.Ds CD'!AH49)</f>
        <v>23.837000000000003</v>
      </c>
    </row>
    <row r="14" spans="1:80">
      <c r="A14" s="2314"/>
      <c r="C14" s="2324"/>
      <c r="D14" s="2323"/>
      <c r="E14" s="2324"/>
      <c r="F14" s="2324"/>
      <c r="G14" s="2324"/>
      <c r="H14" s="2324"/>
      <c r="I14" s="2324"/>
      <c r="J14" s="2324"/>
      <c r="K14" s="2324"/>
      <c r="L14" s="2324"/>
      <c r="M14" s="2324"/>
      <c r="N14" s="2324"/>
      <c r="O14" s="2324"/>
      <c r="P14" s="2324"/>
      <c r="Q14" s="2324"/>
      <c r="R14" s="2362"/>
      <c r="S14" s="2362"/>
      <c r="T14" s="2362"/>
      <c r="U14" s="2362"/>
      <c r="V14" s="2324"/>
      <c r="W14" s="2324"/>
      <c r="X14" s="2324"/>
      <c r="Y14" s="2324"/>
      <c r="Z14" s="2324"/>
      <c r="AA14" s="2324"/>
      <c r="AB14" s="2391"/>
      <c r="AC14" s="2391"/>
      <c r="AD14" s="2391"/>
      <c r="AE14" s="2391"/>
      <c r="AF14" s="2391"/>
      <c r="AG14" s="2391"/>
      <c r="AH14" s="2391"/>
      <c r="AI14" s="2391"/>
      <c r="AJ14" s="2391"/>
      <c r="AK14" s="2391"/>
      <c r="AL14" s="2391"/>
      <c r="AM14" s="2391"/>
      <c r="AN14" s="2391"/>
      <c r="AO14" s="2391"/>
      <c r="AP14" s="2391"/>
      <c r="AQ14" s="2391"/>
      <c r="AR14" s="2391"/>
      <c r="AS14" s="2391"/>
      <c r="AT14" s="2391"/>
      <c r="AU14" s="2391"/>
      <c r="AV14" s="2391"/>
      <c r="AW14" s="2391"/>
      <c r="AX14" s="2391"/>
      <c r="AY14" s="2391"/>
      <c r="AZ14" s="2391"/>
      <c r="BA14" s="2391"/>
      <c r="BB14" s="2391"/>
      <c r="BC14" s="2391"/>
      <c r="BD14" s="2391"/>
      <c r="BE14" s="2392"/>
      <c r="BF14" s="2326"/>
      <c r="BH14" s="2393">
        <f>'Cons.Ds CD'!D50</f>
        <v>9</v>
      </c>
      <c r="BI14" s="2460">
        <f>IF('Cons.Ds CD'!AH50="","",'Cons.Ds CD'!AH50)</f>
        <v>23.817</v>
      </c>
      <c r="CA14" s="2461"/>
      <c r="CB14" s="2462"/>
    </row>
    <row r="15" spans="1:80" ht="15" customHeight="1">
      <c r="A15" s="2314"/>
      <c r="C15" s="2324"/>
      <c r="D15" s="2323"/>
      <c r="E15" s="2324"/>
      <c r="F15" s="2324"/>
      <c r="G15" s="2324"/>
      <c r="H15" s="2324"/>
      <c r="I15" s="2324"/>
      <c r="J15" s="2324"/>
      <c r="K15" s="2324"/>
      <c r="L15" s="2324"/>
      <c r="M15" s="2324"/>
      <c r="N15" s="2324"/>
      <c r="O15" s="2324"/>
      <c r="P15" s="2324"/>
      <c r="Q15" s="2324"/>
      <c r="R15" s="2362"/>
      <c r="S15" s="2362"/>
      <c r="T15" s="2362"/>
      <c r="U15" s="2362"/>
      <c r="V15" s="2324"/>
      <c r="W15" s="2324"/>
      <c r="X15" s="2324"/>
      <c r="Y15" s="2324"/>
      <c r="Z15" s="2324"/>
      <c r="AA15" s="2324"/>
      <c r="AB15" s="2391"/>
      <c r="AC15" s="2391"/>
      <c r="AD15" s="2391"/>
      <c r="AE15" s="2391"/>
      <c r="AF15" s="2391"/>
      <c r="AG15" s="2391"/>
      <c r="AH15" s="2391"/>
      <c r="AI15" s="2391"/>
      <c r="AJ15" s="2391"/>
      <c r="AK15" s="2391"/>
      <c r="AL15" s="2391"/>
      <c r="AM15" s="2391"/>
      <c r="AN15" s="2391"/>
      <c r="AO15" s="2391"/>
      <c r="AP15" s="2391"/>
      <c r="AQ15" s="2391"/>
      <c r="AR15" s="2391"/>
      <c r="AS15" s="2391"/>
      <c r="AT15" s="2391"/>
      <c r="AU15" s="2391"/>
      <c r="AV15" s="2391"/>
      <c r="AW15" s="2391"/>
      <c r="AX15" s="2391"/>
      <c r="AY15" s="2391"/>
      <c r="AZ15" s="2391"/>
      <c r="BA15" s="2391"/>
      <c r="BB15" s="2391"/>
      <c r="BC15" s="2391"/>
      <c r="BD15" s="2391"/>
      <c r="BE15" s="2392"/>
      <c r="BF15" s="2326"/>
      <c r="BH15" s="2393">
        <f>'Cons.Ds CD'!D51</f>
        <v>12.25</v>
      </c>
      <c r="BI15" s="2460">
        <f>IF('Cons.Ds CD'!AH51="","",'Cons.Ds CD'!AH51)</f>
        <v>23.799000000000003</v>
      </c>
      <c r="CA15" s="2462"/>
      <c r="CB15" s="2461"/>
    </row>
    <row r="16" spans="1:80">
      <c r="A16" s="2374"/>
      <c r="B16" s="2375"/>
      <c r="C16" s="2324"/>
      <c r="D16" s="2323"/>
      <c r="E16" s="2324"/>
      <c r="F16" s="2324"/>
      <c r="G16" s="2324"/>
      <c r="H16" s="2324"/>
      <c r="I16" s="2324"/>
      <c r="J16" s="2324"/>
      <c r="K16" s="2324"/>
      <c r="L16" s="2324"/>
      <c r="M16" s="2324"/>
      <c r="N16" s="2324"/>
      <c r="O16" s="2324"/>
      <c r="P16" s="2324"/>
      <c r="Q16" s="2324"/>
      <c r="R16" s="2362"/>
      <c r="S16" s="2362"/>
      <c r="T16" s="2362"/>
      <c r="U16" s="2362"/>
      <c r="V16" s="2324"/>
      <c r="W16" s="2324"/>
      <c r="X16" s="2324"/>
      <c r="Y16" s="2324"/>
      <c r="Z16" s="2324"/>
      <c r="AA16" s="2324"/>
      <c r="AB16" s="2391"/>
      <c r="AC16" s="2391"/>
      <c r="AD16" s="2391"/>
      <c r="AE16" s="2391"/>
      <c r="AF16" s="2391"/>
      <c r="AG16" s="2391"/>
      <c r="AH16" s="2391"/>
      <c r="AI16" s="2391"/>
      <c r="AJ16" s="2391"/>
      <c r="AK16" s="2391"/>
      <c r="AL16" s="2391"/>
      <c r="AM16" s="2391"/>
      <c r="AN16" s="2391"/>
      <c r="AO16" s="2391"/>
      <c r="AP16" s="2391"/>
      <c r="AQ16" s="2391"/>
      <c r="AR16" s="2391"/>
      <c r="AS16" s="2391"/>
      <c r="AT16" s="2391"/>
      <c r="AU16" s="2391"/>
      <c r="AV16" s="2391"/>
      <c r="AW16" s="2391"/>
      <c r="AX16" s="2391"/>
      <c r="AY16" s="2391"/>
      <c r="AZ16" s="2391"/>
      <c r="BA16" s="2391"/>
      <c r="BB16" s="2391"/>
      <c r="BC16" s="2391"/>
      <c r="BD16" s="2391"/>
      <c r="BE16" s="2392"/>
      <c r="BF16" s="2326"/>
      <c r="BH16" s="2393">
        <f>'Cons.Ds CD'!D52</f>
        <v>16</v>
      </c>
      <c r="BI16" s="2460">
        <f>IF('Cons.Ds CD'!AH52="","",'Cons.Ds CD'!AH52)</f>
        <v>23.797000000000001</v>
      </c>
      <c r="CA16" s="2462"/>
      <c r="CB16" s="2461"/>
    </row>
    <row r="17" spans="1:80">
      <c r="A17" s="2374"/>
      <c r="B17" s="2375"/>
      <c r="C17" s="2324"/>
      <c r="D17" s="2323"/>
      <c r="E17" s="2324"/>
      <c r="F17" s="2324"/>
      <c r="G17" s="2324"/>
      <c r="H17" s="2324"/>
      <c r="I17" s="2324"/>
      <c r="J17" s="2324"/>
      <c r="K17" s="2324"/>
      <c r="L17" s="2324"/>
      <c r="M17" s="2324"/>
      <c r="N17" s="2324"/>
      <c r="O17" s="2324"/>
      <c r="P17" s="2324"/>
      <c r="Q17" s="2324"/>
      <c r="R17" s="2324"/>
      <c r="S17" s="2324"/>
      <c r="T17" s="2324"/>
      <c r="U17" s="2324"/>
      <c r="V17" s="2324"/>
      <c r="W17" s="2324"/>
      <c r="X17" s="2324"/>
      <c r="Y17" s="2324"/>
      <c r="Z17" s="2324"/>
      <c r="AA17" s="2324"/>
      <c r="AB17" s="2391"/>
      <c r="AC17" s="2391"/>
      <c r="AD17" s="2391"/>
      <c r="AE17" s="2391"/>
      <c r="AF17" s="2391"/>
      <c r="AG17" s="2391"/>
      <c r="AH17" s="2391"/>
      <c r="AI17" s="2391"/>
      <c r="AJ17" s="2391"/>
      <c r="AK17" s="2391"/>
      <c r="AL17" s="2391"/>
      <c r="AM17" s="2391"/>
      <c r="AN17" s="2391"/>
      <c r="AO17" s="2391"/>
      <c r="AP17" s="2391"/>
      <c r="AQ17" s="2391"/>
      <c r="AR17" s="2391"/>
      <c r="AS17" s="2391"/>
      <c r="AT17" s="2391"/>
      <c r="AU17" s="2391"/>
      <c r="AV17" s="2391"/>
      <c r="AW17" s="2391"/>
      <c r="AX17" s="2391"/>
      <c r="AY17" s="2391"/>
      <c r="AZ17" s="2391"/>
      <c r="BA17" s="2391"/>
      <c r="BB17" s="2391"/>
      <c r="BC17" s="2391"/>
      <c r="BD17" s="2391"/>
      <c r="BE17" s="2392"/>
      <c r="BF17" s="2326"/>
      <c r="BH17" s="2393">
        <f>'Cons.Ds CD'!D53</f>
        <v>20.25</v>
      </c>
      <c r="BI17" s="2460">
        <f>IF('Cons.Ds CD'!AH53="","",'Cons.Ds CD'!AH53)</f>
        <v>23.785000000000004</v>
      </c>
      <c r="BY17" s="2462"/>
      <c r="BZ17" s="2462"/>
      <c r="CA17" s="2462"/>
      <c r="CB17" s="2462"/>
    </row>
    <row r="18" spans="1:80">
      <c r="A18" s="2374"/>
      <c r="B18" s="2375"/>
      <c r="C18" s="2324"/>
      <c r="D18" s="2323"/>
      <c r="E18" s="2324"/>
      <c r="F18" s="2324"/>
      <c r="G18" s="2324"/>
      <c r="H18" s="2324"/>
      <c r="I18" s="2324"/>
      <c r="J18" s="2324"/>
      <c r="K18" s="2324"/>
      <c r="L18" s="2324"/>
      <c r="M18" s="2324"/>
      <c r="N18" s="2324"/>
      <c r="O18" s="2324"/>
      <c r="P18" s="2324"/>
      <c r="Q18" s="2324"/>
      <c r="R18" s="2324"/>
      <c r="S18" s="2324"/>
      <c r="T18" s="2324"/>
      <c r="U18" s="2324"/>
      <c r="V18" s="2324"/>
      <c r="W18" s="2324"/>
      <c r="X18" s="2324"/>
      <c r="Y18" s="2324"/>
      <c r="Z18" s="2324"/>
      <c r="AA18" s="2324"/>
      <c r="AB18" s="2391"/>
      <c r="AC18" s="2391"/>
      <c r="AD18" s="2391"/>
      <c r="AE18" s="2391"/>
      <c r="AF18" s="2391"/>
      <c r="AG18" s="2391"/>
      <c r="AH18" s="2391"/>
      <c r="AI18" s="2391"/>
      <c r="AJ18" s="2391"/>
      <c r="AK18" s="2391"/>
      <c r="AL18" s="2391"/>
      <c r="AM18" s="2391"/>
      <c r="AN18" s="2391"/>
      <c r="AO18" s="2391"/>
      <c r="AP18" s="2391"/>
      <c r="AQ18" s="2391"/>
      <c r="AR18" s="2391"/>
      <c r="AS18" s="2391"/>
      <c r="AT18" s="2391"/>
      <c r="AU18" s="2391"/>
      <c r="AV18" s="2391"/>
      <c r="AW18" s="2391"/>
      <c r="AX18" s="2391"/>
      <c r="AY18" s="2391"/>
      <c r="AZ18" s="2391"/>
      <c r="BA18" s="2391"/>
      <c r="BB18" s="2391"/>
      <c r="BC18" s="2391"/>
      <c r="BD18" s="2391"/>
      <c r="BE18" s="2392"/>
      <c r="BF18" s="2326"/>
      <c r="BH18" s="2393">
        <f>'Cons.Ds CD'!D54</f>
        <v>60</v>
      </c>
      <c r="BI18" s="2460">
        <f>IF('Cons.Ds CD'!AH54="","",'Cons.Ds CD'!AH54)</f>
        <v>23.770000000000003</v>
      </c>
      <c r="BY18" s="2462"/>
      <c r="BZ18" s="2462"/>
      <c r="CA18" s="2462"/>
      <c r="CB18" s="2462"/>
    </row>
    <row r="19" spans="1:80">
      <c r="A19" s="2307" t="s">
        <v>27</v>
      </c>
      <c r="B19" s="2306" t="s">
        <v>27</v>
      </c>
      <c r="C19" s="2324"/>
      <c r="D19" s="2323"/>
      <c r="E19" s="2324"/>
      <c r="F19" s="2324"/>
      <c r="G19" s="2324"/>
      <c r="H19" s="2324"/>
      <c r="I19" s="2324"/>
      <c r="J19" s="2324"/>
      <c r="K19" s="2324"/>
      <c r="L19" s="2324"/>
      <c r="M19" s="2324"/>
      <c r="N19" s="2324"/>
      <c r="O19" s="2324"/>
      <c r="P19" s="2324"/>
      <c r="Q19" s="2324"/>
      <c r="R19" s="2324"/>
      <c r="S19" s="2324"/>
      <c r="T19" s="2324"/>
      <c r="U19" s="2324"/>
      <c r="V19" s="2324"/>
      <c r="W19" s="2324"/>
      <c r="X19" s="2324"/>
      <c r="Y19" s="2324"/>
      <c r="Z19" s="2324"/>
      <c r="AA19" s="2324"/>
      <c r="AB19" s="2391"/>
      <c r="AC19" s="2391"/>
      <c r="AD19" s="2391"/>
      <c r="AE19" s="2391"/>
      <c r="AF19" s="2391"/>
      <c r="AG19" s="2391"/>
      <c r="AH19" s="2391"/>
      <c r="AI19" s="2391"/>
      <c r="AJ19" s="2391"/>
      <c r="AK19" s="2391"/>
      <c r="AL19" s="2391"/>
      <c r="AM19" s="2391"/>
      <c r="AN19" s="2391"/>
      <c r="AO19" s="2391"/>
      <c r="AP19" s="2391"/>
      <c r="AQ19" s="2391"/>
      <c r="AR19" s="2391"/>
      <c r="AS19" s="2391"/>
      <c r="AT19" s="2391"/>
      <c r="AU19" s="2391"/>
      <c r="AV19" s="2391"/>
      <c r="AW19" s="2391"/>
      <c r="AX19" s="2391"/>
      <c r="AY19" s="2391"/>
      <c r="AZ19" s="2391"/>
      <c r="BA19" s="2391"/>
      <c r="BB19" s="2391"/>
      <c r="BC19" s="2391"/>
      <c r="BD19" s="2391"/>
      <c r="BE19" s="2392"/>
      <c r="BF19" s="2326"/>
      <c r="BH19" s="2393">
        <f>'Cons.Ds CD'!D55</f>
        <v>120</v>
      </c>
      <c r="BI19" s="2460">
        <f>IF('Cons.Ds CD'!AH55="","",'Cons.Ds CD'!AH55)</f>
        <v>23.749000000000002</v>
      </c>
      <c r="BM19" s="2463"/>
      <c r="BY19" s="2462"/>
      <c r="BZ19" s="2462"/>
      <c r="CA19" s="2462"/>
      <c r="CB19" s="2462"/>
    </row>
    <row r="20" spans="1:80">
      <c r="A20" s="2308"/>
      <c r="B20" s="2309"/>
      <c r="C20" s="2324"/>
      <c r="D20" s="2323"/>
      <c r="E20" s="2324"/>
      <c r="F20" s="2324"/>
      <c r="G20" s="2324"/>
      <c r="H20" s="2324"/>
      <c r="I20" s="2324"/>
      <c r="J20" s="2324"/>
      <c r="K20" s="2324"/>
      <c r="L20" s="2324"/>
      <c r="M20" s="2324"/>
      <c r="N20" s="2324"/>
      <c r="O20" s="2324"/>
      <c r="P20" s="2324"/>
      <c r="Q20" s="2324"/>
      <c r="R20" s="2324"/>
      <c r="S20" s="2324"/>
      <c r="T20" s="2324"/>
      <c r="U20" s="2324"/>
      <c r="V20" s="2324"/>
      <c r="W20" s="2324"/>
      <c r="X20" s="2324"/>
      <c r="Y20" s="2324"/>
      <c r="Z20" s="2324"/>
      <c r="AA20" s="2324"/>
      <c r="AB20" s="2391"/>
      <c r="AC20" s="2391"/>
      <c r="AD20" s="2391"/>
      <c r="AE20" s="2391"/>
      <c r="AF20" s="2391"/>
      <c r="AG20" s="2391"/>
      <c r="AH20" s="2391"/>
      <c r="AI20" s="2391"/>
      <c r="AJ20" s="2391"/>
      <c r="AK20" s="2391"/>
      <c r="AL20" s="2391"/>
      <c r="AM20" s="2391"/>
      <c r="AN20" s="2391"/>
      <c r="AO20" s="2391"/>
      <c r="AP20" s="2391"/>
      <c r="AQ20" s="2391"/>
      <c r="AR20" s="2391"/>
      <c r="AS20" s="2391"/>
      <c r="AT20" s="2391"/>
      <c r="AU20" s="2391"/>
      <c r="AV20" s="2391"/>
      <c r="AW20" s="2391"/>
      <c r="AX20" s="2391"/>
      <c r="AY20" s="2391"/>
      <c r="AZ20" s="2391"/>
      <c r="BA20" s="2391"/>
      <c r="BB20" s="2391"/>
      <c r="BC20" s="2391"/>
      <c r="BD20" s="2391"/>
      <c r="BE20" s="2392"/>
      <c r="BF20" s="2326"/>
      <c r="BH20" s="2393">
        <f>'Cons.Ds CD'!D56</f>
        <v>240</v>
      </c>
      <c r="BI20" s="2460">
        <f>IF('Cons.Ds CD'!AH56="","",'Cons.Ds CD'!AH56)</f>
        <v>23.727</v>
      </c>
    </row>
    <row r="21" spans="1:80" ht="15" customHeight="1">
      <c r="A21" s="4708" t="s">
        <v>1106</v>
      </c>
      <c r="B21" s="4701" t="s">
        <v>1107</v>
      </c>
      <c r="C21" s="2324"/>
      <c r="D21" s="2323"/>
      <c r="E21" s="2324"/>
      <c r="F21" s="2324"/>
      <c r="G21" s="2324"/>
      <c r="H21" s="2324"/>
      <c r="I21" s="2324"/>
      <c r="J21" s="2324"/>
      <c r="K21" s="2324"/>
      <c r="L21" s="2324"/>
      <c r="M21" s="2324"/>
      <c r="N21" s="2324"/>
      <c r="O21" s="2324"/>
      <c r="P21" s="2324"/>
      <c r="Q21" s="2324"/>
      <c r="R21" s="2362"/>
      <c r="S21" s="2362"/>
      <c r="T21" s="2362"/>
      <c r="U21" s="2362"/>
      <c r="V21" s="2324"/>
      <c r="W21" s="2324"/>
      <c r="X21" s="2324"/>
      <c r="Y21" s="2324"/>
      <c r="Z21" s="2324"/>
      <c r="AA21" s="2324"/>
      <c r="AB21" s="2324"/>
      <c r="AC21" s="2324"/>
      <c r="AD21" s="2324"/>
      <c r="AE21" s="2324"/>
      <c r="AF21" s="2324"/>
      <c r="AG21" s="2324"/>
      <c r="AH21" s="2324"/>
      <c r="AI21" s="2324"/>
      <c r="AJ21" s="2324"/>
      <c r="AK21" s="2324"/>
      <c r="AL21" s="2324"/>
      <c r="AM21" s="2324"/>
      <c r="AN21" s="2324"/>
      <c r="AO21" s="2324"/>
      <c r="AP21" s="2324"/>
      <c r="AQ21" s="2324"/>
      <c r="AR21" s="2324"/>
      <c r="AS21" s="2324"/>
      <c r="AT21" s="2324"/>
      <c r="AU21" s="2324"/>
      <c r="AV21" s="2324"/>
      <c r="AW21" s="2324"/>
      <c r="AX21" s="2324"/>
      <c r="AY21" s="2324"/>
      <c r="AZ21" s="2324"/>
      <c r="BA21" s="2324"/>
      <c r="BB21" s="2324"/>
      <c r="BC21" s="2324"/>
      <c r="BD21" s="2324"/>
      <c r="BE21" s="2326"/>
      <c r="BF21" s="2326"/>
      <c r="BH21" s="2393">
        <f>'Cons.Ds CD'!D57</f>
        <v>480</v>
      </c>
      <c r="BI21" s="2460">
        <f>IF('Cons.Ds CD'!AH57="","",'Cons.Ds CD'!AH57)</f>
        <v>23.716000000000001</v>
      </c>
    </row>
    <row r="22" spans="1:80">
      <c r="A22" s="4708"/>
      <c r="B22" s="4701"/>
      <c r="C22" s="2324"/>
      <c r="D22" s="2323"/>
      <c r="E22" s="2324"/>
      <c r="F22" s="2324"/>
      <c r="G22" s="2324"/>
      <c r="H22" s="2324"/>
      <c r="I22" s="2324"/>
      <c r="J22" s="2324"/>
      <c r="K22" s="2324"/>
      <c r="L22" s="2324"/>
      <c r="M22" s="2324"/>
      <c r="N22" s="2324"/>
      <c r="O22" s="2324"/>
      <c r="P22" s="2324"/>
      <c r="Q22" s="2324"/>
      <c r="R22" s="2324"/>
      <c r="S22" s="2324"/>
      <c r="T22" s="2324"/>
      <c r="U22" s="2324"/>
      <c r="V22" s="2324"/>
      <c r="W22" s="2324"/>
      <c r="X22" s="2324"/>
      <c r="Y22" s="2324"/>
      <c r="Z22" s="2324"/>
      <c r="AA22" s="2324"/>
      <c r="AB22" s="2338"/>
      <c r="AC22" s="2338"/>
      <c r="AD22" s="2338"/>
      <c r="AE22" s="2338"/>
      <c r="AF22" s="2338"/>
      <c r="AG22" s="2338"/>
      <c r="AH22" s="2338"/>
      <c r="AI22" s="2338"/>
      <c r="AJ22" s="2338"/>
      <c r="AK22" s="2338"/>
      <c r="AL22" s="2338"/>
      <c r="AM22" s="2338"/>
      <c r="AN22" s="2338"/>
      <c r="AO22" s="2338"/>
      <c r="AP22" s="2338"/>
      <c r="AQ22" s="2338"/>
      <c r="AR22" s="2338"/>
      <c r="AS22" s="2338"/>
      <c r="AT22" s="2338"/>
      <c r="AU22" s="2338"/>
      <c r="AV22" s="2338"/>
      <c r="AW22" s="2338"/>
      <c r="AX22" s="2338"/>
      <c r="AY22" s="2338"/>
      <c r="AZ22" s="2338"/>
      <c r="BA22" s="2338"/>
      <c r="BB22" s="2338"/>
      <c r="BC22" s="2338"/>
      <c r="BD22" s="2338"/>
      <c r="BE22" s="2395"/>
      <c r="BF22" s="2326"/>
      <c r="BH22" s="2393">
        <f>'Cons.Ds CD'!D58</f>
        <v>1440</v>
      </c>
      <c r="BI22" s="2464">
        <f>IF('Cons.Ds CD'!AH58="","",'Cons.Ds CD'!AH58)</f>
        <v>23.69</v>
      </c>
      <c r="BP22" s="4739"/>
      <c r="BQ22" s="4739"/>
      <c r="BR22" s="2462"/>
      <c r="BS22" s="2462"/>
      <c r="BT22" s="2462"/>
      <c r="BU22" s="2462"/>
    </row>
    <row r="23" spans="1:80">
      <c r="A23" s="4708"/>
      <c r="B23" s="4701"/>
      <c r="C23" s="2324"/>
      <c r="D23" s="2396"/>
      <c r="E23" s="2365"/>
      <c r="F23" s="2365"/>
      <c r="G23" s="2365"/>
      <c r="H23" s="2365"/>
      <c r="I23" s="2365"/>
      <c r="J23" s="2365"/>
      <c r="K23" s="2365"/>
      <c r="L23" s="2365"/>
      <c r="M23" s="2365"/>
      <c r="N23" s="2365"/>
      <c r="O23" s="2365"/>
      <c r="P23" s="2365"/>
      <c r="Q23" s="2365"/>
      <c r="R23" s="2365"/>
      <c r="S23" s="2365"/>
      <c r="T23" s="2365"/>
      <c r="U23" s="2365"/>
      <c r="V23" s="2365"/>
      <c r="W23" s="2365"/>
      <c r="X23" s="2365"/>
      <c r="Y23" s="2365"/>
      <c r="Z23" s="2365"/>
      <c r="AA23" s="2365"/>
      <c r="AB23" s="2365"/>
      <c r="AC23" s="2365"/>
      <c r="AD23" s="2365"/>
      <c r="AE23" s="2365"/>
      <c r="AF23" s="2365"/>
      <c r="AG23" s="2365"/>
      <c r="AH23" s="2365"/>
      <c r="AI23" s="2365"/>
      <c r="AJ23" s="2365"/>
      <c r="AK23" s="2365"/>
      <c r="AL23" s="2365"/>
      <c r="AM23" s="2365"/>
      <c r="AN23" s="2365"/>
      <c r="AO23" s="2365"/>
      <c r="AP23" s="2365"/>
      <c r="AQ23" s="2365"/>
      <c r="AR23" s="2365"/>
      <c r="AS23" s="2365"/>
      <c r="AT23" s="2365"/>
      <c r="AU23" s="2365"/>
      <c r="AV23" s="2365"/>
      <c r="AW23" s="2365"/>
      <c r="AX23" s="2365"/>
      <c r="AY23" s="2365"/>
      <c r="AZ23" s="2365"/>
      <c r="BA23" s="2365"/>
      <c r="BB23" s="2365"/>
      <c r="BC23" s="2365"/>
      <c r="BD23" s="2365"/>
      <c r="BE23" s="2397"/>
      <c r="BF23" s="2326"/>
      <c r="BH23" s="2331"/>
      <c r="BI23" s="2465" t="str">
        <f>IF('Cons.Ds CD'!P59="","",'Cons.Ds CD'!P59)</f>
        <v/>
      </c>
      <c r="BJ23" s="4738" t="s">
        <v>1191</v>
      </c>
      <c r="BK23" s="4740"/>
      <c r="BL23" s="2466"/>
      <c r="BM23" s="2467" t="s">
        <v>1192</v>
      </c>
      <c r="BN23" s="2468" t="s">
        <v>1193</v>
      </c>
      <c r="BO23" s="2469" t="s">
        <v>1194</v>
      </c>
      <c r="BP23" s="4741" t="s">
        <v>1195</v>
      </c>
      <c r="BQ23" s="4742"/>
      <c r="BR23" s="4741" t="s">
        <v>1196</v>
      </c>
      <c r="BS23" s="4742"/>
      <c r="BT23" s="2314"/>
      <c r="BV23" s="2313" t="s">
        <v>1293</v>
      </c>
      <c r="BW23" s="2470">
        <f>IF(BO24="","",50*BO24)</f>
        <v>105</v>
      </c>
      <c r="BX23" s="2313" t="s">
        <v>3</v>
      </c>
    </row>
    <row r="24" spans="1:80">
      <c r="A24" s="4708"/>
      <c r="B24" s="4701"/>
      <c r="C24" s="2324"/>
      <c r="D24" s="2396"/>
      <c r="E24" s="2365"/>
      <c r="F24" s="2365"/>
      <c r="G24" s="2365"/>
      <c r="H24" s="2365"/>
      <c r="I24" s="2365"/>
      <c r="J24" s="2365"/>
      <c r="K24" s="2365"/>
      <c r="L24" s="2365"/>
      <c r="M24" s="2365"/>
      <c r="N24" s="2365"/>
      <c r="O24" s="2365"/>
      <c r="P24" s="2365"/>
      <c r="Q24" s="2365"/>
      <c r="R24" s="2365"/>
      <c r="S24" s="2365"/>
      <c r="T24" s="2365"/>
      <c r="U24" s="2365"/>
      <c r="V24" s="2365"/>
      <c r="W24" s="2365"/>
      <c r="X24" s="2365"/>
      <c r="Y24" s="2365"/>
      <c r="Z24" s="2365"/>
      <c r="AA24" s="2365"/>
      <c r="AB24" s="2365"/>
      <c r="AC24" s="2365"/>
      <c r="AD24" s="2365"/>
      <c r="AE24" s="2365"/>
      <c r="AF24" s="2365"/>
      <c r="AG24" s="2365"/>
      <c r="AH24" s="2365"/>
      <c r="AI24" s="2365"/>
      <c r="AJ24" s="2365"/>
      <c r="AK24" s="2365"/>
      <c r="AL24" s="2365"/>
      <c r="AM24" s="2365"/>
      <c r="AN24" s="2365"/>
      <c r="AO24" s="2365"/>
      <c r="AP24" s="2365"/>
      <c r="AQ24" s="2365"/>
      <c r="AR24" s="2365"/>
      <c r="AS24" s="2365"/>
      <c r="AT24" s="2365"/>
      <c r="AU24" s="2365"/>
      <c r="AV24" s="2365"/>
      <c r="AW24" s="2365"/>
      <c r="AX24" s="2365"/>
      <c r="AY24" s="2365"/>
      <c r="AZ24" s="2365"/>
      <c r="BA24" s="2365"/>
      <c r="BB24" s="2365"/>
      <c r="BC24" s="2365"/>
      <c r="BD24" s="2365"/>
      <c r="BE24" s="2397"/>
      <c r="BF24" s="2326"/>
      <c r="BH24" s="2355"/>
      <c r="BI24" s="2471"/>
      <c r="BK24" s="2313" t="s">
        <v>1294</v>
      </c>
      <c r="BL24" s="2472">
        <f>BI22-0.1</f>
        <v>23.59</v>
      </c>
      <c r="BM24" s="2473">
        <v>20.100000000000001</v>
      </c>
      <c r="BN24" s="2474">
        <v>243</v>
      </c>
      <c r="BO24" s="2475">
        <v>2.1</v>
      </c>
      <c r="BP24" s="2376">
        <v>0</v>
      </c>
      <c r="BQ24" s="2476">
        <v>60</v>
      </c>
      <c r="BR24" s="2377">
        <v>0</v>
      </c>
      <c r="BS24" s="2476">
        <v>480</v>
      </c>
      <c r="BV24" s="2313" t="s">
        <v>1295</v>
      </c>
      <c r="BW24" s="2313">
        <v>12</v>
      </c>
      <c r="BX24" s="2313" t="s">
        <v>2</v>
      </c>
    </row>
    <row r="25" spans="1:80">
      <c r="A25" s="2314"/>
      <c r="C25" s="2324"/>
      <c r="D25" s="2323"/>
      <c r="E25" s="2324"/>
      <c r="F25" s="2324"/>
      <c r="G25" s="2324"/>
      <c r="H25" s="2324"/>
      <c r="I25" s="2324"/>
      <c r="J25" s="2324"/>
      <c r="K25" s="2324"/>
      <c r="L25" s="2324"/>
      <c r="M25" s="2324"/>
      <c r="N25" s="2324"/>
      <c r="O25" s="2324"/>
      <c r="P25" s="2324"/>
      <c r="Q25" s="2324"/>
      <c r="R25" s="2362"/>
      <c r="S25" s="2362"/>
      <c r="T25" s="2362"/>
      <c r="U25" s="2362"/>
      <c r="V25" s="2324"/>
      <c r="W25" s="2324"/>
      <c r="X25" s="2324"/>
      <c r="Y25" s="2324"/>
      <c r="Z25" s="2324"/>
      <c r="AA25" s="2324"/>
      <c r="AB25" s="2391"/>
      <c r="AC25" s="2391"/>
      <c r="AD25" s="2391"/>
      <c r="AE25" s="2391"/>
      <c r="AF25" s="2391"/>
      <c r="AG25" s="2391"/>
      <c r="AH25" s="2391"/>
      <c r="AI25" s="2391"/>
      <c r="AJ25" s="2391"/>
      <c r="AK25" s="2391"/>
      <c r="AL25" s="2391"/>
      <c r="AM25" s="2391"/>
      <c r="AN25" s="2391"/>
      <c r="AO25" s="2391"/>
      <c r="AP25" s="2391"/>
      <c r="AQ25" s="2391"/>
      <c r="AR25" s="2391"/>
      <c r="AS25" s="2391"/>
      <c r="AT25" s="2391"/>
      <c r="AU25" s="2391"/>
      <c r="AV25" s="2391"/>
      <c r="AW25" s="2391"/>
      <c r="AX25" s="2391"/>
      <c r="AY25" s="2391"/>
      <c r="AZ25" s="2391"/>
      <c r="BA25" s="2391"/>
      <c r="BB25" s="2391"/>
      <c r="BC25" s="2391"/>
      <c r="BD25" s="2391"/>
      <c r="BE25" s="2392"/>
      <c r="BF25" s="2326"/>
      <c r="BH25" s="2362"/>
      <c r="BK25" s="2313" t="s">
        <v>1296</v>
      </c>
      <c r="BL25" s="2472">
        <f>BI10+0.01</f>
        <v>23.896000000000004</v>
      </c>
      <c r="BM25" s="2467"/>
      <c r="BN25" s="2473">
        <v>19.940000000000001</v>
      </c>
      <c r="BO25" s="2477"/>
      <c r="BP25" s="2478"/>
      <c r="BQ25" s="2479">
        <v>480</v>
      </c>
      <c r="BR25" s="2318"/>
      <c r="BS25" s="2479">
        <v>1440</v>
      </c>
      <c r="BV25" s="2313" t="s">
        <v>1297</v>
      </c>
      <c r="BW25" s="2369">
        <f>BW24/BW23</f>
        <v>0.11428571428571428</v>
      </c>
      <c r="BX25" s="2313" t="s">
        <v>556</v>
      </c>
    </row>
    <row r="26" spans="1:80" ht="15" customHeight="1">
      <c r="A26" s="4700" t="str">
        <f ca="1">MID(CELL("filename",A1),FIND("[",CELL("filename",A1))+1, FIND("]",CELL("filename",A1))-FIND("[",CELL("filename",A1))-1)</f>
        <v>LHU Template New 7 (Recovered) revisi.xlsx</v>
      </c>
      <c r="B26" s="4744" t="e">
        <f>IF(#REF!="","",#REF!)</f>
        <v>#REF!</v>
      </c>
      <c r="C26" s="2324"/>
      <c r="D26" s="2323"/>
      <c r="E26" s="2324"/>
      <c r="F26" s="2353"/>
      <c r="G26" s="2354"/>
      <c r="H26" s="2354"/>
      <c r="I26" s="2354"/>
      <c r="J26" s="2354"/>
      <c r="K26" s="2354"/>
      <c r="L26" s="2354"/>
      <c r="M26" s="2354"/>
      <c r="N26" s="2354"/>
      <c r="O26" s="2354"/>
      <c r="P26" s="2354"/>
      <c r="Q26" s="2354"/>
      <c r="R26" s="2343"/>
      <c r="S26" s="2343"/>
      <c r="T26" s="2343"/>
      <c r="U26" s="2343"/>
      <c r="V26" s="2354"/>
      <c r="W26" s="2354"/>
      <c r="X26" s="2354"/>
      <c r="Y26" s="2354"/>
      <c r="Z26" s="2354"/>
      <c r="AA26" s="4645" t="s">
        <v>1298</v>
      </c>
      <c r="AB26" s="4645"/>
      <c r="AC26" s="4645"/>
      <c r="AD26" s="2411" t="s">
        <v>176</v>
      </c>
      <c r="AE26" s="2411"/>
      <c r="AF26" s="4736">
        <f>IF(BQ32="","",BQ32)</f>
        <v>2.1</v>
      </c>
      <c r="AG26" s="4736"/>
      <c r="AH26" s="4736"/>
      <c r="AI26" s="2411" t="s">
        <v>1197</v>
      </c>
      <c r="AJ26" s="2411"/>
      <c r="AK26" s="2411"/>
      <c r="AL26" s="2411"/>
      <c r="AM26" s="2411"/>
      <c r="AN26" s="2411"/>
      <c r="AO26" s="2411"/>
      <c r="AP26" s="2411"/>
      <c r="AQ26" s="2411"/>
      <c r="AR26" s="2411"/>
      <c r="AS26" s="2411"/>
      <c r="AT26" s="2411"/>
      <c r="AU26" s="2411"/>
      <c r="AV26" s="2411"/>
      <c r="AW26" s="2411"/>
      <c r="AX26" s="2411"/>
      <c r="AY26" s="2411"/>
      <c r="AZ26" s="2411"/>
      <c r="BA26" s="2411"/>
      <c r="BB26" s="2411"/>
      <c r="BC26" s="2412"/>
      <c r="BD26" s="2363"/>
      <c r="BE26" s="2413"/>
      <c r="BF26" s="2326"/>
      <c r="BL26" s="2462"/>
      <c r="BM26" s="2462"/>
      <c r="BN26" s="2462"/>
      <c r="BO26" s="2462"/>
      <c r="BQ26" s="2480"/>
    </row>
    <row r="27" spans="1:80">
      <c r="A27" s="4700"/>
      <c r="B27" s="4744"/>
      <c r="C27" s="2324"/>
      <c r="D27" s="2323"/>
      <c r="E27" s="2324"/>
      <c r="F27" s="2324"/>
      <c r="G27" s="2324"/>
      <c r="H27" s="2324"/>
      <c r="I27" s="2324"/>
      <c r="J27" s="2324"/>
      <c r="K27" s="2324"/>
      <c r="L27" s="2324"/>
      <c r="M27" s="2324"/>
      <c r="N27" s="2324"/>
      <c r="O27" s="2324"/>
      <c r="P27" s="2324"/>
      <c r="Q27" s="2324"/>
      <c r="R27" s="2362"/>
      <c r="S27" s="2362"/>
      <c r="T27" s="2362"/>
      <c r="U27" s="2362"/>
      <c r="V27" s="2324"/>
      <c r="W27" s="2324"/>
      <c r="X27" s="2324"/>
      <c r="Y27" s="2324"/>
      <c r="Z27" s="2324"/>
      <c r="AA27" s="2324"/>
      <c r="AB27" s="2363"/>
      <c r="AC27" s="2363"/>
      <c r="AD27" s="2363"/>
      <c r="AE27" s="2363"/>
      <c r="AF27" s="2363"/>
      <c r="AG27" s="2363"/>
      <c r="AH27" s="2363"/>
      <c r="AI27" s="2363"/>
      <c r="AJ27" s="2363"/>
      <c r="AK27" s="2363"/>
      <c r="AL27" s="2363"/>
      <c r="AM27" s="2363"/>
      <c r="AN27" s="2363"/>
      <c r="AO27" s="2363"/>
      <c r="AP27" s="2363"/>
      <c r="AQ27" s="2363"/>
      <c r="AR27" s="2363"/>
      <c r="AS27" s="2363"/>
      <c r="AT27" s="2363"/>
      <c r="AU27" s="2363"/>
      <c r="AV27" s="2363"/>
      <c r="AW27" s="2363"/>
      <c r="AX27" s="2363"/>
      <c r="AY27" s="2363"/>
      <c r="AZ27" s="2363"/>
      <c r="BA27" s="2363"/>
      <c r="BB27" s="2363"/>
      <c r="BC27" s="2363"/>
      <c r="BD27" s="2363"/>
      <c r="BE27" s="2413"/>
      <c r="BF27" s="2326"/>
      <c r="BK27" s="2313" t="s">
        <v>1198</v>
      </c>
      <c r="BL27" s="2313">
        <v>1</v>
      </c>
      <c r="BM27" s="2313" t="s">
        <v>1199</v>
      </c>
    </row>
    <row r="28" spans="1:80" ht="14.25" customHeight="1">
      <c r="A28" s="4700"/>
      <c r="B28" s="4744"/>
      <c r="C28" s="2324"/>
      <c r="D28" s="2370"/>
      <c r="E28" s="2371"/>
      <c r="F28" s="2371"/>
      <c r="G28" s="2371"/>
      <c r="H28" s="2371"/>
      <c r="I28" s="2371"/>
      <c r="J28" s="2371"/>
      <c r="K28" s="2371"/>
      <c r="L28" s="2371"/>
      <c r="M28" s="2371"/>
      <c r="N28" s="2371"/>
      <c r="O28" s="2371"/>
      <c r="P28" s="2371"/>
      <c r="Q28" s="2371"/>
      <c r="R28" s="2367"/>
      <c r="S28" s="2367"/>
      <c r="T28" s="2367"/>
      <c r="U28" s="2367"/>
      <c r="V28" s="2371"/>
      <c r="W28" s="2371"/>
      <c r="X28" s="2371"/>
      <c r="Y28" s="2371"/>
      <c r="Z28" s="2371"/>
      <c r="AA28" s="2371"/>
      <c r="AB28" s="2415"/>
      <c r="AC28" s="2415"/>
      <c r="AD28" s="2415"/>
      <c r="AE28" s="2415"/>
      <c r="AF28" s="2415"/>
      <c r="AG28" s="2415"/>
      <c r="AH28" s="2415"/>
      <c r="AI28" s="2415"/>
      <c r="AJ28" s="2415"/>
      <c r="AK28" s="2415"/>
      <c r="AL28" s="2415"/>
      <c r="AM28" s="2415"/>
      <c r="AN28" s="2415"/>
      <c r="AO28" s="2415"/>
      <c r="AP28" s="2415"/>
      <c r="AQ28" s="2415"/>
      <c r="AR28" s="2415"/>
      <c r="AS28" s="2415"/>
      <c r="AT28" s="2415"/>
      <c r="AU28" s="2415"/>
      <c r="AV28" s="2415"/>
      <c r="AW28" s="2415"/>
      <c r="AX28" s="2415"/>
      <c r="AY28" s="2415"/>
      <c r="AZ28" s="2415"/>
      <c r="BA28" s="2415"/>
      <c r="BB28" s="2415"/>
      <c r="BC28" s="2415"/>
      <c r="BD28" s="2415"/>
      <c r="BE28" s="2416"/>
      <c r="BF28" s="2326"/>
      <c r="BK28" s="2313" t="s">
        <v>1200</v>
      </c>
      <c r="BL28" s="2481">
        <f>4*BL27</f>
        <v>4</v>
      </c>
      <c r="BM28" s="2313" t="s">
        <v>1199</v>
      </c>
    </row>
    <row r="29" spans="1:80">
      <c r="A29" s="4700"/>
      <c r="B29" s="4744"/>
      <c r="C29" s="2324"/>
      <c r="D29" s="2324"/>
      <c r="E29" s="2324"/>
      <c r="F29" s="2324"/>
      <c r="G29" s="2324"/>
      <c r="H29" s="2324"/>
      <c r="I29" s="2324"/>
      <c r="J29" s="2324"/>
      <c r="K29" s="2324"/>
      <c r="L29" s="2324"/>
      <c r="M29" s="2324"/>
      <c r="N29" s="2324"/>
      <c r="O29" s="2324"/>
      <c r="P29" s="2324"/>
      <c r="Q29" s="2324"/>
      <c r="R29" s="2362"/>
      <c r="S29" s="2362"/>
      <c r="T29" s="2362"/>
      <c r="U29" s="2362"/>
      <c r="V29" s="2324"/>
      <c r="W29" s="2324"/>
      <c r="X29" s="2324"/>
      <c r="Y29" s="2324"/>
      <c r="Z29" s="2324"/>
      <c r="AA29" s="2324"/>
      <c r="AB29" s="2363"/>
      <c r="AC29" s="2324"/>
      <c r="AD29" s="2324"/>
      <c r="AE29" s="2324"/>
      <c r="AF29" s="2324"/>
      <c r="AG29" s="2324"/>
      <c r="AH29" s="2324"/>
      <c r="AI29" s="2324"/>
      <c r="AJ29" s="2324"/>
      <c r="AK29" s="2324"/>
      <c r="AL29" s="2324"/>
      <c r="AM29" s="2324"/>
      <c r="AN29" s="2324"/>
      <c r="AO29" s="2324"/>
      <c r="AP29" s="2324"/>
      <c r="AQ29" s="2324"/>
      <c r="AR29" s="2324"/>
      <c r="AS29" s="2324"/>
      <c r="AT29" s="2324"/>
      <c r="AU29" s="2324"/>
      <c r="AV29" s="2324"/>
      <c r="AW29" s="2324"/>
      <c r="AX29" s="2324"/>
      <c r="AY29" s="2324"/>
      <c r="AZ29" s="2324"/>
      <c r="BA29" s="2324"/>
      <c r="BB29" s="2324"/>
      <c r="BC29" s="2324"/>
      <c r="BD29" s="2324"/>
      <c r="BE29" s="2324"/>
      <c r="BF29" s="2326"/>
      <c r="BP29" s="2317"/>
    </row>
    <row r="30" spans="1:80">
      <c r="A30" s="4700"/>
      <c r="B30" s="4744"/>
      <c r="C30" s="2324"/>
      <c r="D30" s="2324"/>
      <c r="E30" s="2324"/>
      <c r="F30" s="2324"/>
      <c r="G30" s="2324"/>
      <c r="H30" s="2324"/>
      <c r="I30" s="2324"/>
      <c r="J30" s="2324"/>
      <c r="K30" s="2324"/>
      <c r="L30" s="2324"/>
      <c r="M30" s="2324"/>
      <c r="N30" s="2324"/>
      <c r="O30" s="2324"/>
      <c r="P30" s="2324"/>
      <c r="Q30" s="2324"/>
      <c r="R30" s="2324"/>
      <c r="S30" s="2324"/>
      <c r="T30" s="2324"/>
      <c r="U30" s="2324"/>
      <c r="V30" s="2324"/>
      <c r="W30" s="2324"/>
      <c r="X30" s="2324"/>
      <c r="Y30" s="2324"/>
      <c r="Z30" s="2324"/>
      <c r="AA30" s="2324"/>
      <c r="AB30" s="2324"/>
      <c r="AC30" s="2324"/>
      <c r="AD30" s="2324"/>
      <c r="AE30" s="2324"/>
      <c r="AF30" s="2324"/>
      <c r="AG30" s="2324"/>
      <c r="AH30" s="2324"/>
      <c r="AI30" s="2324"/>
      <c r="AJ30" s="2324"/>
      <c r="AK30" s="2324"/>
      <c r="AL30" s="2324"/>
      <c r="AM30" s="2324"/>
      <c r="AN30" s="2324"/>
      <c r="AO30" s="2324"/>
      <c r="AP30" s="2324"/>
      <c r="AQ30" s="2324"/>
      <c r="AR30" s="2324"/>
      <c r="AS30" s="2324"/>
      <c r="AT30" s="2324"/>
      <c r="AU30" s="2324"/>
      <c r="AV30" s="2324"/>
      <c r="AW30" s="2324"/>
      <c r="AX30" s="2324"/>
      <c r="AY30" s="2324"/>
      <c r="AZ30" s="2324"/>
      <c r="BA30" s="2324"/>
      <c r="BB30" s="2324"/>
      <c r="BC30" s="2324"/>
      <c r="BD30" s="2324"/>
      <c r="BE30" s="2324"/>
      <c r="BF30" s="2326"/>
      <c r="BJ30" s="4629" t="s">
        <v>1201</v>
      </c>
      <c r="BK30" s="4743" t="s">
        <v>1202</v>
      </c>
      <c r="BL30" s="4743"/>
      <c r="BM30" s="4743" t="s">
        <v>1203</v>
      </c>
      <c r="BN30" s="4743"/>
      <c r="BO30" s="2482"/>
      <c r="BP30" s="2483"/>
      <c r="BQ30" s="2484" t="s">
        <v>1194</v>
      </c>
      <c r="BR30" s="2485"/>
      <c r="BS30" s="2485"/>
      <c r="BT30" s="2486"/>
    </row>
    <row r="31" spans="1:80">
      <c r="A31" s="4700"/>
      <c r="B31" s="4744"/>
      <c r="C31" s="2324"/>
      <c r="D31" s="2319"/>
      <c r="E31" s="2320"/>
      <c r="F31" s="2320"/>
      <c r="G31" s="2320"/>
      <c r="H31" s="2320"/>
      <c r="I31" s="2320"/>
      <c r="J31" s="2320"/>
      <c r="K31" s="2320"/>
      <c r="L31" s="2320"/>
      <c r="M31" s="2320"/>
      <c r="N31" s="2320"/>
      <c r="O31" s="2320"/>
      <c r="P31" s="2320"/>
      <c r="Q31" s="2320"/>
      <c r="R31" s="2387"/>
      <c r="S31" s="2387"/>
      <c r="T31" s="2387"/>
      <c r="U31" s="2387"/>
      <c r="V31" s="2320"/>
      <c r="W31" s="2320"/>
      <c r="X31" s="2320"/>
      <c r="Y31" s="2320"/>
      <c r="Z31" s="2320"/>
      <c r="AA31" s="2320"/>
      <c r="AB31" s="2320"/>
      <c r="AC31" s="2320"/>
      <c r="AD31" s="2320"/>
      <c r="AE31" s="2320"/>
      <c r="AF31" s="2320"/>
      <c r="AG31" s="2320"/>
      <c r="AH31" s="2320"/>
      <c r="AI31" s="2320"/>
      <c r="AJ31" s="2320"/>
      <c r="AK31" s="2320"/>
      <c r="AL31" s="2320"/>
      <c r="AM31" s="2320"/>
      <c r="AN31" s="2320"/>
      <c r="AO31" s="2320"/>
      <c r="AP31" s="2320"/>
      <c r="AQ31" s="2320"/>
      <c r="AR31" s="2320"/>
      <c r="AS31" s="2320"/>
      <c r="AT31" s="2320"/>
      <c r="AU31" s="2320"/>
      <c r="AV31" s="2320"/>
      <c r="AW31" s="2320"/>
      <c r="AX31" s="2320"/>
      <c r="AY31" s="2320"/>
      <c r="AZ31" s="2320"/>
      <c r="BA31" s="2320"/>
      <c r="BB31" s="2320"/>
      <c r="BC31" s="2320"/>
      <c r="BD31" s="2320"/>
      <c r="BE31" s="2321"/>
      <c r="BF31" s="2326"/>
      <c r="BJ31" s="4707"/>
      <c r="BK31" s="2390">
        <f>BL27</f>
        <v>1</v>
      </c>
      <c r="BL31" s="2390">
        <f>IF(BL24="","",BL24)</f>
        <v>23.59</v>
      </c>
      <c r="BM31" s="2390">
        <f>BL28</f>
        <v>4</v>
      </c>
      <c r="BN31" s="2390">
        <f>IF(BL31="","",BL31)</f>
        <v>23.59</v>
      </c>
      <c r="BO31" s="2487">
        <f>BN24</f>
        <v>243</v>
      </c>
      <c r="BP31" s="2378">
        <f>BN25</f>
        <v>19.940000000000001</v>
      </c>
      <c r="BQ31" s="2390">
        <f>BK36</f>
        <v>1</v>
      </c>
      <c r="BR31" s="2390">
        <f>IF(OR(BP36="",BW36=""),"",BP36-((BP36-BW36)/2))</f>
        <v>23.786999999999999</v>
      </c>
      <c r="BS31" s="2488">
        <f>BO24</f>
        <v>2.1</v>
      </c>
      <c r="BT31" s="2489">
        <f>IF(BR31="","",BR31)</f>
        <v>23.786999999999999</v>
      </c>
    </row>
    <row r="32" spans="1:80" ht="15" customHeight="1">
      <c r="A32" s="4700"/>
      <c r="B32" s="4744"/>
      <c r="C32" s="2324"/>
      <c r="D32" s="2323"/>
      <c r="E32" s="2324"/>
      <c r="F32" s="2324"/>
      <c r="G32" s="2324"/>
      <c r="H32" s="2324"/>
      <c r="I32" s="2324"/>
      <c r="J32" s="2324"/>
      <c r="K32" s="2324"/>
      <c r="L32" s="2324"/>
      <c r="M32" s="2324"/>
      <c r="N32" s="2324"/>
      <c r="O32" s="2324"/>
      <c r="P32" s="2324"/>
      <c r="Q32" s="2324"/>
      <c r="R32" s="2324"/>
      <c r="S32" s="2324"/>
      <c r="T32" s="2324"/>
      <c r="U32" s="2324"/>
      <c r="V32" s="2324"/>
      <c r="W32" s="2324"/>
      <c r="X32" s="2324"/>
      <c r="Y32" s="2324"/>
      <c r="Z32" s="2324"/>
      <c r="AA32" s="2324"/>
      <c r="AB32" s="2388"/>
      <c r="AC32" s="2388"/>
      <c r="AD32" s="2388"/>
      <c r="AE32" s="2388"/>
      <c r="AF32" s="2388"/>
      <c r="AG32" s="2388"/>
      <c r="AH32" s="2388"/>
      <c r="AI32" s="2388"/>
      <c r="AJ32" s="2388"/>
      <c r="AK32" s="2388"/>
      <c r="AL32" s="2388"/>
      <c r="AM32" s="2388"/>
      <c r="AN32" s="2388"/>
      <c r="AO32" s="2388"/>
      <c r="AP32" s="2388"/>
      <c r="AQ32" s="2388"/>
      <c r="AR32" s="2388"/>
      <c r="AS32" s="2388"/>
      <c r="AT32" s="2388"/>
      <c r="AU32" s="2388"/>
      <c r="AV32" s="2388"/>
      <c r="AW32" s="2388"/>
      <c r="AX32" s="2388"/>
      <c r="AY32" s="2388"/>
      <c r="AZ32" s="2388"/>
      <c r="BA32" s="2388"/>
      <c r="BB32" s="2388"/>
      <c r="BC32" s="2388"/>
      <c r="BD32" s="2388"/>
      <c r="BE32" s="2389"/>
      <c r="BF32" s="2326"/>
      <c r="BJ32" s="4630"/>
      <c r="BK32" s="2385">
        <f>BL27</f>
        <v>1</v>
      </c>
      <c r="BL32" s="2385">
        <f>IF(BL25="","",BL25)</f>
        <v>23.896000000000004</v>
      </c>
      <c r="BM32" s="2385">
        <f>BL28</f>
        <v>4</v>
      </c>
      <c r="BN32" s="2385">
        <f>IF(BL32="","",BL32)</f>
        <v>23.896000000000004</v>
      </c>
      <c r="BO32" s="2490">
        <f>BO31</f>
        <v>243</v>
      </c>
      <c r="BP32" s="2379">
        <f>IF(BL24="","",BL24)</f>
        <v>23.59</v>
      </c>
      <c r="BQ32" s="2385">
        <f>IF(BS31="","",BS31)</f>
        <v>2.1</v>
      </c>
      <c r="BR32" s="2385">
        <f>BR31</f>
        <v>23.786999999999999</v>
      </c>
      <c r="BS32" s="2491">
        <f>IF(BS31="","",BS31)</f>
        <v>2.1</v>
      </c>
      <c r="BT32" s="2491">
        <f>IF(BL24="","",BL24)</f>
        <v>23.59</v>
      </c>
    </row>
    <row r="33" spans="1:77">
      <c r="A33" s="4700"/>
      <c r="B33" s="4744"/>
      <c r="C33" s="2324"/>
      <c r="D33" s="2323"/>
      <c r="E33" s="2324"/>
      <c r="F33" s="2324"/>
      <c r="G33" s="2324"/>
      <c r="H33" s="2324"/>
      <c r="I33" s="2324"/>
      <c r="J33" s="2324"/>
      <c r="K33" s="2324"/>
      <c r="L33" s="2324"/>
      <c r="M33" s="2324"/>
      <c r="N33" s="2324"/>
      <c r="O33" s="2324"/>
      <c r="P33" s="2324"/>
      <c r="Q33" s="2324"/>
      <c r="R33" s="2362"/>
      <c r="S33" s="2362"/>
      <c r="T33" s="2362"/>
      <c r="U33" s="2362"/>
      <c r="V33" s="2324"/>
      <c r="W33" s="2324"/>
      <c r="X33" s="2324"/>
      <c r="Y33" s="2324"/>
      <c r="Z33" s="2324"/>
      <c r="AA33" s="2324"/>
      <c r="AB33" s="2391"/>
      <c r="AC33" s="2391"/>
      <c r="AD33" s="2391"/>
      <c r="AE33" s="2391"/>
      <c r="AF33" s="2391"/>
      <c r="AG33" s="2391"/>
      <c r="AH33" s="2391"/>
      <c r="AI33" s="2391"/>
      <c r="AJ33" s="2391"/>
      <c r="AK33" s="2391"/>
      <c r="AL33" s="2391"/>
      <c r="AM33" s="2391"/>
      <c r="AN33" s="2391"/>
      <c r="AO33" s="2391"/>
      <c r="AP33" s="2391"/>
      <c r="AQ33" s="2391"/>
      <c r="AR33" s="2391"/>
      <c r="AS33" s="2391"/>
      <c r="AT33" s="2391"/>
      <c r="AU33" s="2391"/>
      <c r="AV33" s="2391"/>
      <c r="AW33" s="2391"/>
      <c r="AX33" s="2391"/>
      <c r="AY33" s="2391"/>
      <c r="AZ33" s="2391"/>
      <c r="BA33" s="2391"/>
      <c r="BB33" s="2391"/>
      <c r="BC33" s="2391"/>
      <c r="BD33" s="2391"/>
      <c r="BE33" s="2392"/>
      <c r="BF33" s="2326"/>
      <c r="BP33" s="2462" t="s">
        <v>1298</v>
      </c>
      <c r="BQ33" s="2492">
        <f>IF(BQ32="","",BQ32)</f>
        <v>2.1</v>
      </c>
      <c r="BR33" s="2313" t="s">
        <v>3</v>
      </c>
    </row>
    <row r="34" spans="1:77">
      <c r="A34" s="4700"/>
      <c r="B34" s="4744"/>
      <c r="C34" s="2324"/>
      <c r="D34" s="2323"/>
      <c r="E34" s="2324"/>
      <c r="F34" s="2324"/>
      <c r="G34" s="2324"/>
      <c r="H34" s="2324"/>
      <c r="I34" s="2324"/>
      <c r="J34" s="2324"/>
      <c r="K34" s="2324"/>
      <c r="L34" s="2324"/>
      <c r="M34" s="2324"/>
      <c r="N34" s="2324"/>
      <c r="O34" s="2324"/>
      <c r="P34" s="2324"/>
      <c r="Q34" s="2324"/>
      <c r="R34" s="2362"/>
      <c r="S34" s="2362"/>
      <c r="T34" s="2362"/>
      <c r="U34" s="2362"/>
      <c r="V34" s="2324"/>
      <c r="W34" s="2324"/>
      <c r="X34" s="2324"/>
      <c r="Y34" s="2324"/>
      <c r="Z34" s="2324"/>
      <c r="AA34" s="2324"/>
      <c r="AB34" s="2391"/>
      <c r="AC34" s="2391"/>
      <c r="AD34" s="2391"/>
      <c r="AE34" s="2391"/>
      <c r="AF34" s="2391"/>
      <c r="AG34" s="2391"/>
      <c r="AH34" s="2391"/>
      <c r="AI34" s="2391"/>
      <c r="AJ34" s="2391"/>
      <c r="AK34" s="2391"/>
      <c r="AL34" s="2391"/>
      <c r="AM34" s="2391"/>
      <c r="AN34" s="2391"/>
      <c r="AO34" s="2391"/>
      <c r="AP34" s="2391"/>
      <c r="AQ34" s="2391"/>
      <c r="AR34" s="2391"/>
      <c r="AS34" s="2391"/>
      <c r="AT34" s="2391"/>
      <c r="AU34" s="2391"/>
      <c r="AV34" s="2391"/>
      <c r="AW34" s="2391"/>
      <c r="AX34" s="2391"/>
      <c r="AY34" s="2391"/>
      <c r="AZ34" s="2391"/>
      <c r="BA34" s="2391"/>
      <c r="BB34" s="2391"/>
      <c r="BC34" s="2391"/>
      <c r="BD34" s="2391"/>
      <c r="BE34" s="2392"/>
      <c r="BF34" s="2326"/>
    </row>
    <row r="35" spans="1:77">
      <c r="A35" s="4700"/>
      <c r="B35" s="4744"/>
      <c r="C35" s="2324"/>
      <c r="D35" s="2323"/>
      <c r="E35" s="2324"/>
      <c r="F35" s="2324"/>
      <c r="G35" s="2324"/>
      <c r="H35" s="2324"/>
      <c r="I35" s="2324"/>
      <c r="J35" s="2324"/>
      <c r="K35" s="2324"/>
      <c r="L35" s="2324"/>
      <c r="M35" s="2324"/>
      <c r="N35" s="2324"/>
      <c r="O35" s="2324"/>
      <c r="P35" s="2324"/>
      <c r="Q35" s="2324"/>
      <c r="R35" s="2362"/>
      <c r="S35" s="2362"/>
      <c r="T35" s="2362"/>
      <c r="U35" s="2362"/>
      <c r="V35" s="2324"/>
      <c r="W35" s="2324"/>
      <c r="X35" s="2324"/>
      <c r="Y35" s="2324"/>
      <c r="Z35" s="2324"/>
      <c r="AA35" s="2324"/>
      <c r="AB35" s="2391"/>
      <c r="AC35" s="2391"/>
      <c r="AD35" s="2391"/>
      <c r="AE35" s="2391"/>
      <c r="AF35" s="2391"/>
      <c r="AG35" s="2391"/>
      <c r="AH35" s="2391"/>
      <c r="AI35" s="2391"/>
      <c r="AJ35" s="2391"/>
      <c r="AK35" s="2391"/>
      <c r="AL35" s="2391"/>
      <c r="AM35" s="2391"/>
      <c r="AN35" s="2391"/>
      <c r="AO35" s="2391"/>
      <c r="AP35" s="2391"/>
      <c r="AQ35" s="2391"/>
      <c r="AR35" s="2391"/>
      <c r="AS35" s="2391"/>
      <c r="AT35" s="2391"/>
      <c r="AU35" s="2391"/>
      <c r="AV35" s="2391"/>
      <c r="AW35" s="2391"/>
      <c r="AX35" s="2391"/>
      <c r="AY35" s="2391"/>
      <c r="AZ35" s="2391"/>
      <c r="BA35" s="2391"/>
      <c r="BB35" s="2391"/>
      <c r="BC35" s="2391"/>
      <c r="BD35" s="2391"/>
      <c r="BE35" s="2392"/>
      <c r="BF35" s="2326"/>
      <c r="BJ35" s="4629" t="s">
        <v>1204</v>
      </c>
      <c r="BK35" s="4731" t="s">
        <v>1205</v>
      </c>
      <c r="BL35" s="4731"/>
      <c r="BM35" s="4743" t="s">
        <v>1206</v>
      </c>
      <c r="BN35" s="4743"/>
      <c r="BO35" s="4731" t="s">
        <v>1299</v>
      </c>
      <c r="BP35" s="4731"/>
      <c r="BQ35" s="2482"/>
      <c r="BR35" s="2483"/>
      <c r="BS35" s="2493">
        <f>BR24/500</f>
        <v>0</v>
      </c>
      <c r="BT35" s="2482"/>
      <c r="BU35" s="2483"/>
      <c r="BV35" s="4644" t="s">
        <v>1207</v>
      </c>
      <c r="BW35" s="4646"/>
      <c r="BX35" s="2493">
        <f>BP24/500</f>
        <v>0</v>
      </c>
      <c r="BY35" s="2494"/>
    </row>
    <row r="36" spans="1:77">
      <c r="A36" s="4700"/>
      <c r="B36" s="4744"/>
      <c r="C36" s="2324"/>
      <c r="D36" s="2323"/>
      <c r="E36" s="2324"/>
      <c r="F36" s="2324"/>
      <c r="G36" s="2324"/>
      <c r="H36" s="2324"/>
      <c r="I36" s="2324"/>
      <c r="J36" s="2324"/>
      <c r="K36" s="2324"/>
      <c r="L36" s="2324"/>
      <c r="M36" s="2324"/>
      <c r="N36" s="2324"/>
      <c r="O36" s="2324"/>
      <c r="P36" s="2324"/>
      <c r="Q36" s="2324"/>
      <c r="R36" s="2362"/>
      <c r="S36" s="2362"/>
      <c r="T36" s="2362"/>
      <c r="U36" s="2362"/>
      <c r="V36" s="2324"/>
      <c r="W36" s="2324"/>
      <c r="X36" s="2324"/>
      <c r="Y36" s="2324"/>
      <c r="Z36" s="2324"/>
      <c r="AA36" s="2324"/>
      <c r="AB36" s="2391"/>
      <c r="AC36" s="2391"/>
      <c r="AD36" s="2391"/>
      <c r="AE36" s="2391"/>
      <c r="AF36" s="2391"/>
      <c r="AG36" s="2391"/>
      <c r="AH36" s="2391"/>
      <c r="AI36" s="2391"/>
      <c r="AJ36" s="2391"/>
      <c r="AK36" s="2391"/>
      <c r="AL36" s="2391"/>
      <c r="AM36" s="2391"/>
      <c r="AN36" s="2391"/>
      <c r="AO36" s="2391"/>
      <c r="AP36" s="2391"/>
      <c r="AQ36" s="2391"/>
      <c r="AR36" s="2391"/>
      <c r="AS36" s="2391"/>
      <c r="AT36" s="2391"/>
      <c r="AU36" s="2391"/>
      <c r="AV36" s="2391"/>
      <c r="AW36" s="2391"/>
      <c r="AX36" s="2391"/>
      <c r="AY36" s="2391"/>
      <c r="AZ36" s="2391"/>
      <c r="BA36" s="2391"/>
      <c r="BB36" s="2391"/>
      <c r="BC36" s="2391"/>
      <c r="BD36" s="2391"/>
      <c r="BE36" s="2392"/>
      <c r="BF36" s="2326"/>
      <c r="BJ36" s="4707"/>
      <c r="BK36" s="2430">
        <f>BL27</f>
        <v>1</v>
      </c>
      <c r="BL36" s="2430">
        <f>IF(BI11="","",BI11)</f>
        <v>23.867000000000001</v>
      </c>
      <c r="BM36" s="2390">
        <f>BL28</f>
        <v>4</v>
      </c>
      <c r="BN36" s="2431">
        <f>BM24</f>
        <v>20.100000000000001</v>
      </c>
      <c r="BO36" s="2430">
        <f>BK36</f>
        <v>1</v>
      </c>
      <c r="BP36" s="2430">
        <f>IF(OR(BL36="",BN36=""),"",BL36+BN38)</f>
        <v>27.634</v>
      </c>
      <c r="BQ36" s="2495">
        <f>BQ24</f>
        <v>60</v>
      </c>
      <c r="BR36" s="2496">
        <f>BX36-BX35</f>
        <v>23.770000000000003</v>
      </c>
      <c r="BS36" s="2497"/>
      <c r="BT36" s="2498">
        <f>BS24</f>
        <v>480</v>
      </c>
      <c r="BU36" s="2499">
        <f>BY36+BS35</f>
        <v>23.716000000000001</v>
      </c>
      <c r="BV36" s="2430">
        <f>BK36</f>
        <v>1</v>
      </c>
      <c r="BW36" s="2430">
        <f>IF(BP31="","",BP31)</f>
        <v>19.940000000000001</v>
      </c>
      <c r="BX36" s="2500">
        <f>IF(BQ24="","",VLOOKUP(BX35+BQ24,BH9:BI23,2))</f>
        <v>23.770000000000003</v>
      </c>
      <c r="BY36" s="2499">
        <f>IF(BS24="","",VLOOKUP(BS35+BS24,BH9:BI23,2))</f>
        <v>23.716000000000001</v>
      </c>
    </row>
    <row r="37" spans="1:77" ht="15.75" customHeight="1">
      <c r="A37" s="4700"/>
      <c r="B37" s="4744"/>
      <c r="C37" s="2324"/>
      <c r="D37" s="2323"/>
      <c r="E37" s="2324"/>
      <c r="F37" s="2324"/>
      <c r="G37" s="2324"/>
      <c r="H37" s="2324"/>
      <c r="I37" s="2324"/>
      <c r="J37" s="2324"/>
      <c r="K37" s="2324"/>
      <c r="L37" s="2324"/>
      <c r="M37" s="2324"/>
      <c r="N37" s="2324"/>
      <c r="O37" s="2324"/>
      <c r="P37" s="2324"/>
      <c r="Q37" s="2324"/>
      <c r="R37" s="2362"/>
      <c r="S37" s="2362"/>
      <c r="T37" s="2362"/>
      <c r="U37" s="2362"/>
      <c r="V37" s="2324"/>
      <c r="W37" s="2324"/>
      <c r="X37" s="2324"/>
      <c r="Y37" s="2324"/>
      <c r="Z37" s="2324"/>
      <c r="AA37" s="2324"/>
      <c r="AB37" s="2391"/>
      <c r="AC37" s="2391"/>
      <c r="AD37" s="2391"/>
      <c r="AE37" s="2391"/>
      <c r="AF37" s="2391"/>
      <c r="AG37" s="2391"/>
      <c r="AH37" s="2391"/>
      <c r="AI37" s="2391"/>
      <c r="AJ37" s="2391"/>
      <c r="AK37" s="2391"/>
      <c r="AL37" s="2391"/>
      <c r="AM37" s="2391"/>
      <c r="AN37" s="2391"/>
      <c r="AO37" s="2391"/>
      <c r="AP37" s="2391"/>
      <c r="AQ37" s="2391"/>
      <c r="AR37" s="2391"/>
      <c r="AS37" s="2391"/>
      <c r="AT37" s="2391"/>
      <c r="AU37" s="2391"/>
      <c r="AV37" s="2391"/>
      <c r="AW37" s="2391"/>
      <c r="AX37" s="2391"/>
      <c r="AY37" s="2391"/>
      <c r="AZ37" s="2391"/>
      <c r="BA37" s="2391"/>
      <c r="BB37" s="2391"/>
      <c r="BC37" s="2391"/>
      <c r="BD37" s="2391"/>
      <c r="BE37" s="2392"/>
      <c r="BF37" s="2326"/>
      <c r="BJ37" s="4630"/>
      <c r="BK37" s="2355">
        <v>10000</v>
      </c>
      <c r="BL37" s="2385">
        <f>IF(BI11="","",BI11)</f>
        <v>23.867000000000001</v>
      </c>
      <c r="BM37" s="2385">
        <f>BK37</f>
        <v>10000</v>
      </c>
      <c r="BN37" s="2385">
        <f>IF(BN36="","",BN36)</f>
        <v>20.100000000000001</v>
      </c>
      <c r="BO37" s="2385">
        <f>BK37</f>
        <v>10000</v>
      </c>
      <c r="BP37" s="2385">
        <f>IF(BP36="","",BP36)</f>
        <v>27.634</v>
      </c>
      <c r="BQ37" s="2501">
        <f>BQ25</f>
        <v>480</v>
      </c>
      <c r="BR37" s="2502">
        <f>BX37</f>
        <v>23.716000000000001</v>
      </c>
      <c r="BS37" s="2503"/>
      <c r="BT37" s="2504">
        <f>BS25</f>
        <v>1440</v>
      </c>
      <c r="BU37" s="2505">
        <f>BY37</f>
        <v>23.69</v>
      </c>
      <c r="BV37" s="2385">
        <f>IF(BN24="","",BN24)</f>
        <v>243</v>
      </c>
      <c r="BW37" s="2385">
        <f>BW36</f>
        <v>19.940000000000001</v>
      </c>
      <c r="BX37" s="2506">
        <f>IF(BQ25="","",VLOOKUP(BQ25,BH9:BI23,2))</f>
        <v>23.716000000000001</v>
      </c>
      <c r="BY37" s="2507">
        <f>IF(BS25="","",VLOOKUP(BS36+BS25,BH9:BI23,2))</f>
        <v>23.69</v>
      </c>
    </row>
    <row r="38" spans="1:77">
      <c r="A38" s="4700"/>
      <c r="B38" s="4744"/>
      <c r="C38" s="2324"/>
      <c r="D38" s="2323"/>
      <c r="E38" s="2324"/>
      <c r="F38" s="2324"/>
      <c r="G38" s="2324"/>
      <c r="H38" s="2324"/>
      <c r="I38" s="2324"/>
      <c r="J38" s="2324"/>
      <c r="K38" s="2324"/>
      <c r="L38" s="2324"/>
      <c r="M38" s="2324"/>
      <c r="N38" s="2324"/>
      <c r="O38" s="2324"/>
      <c r="P38" s="2324"/>
      <c r="Q38" s="2324"/>
      <c r="R38" s="2362"/>
      <c r="S38" s="2362"/>
      <c r="T38" s="2362"/>
      <c r="U38" s="2362"/>
      <c r="V38" s="2324"/>
      <c r="W38" s="2324"/>
      <c r="X38" s="2324"/>
      <c r="Y38" s="2324"/>
      <c r="Z38" s="2324"/>
      <c r="AA38" s="2324"/>
      <c r="AB38" s="2391"/>
      <c r="AC38" s="2391"/>
      <c r="AD38" s="2391"/>
      <c r="AE38" s="2391"/>
      <c r="AF38" s="2391"/>
      <c r="AG38" s="2391"/>
      <c r="AH38" s="2391"/>
      <c r="AI38" s="2391"/>
      <c r="AJ38" s="2391"/>
      <c r="AK38" s="2391"/>
      <c r="AL38" s="2391"/>
      <c r="AM38" s="2391"/>
      <c r="AN38" s="2391"/>
      <c r="AO38" s="2391"/>
      <c r="AP38" s="2391"/>
      <c r="AQ38" s="2391"/>
      <c r="AR38" s="2391"/>
      <c r="AS38" s="2391"/>
      <c r="AT38" s="2391"/>
      <c r="AU38" s="2391"/>
      <c r="AV38" s="2391"/>
      <c r="AW38" s="2391"/>
      <c r="AX38" s="2391"/>
      <c r="AY38" s="2391"/>
      <c r="AZ38" s="2391"/>
      <c r="BA38" s="2391"/>
      <c r="BB38" s="2391"/>
      <c r="BC38" s="2391"/>
      <c r="BD38" s="2391"/>
      <c r="BE38" s="2392"/>
      <c r="BF38" s="2326"/>
      <c r="BM38" s="2462" t="s">
        <v>1300</v>
      </c>
      <c r="BN38" s="2508">
        <f>IF(OR(BL36="",BN36=""),"",BL36-BN36)</f>
        <v>3.7669999999999995</v>
      </c>
      <c r="BO38" s="2462" t="s">
        <v>1299</v>
      </c>
      <c r="BP38" s="2508">
        <f>BP36</f>
        <v>27.634</v>
      </c>
      <c r="BQ38" s="2509">
        <f>BQ26</f>
        <v>0</v>
      </c>
      <c r="BR38" s="2510" t="str">
        <f>BX38</f>
        <v/>
      </c>
      <c r="BV38" s="2462" t="s">
        <v>1301</v>
      </c>
      <c r="BW38" s="2508">
        <f>BW36</f>
        <v>19.940000000000001</v>
      </c>
      <c r="BX38" s="2511" t="str">
        <f>IF(BQ26="","",VLOOKUP(BQ26,BH9:BI23,2))</f>
        <v/>
      </c>
    </row>
    <row r="39" spans="1:77">
      <c r="A39" s="2374"/>
      <c r="B39" s="2512"/>
      <c r="C39" s="2324"/>
      <c r="D39" s="2323"/>
      <c r="E39" s="2324"/>
      <c r="F39" s="2324"/>
      <c r="G39" s="2324"/>
      <c r="H39" s="2324"/>
      <c r="I39" s="2324"/>
      <c r="J39" s="2324"/>
      <c r="K39" s="2324"/>
      <c r="L39" s="2324"/>
      <c r="M39" s="2324"/>
      <c r="N39" s="2324"/>
      <c r="O39" s="2324"/>
      <c r="P39" s="2324"/>
      <c r="Q39" s="2324"/>
      <c r="R39" s="2362"/>
      <c r="S39" s="2362"/>
      <c r="T39" s="2362"/>
      <c r="U39" s="2362"/>
      <c r="V39" s="2324"/>
      <c r="W39" s="2324"/>
      <c r="X39" s="2324"/>
      <c r="Y39" s="2324"/>
      <c r="Z39" s="2324"/>
      <c r="AA39" s="2324"/>
      <c r="AB39" s="2391"/>
      <c r="AC39" s="2391"/>
      <c r="AD39" s="2391"/>
      <c r="AE39" s="2391"/>
      <c r="AF39" s="2391"/>
      <c r="AG39" s="2391"/>
      <c r="AH39" s="2391"/>
      <c r="AI39" s="2391"/>
      <c r="AJ39" s="2391"/>
      <c r="AK39" s="2391"/>
      <c r="AL39" s="2391"/>
      <c r="AM39" s="2391"/>
      <c r="AN39" s="2391"/>
      <c r="AO39" s="2391"/>
      <c r="AP39" s="2391"/>
      <c r="AQ39" s="2391"/>
      <c r="AR39" s="2391"/>
      <c r="AS39" s="2391"/>
      <c r="AT39" s="2391"/>
      <c r="AU39" s="2391"/>
      <c r="AV39" s="2391"/>
      <c r="AW39" s="2391"/>
      <c r="AX39" s="2391"/>
      <c r="AY39" s="2391"/>
      <c r="AZ39" s="2391"/>
      <c r="BA39" s="2391"/>
      <c r="BB39" s="2391"/>
      <c r="BC39" s="2391"/>
      <c r="BD39" s="2391"/>
      <c r="BE39" s="2392"/>
      <c r="BF39" s="2326"/>
    </row>
    <row r="40" spans="1:77">
      <c r="A40" s="2307" t="s">
        <v>27</v>
      </c>
      <c r="B40" s="2306" t="s">
        <v>27</v>
      </c>
      <c r="C40" s="2324"/>
      <c r="D40" s="2323"/>
      <c r="E40" s="2324"/>
      <c r="F40" s="2324"/>
      <c r="G40" s="2324"/>
      <c r="H40" s="2324"/>
      <c r="I40" s="2324"/>
      <c r="J40" s="2324"/>
      <c r="K40" s="2324"/>
      <c r="L40" s="2324"/>
      <c r="M40" s="2324"/>
      <c r="N40" s="2324"/>
      <c r="O40" s="2324"/>
      <c r="P40" s="2324"/>
      <c r="Q40" s="2324"/>
      <c r="R40" s="2324"/>
      <c r="S40" s="2324"/>
      <c r="T40" s="2324"/>
      <c r="U40" s="2324"/>
      <c r="V40" s="2324"/>
      <c r="W40" s="2324"/>
      <c r="X40" s="2324"/>
      <c r="Y40" s="2324"/>
      <c r="Z40" s="2324"/>
      <c r="AA40" s="2324"/>
      <c r="AB40" s="2391"/>
      <c r="AC40" s="2391"/>
      <c r="AD40" s="2391"/>
      <c r="AE40" s="2391"/>
      <c r="AF40" s="2391"/>
      <c r="AG40" s="2391"/>
      <c r="AH40" s="2391"/>
      <c r="AI40" s="2391"/>
      <c r="AJ40" s="2391"/>
      <c r="AK40" s="2391"/>
      <c r="AL40" s="2391"/>
      <c r="AM40" s="2391"/>
      <c r="AN40" s="2391"/>
      <c r="AO40" s="2391"/>
      <c r="AP40" s="2391"/>
      <c r="AQ40" s="2391"/>
      <c r="AR40" s="2391"/>
      <c r="AS40" s="2391"/>
      <c r="AT40" s="2391"/>
      <c r="AU40" s="2391"/>
      <c r="AV40" s="2391"/>
      <c r="AW40" s="2391"/>
      <c r="AX40" s="2391"/>
      <c r="AY40" s="2391"/>
      <c r="AZ40" s="2391"/>
      <c r="BA40" s="2391"/>
      <c r="BB40" s="2391"/>
      <c r="BC40" s="2391"/>
      <c r="BD40" s="2391"/>
      <c r="BE40" s="2392"/>
      <c r="BF40" s="2326"/>
      <c r="BK40" s="4745"/>
      <c r="BL40" s="4745"/>
      <c r="BM40" s="4745"/>
      <c r="BN40" s="4745"/>
    </row>
    <row r="41" spans="1:77" ht="15" customHeight="1">
      <c r="A41" s="4708" t="s">
        <v>1110</v>
      </c>
      <c r="B41" s="4701" t="s">
        <v>76</v>
      </c>
      <c r="C41" s="2324"/>
      <c r="D41" s="2323"/>
      <c r="E41" s="2324"/>
      <c r="F41" s="2324"/>
      <c r="G41" s="2324"/>
      <c r="H41" s="2324"/>
      <c r="I41" s="2324"/>
      <c r="J41" s="2324"/>
      <c r="K41" s="2324"/>
      <c r="L41" s="2324"/>
      <c r="M41" s="2324"/>
      <c r="N41" s="2324"/>
      <c r="O41" s="2324"/>
      <c r="P41" s="2324"/>
      <c r="Q41" s="2324"/>
      <c r="R41" s="2324"/>
      <c r="S41" s="2324"/>
      <c r="T41" s="2324"/>
      <c r="U41" s="2324"/>
      <c r="V41" s="2324"/>
      <c r="W41" s="2324"/>
      <c r="X41" s="2324"/>
      <c r="Y41" s="2324"/>
      <c r="Z41" s="2324"/>
      <c r="AA41" s="2324"/>
      <c r="AB41" s="2391"/>
      <c r="AC41" s="2391"/>
      <c r="AD41" s="2391"/>
      <c r="AE41" s="2391"/>
      <c r="AF41" s="2391"/>
      <c r="AG41" s="2391"/>
      <c r="AH41" s="2391"/>
      <c r="AI41" s="2391"/>
      <c r="AJ41" s="2391"/>
      <c r="AK41" s="2391"/>
      <c r="AL41" s="2391"/>
      <c r="AM41" s="2391"/>
      <c r="AN41" s="2391"/>
      <c r="AO41" s="2391"/>
      <c r="AP41" s="2391"/>
      <c r="AQ41" s="2391"/>
      <c r="AR41" s="2391"/>
      <c r="AS41" s="2391"/>
      <c r="AT41" s="2391"/>
      <c r="AU41" s="2391"/>
      <c r="AV41" s="2391"/>
      <c r="AW41" s="2391"/>
      <c r="AX41" s="2391"/>
      <c r="AY41" s="2391"/>
      <c r="AZ41" s="2391"/>
      <c r="BA41" s="2391"/>
      <c r="BB41" s="2391"/>
      <c r="BC41" s="2391"/>
      <c r="BD41" s="2391"/>
      <c r="BE41" s="2392"/>
      <c r="BF41" s="2326"/>
      <c r="BJ41" s="2449"/>
      <c r="BK41" s="2513"/>
      <c r="BL41" s="2513"/>
    </row>
    <row r="42" spans="1:77">
      <c r="A42" s="4708"/>
      <c r="B42" s="4701"/>
      <c r="C42" s="2324"/>
      <c r="D42" s="2323"/>
      <c r="E42" s="2324"/>
      <c r="F42" s="2324"/>
      <c r="G42" s="2324"/>
      <c r="H42" s="2324"/>
      <c r="I42" s="2324"/>
      <c r="J42" s="2324"/>
      <c r="K42" s="2324"/>
      <c r="L42" s="2324"/>
      <c r="M42" s="2324"/>
      <c r="N42" s="2324"/>
      <c r="O42" s="2324"/>
      <c r="P42" s="2324"/>
      <c r="Q42" s="2324"/>
      <c r="R42" s="2324"/>
      <c r="S42" s="2324"/>
      <c r="T42" s="2324"/>
      <c r="U42" s="2324"/>
      <c r="V42" s="2324"/>
      <c r="W42" s="2324"/>
      <c r="X42" s="2324"/>
      <c r="Y42" s="2324"/>
      <c r="Z42" s="2324"/>
      <c r="AA42" s="2324"/>
      <c r="AB42" s="2391"/>
      <c r="AC42" s="2391"/>
      <c r="AD42" s="2391"/>
      <c r="AE42" s="2391"/>
      <c r="AF42" s="2391"/>
      <c r="AG42" s="2391"/>
      <c r="AH42" s="2391"/>
      <c r="AI42" s="2391"/>
      <c r="AJ42" s="2391"/>
      <c r="AK42" s="2391"/>
      <c r="AL42" s="2391"/>
      <c r="AM42" s="2391"/>
      <c r="AN42" s="2391"/>
      <c r="AO42" s="2391"/>
      <c r="AP42" s="2391"/>
      <c r="AQ42" s="2391"/>
      <c r="AR42" s="2391"/>
      <c r="AS42" s="2391"/>
      <c r="AT42" s="2391"/>
      <c r="AU42" s="2391"/>
      <c r="AV42" s="2391"/>
      <c r="AW42" s="2391"/>
      <c r="AX42" s="2391"/>
      <c r="AY42" s="2391"/>
      <c r="AZ42" s="2391"/>
      <c r="BA42" s="2391"/>
      <c r="BB42" s="2391"/>
      <c r="BC42" s="2391"/>
      <c r="BD42" s="2391"/>
      <c r="BE42" s="2392"/>
      <c r="BF42" s="2326"/>
      <c r="BJ42" s="2449"/>
      <c r="BK42" s="2513"/>
      <c r="BL42" s="2513"/>
    </row>
    <row r="43" spans="1:77">
      <c r="A43" s="4708"/>
      <c r="B43" s="4701"/>
      <c r="C43" s="2324"/>
      <c r="D43" s="2323"/>
      <c r="E43" s="2324"/>
      <c r="F43" s="2324"/>
      <c r="G43" s="2324"/>
      <c r="H43" s="2324"/>
      <c r="I43" s="2324"/>
      <c r="J43" s="2324"/>
      <c r="K43" s="2324"/>
      <c r="L43" s="2324"/>
      <c r="M43" s="2324"/>
      <c r="N43" s="2324"/>
      <c r="O43" s="2324"/>
      <c r="P43" s="2324"/>
      <c r="Q43" s="2324"/>
      <c r="R43" s="2324"/>
      <c r="S43" s="2324"/>
      <c r="T43" s="2324"/>
      <c r="U43" s="2324"/>
      <c r="V43" s="2324"/>
      <c r="W43" s="2324"/>
      <c r="X43" s="2324"/>
      <c r="Y43" s="2324"/>
      <c r="Z43" s="2324"/>
      <c r="AA43" s="2324"/>
      <c r="AB43" s="2391"/>
      <c r="AC43" s="2391"/>
      <c r="AD43" s="2391"/>
      <c r="AE43" s="2391"/>
      <c r="AF43" s="2391"/>
      <c r="AG43" s="2391"/>
      <c r="AH43" s="2391"/>
      <c r="AI43" s="2391"/>
      <c r="AJ43" s="2391"/>
      <c r="AK43" s="2391"/>
      <c r="AL43" s="2391"/>
      <c r="AM43" s="2391"/>
      <c r="AN43" s="2391"/>
      <c r="AO43" s="2391"/>
      <c r="AP43" s="2391"/>
      <c r="AQ43" s="2391"/>
      <c r="AR43" s="2391"/>
      <c r="AS43" s="2391"/>
      <c r="AT43" s="2391"/>
      <c r="AU43" s="2391"/>
      <c r="AV43" s="2391"/>
      <c r="AW43" s="2391"/>
      <c r="AX43" s="2391"/>
      <c r="AY43" s="2391"/>
      <c r="AZ43" s="2391"/>
      <c r="BA43" s="2391"/>
      <c r="BB43" s="2391"/>
      <c r="BC43" s="2391"/>
      <c r="BD43" s="2391"/>
      <c r="BE43" s="2392"/>
      <c r="BF43" s="2326"/>
      <c r="BJ43" s="2514"/>
      <c r="BK43" s="2361"/>
    </row>
    <row r="44" spans="1:77">
      <c r="A44" s="4708"/>
      <c r="B44" s="4701"/>
      <c r="C44" s="2324"/>
      <c r="D44" s="2323"/>
      <c r="E44" s="2324"/>
      <c r="F44" s="2324"/>
      <c r="G44" s="2324"/>
      <c r="H44" s="2324"/>
      <c r="I44" s="2324"/>
      <c r="J44" s="2324"/>
      <c r="K44" s="2324"/>
      <c r="L44" s="2324"/>
      <c r="M44" s="2324"/>
      <c r="N44" s="2324"/>
      <c r="O44" s="2324"/>
      <c r="P44" s="2324"/>
      <c r="Q44" s="2324"/>
      <c r="R44" s="2362"/>
      <c r="S44" s="2362"/>
      <c r="T44" s="2362"/>
      <c r="U44" s="2362"/>
      <c r="V44" s="2324"/>
      <c r="W44" s="2324"/>
      <c r="X44" s="2324"/>
      <c r="Y44" s="2324"/>
      <c r="Z44" s="2324"/>
      <c r="AA44" s="2324"/>
      <c r="AB44" s="2324"/>
      <c r="AC44" s="2324"/>
      <c r="AD44" s="2324"/>
      <c r="AE44" s="2324"/>
      <c r="AF44" s="2324"/>
      <c r="AG44" s="2324"/>
      <c r="AH44" s="2324"/>
      <c r="AI44" s="2324"/>
      <c r="AJ44" s="2324"/>
      <c r="AK44" s="2324"/>
      <c r="AL44" s="2324"/>
      <c r="AM44" s="2324"/>
      <c r="AN44" s="2324"/>
      <c r="AO44" s="2324"/>
      <c r="AP44" s="2324"/>
      <c r="AQ44" s="2324"/>
      <c r="AR44" s="2324"/>
      <c r="AS44" s="2324"/>
      <c r="AT44" s="2324"/>
      <c r="AU44" s="2324"/>
      <c r="AV44" s="2324"/>
      <c r="AW44" s="2324"/>
      <c r="AX44" s="2324"/>
      <c r="AY44" s="2324"/>
      <c r="AZ44" s="2324"/>
      <c r="BA44" s="2324"/>
      <c r="BB44" s="2324"/>
      <c r="BC44" s="2324"/>
      <c r="BD44" s="2324"/>
      <c r="BE44" s="2326"/>
      <c r="BF44" s="2326"/>
      <c r="BJ44" s="2514"/>
      <c r="BK44" s="2361"/>
    </row>
    <row r="45" spans="1:77">
      <c r="A45" s="2323"/>
      <c r="B45" s="2324"/>
      <c r="C45" s="2324"/>
      <c r="D45" s="2323"/>
      <c r="E45" s="2324"/>
      <c r="F45" s="2324"/>
      <c r="G45" s="2324"/>
      <c r="H45" s="2324"/>
      <c r="I45" s="2324"/>
      <c r="J45" s="2324"/>
      <c r="K45" s="2324"/>
      <c r="L45" s="2324"/>
      <c r="M45" s="2324"/>
      <c r="N45" s="2324"/>
      <c r="O45" s="2324"/>
      <c r="P45" s="2324"/>
      <c r="Q45" s="2324"/>
      <c r="R45" s="2324"/>
      <c r="S45" s="2324"/>
      <c r="T45" s="2324"/>
      <c r="U45" s="2324"/>
      <c r="V45" s="2324"/>
      <c r="W45" s="2324"/>
      <c r="X45" s="2324"/>
      <c r="Y45" s="2324"/>
      <c r="Z45" s="2324"/>
      <c r="AA45" s="2324"/>
      <c r="AB45" s="2338"/>
      <c r="AC45" s="2338"/>
      <c r="AD45" s="2338"/>
      <c r="AE45" s="2338"/>
      <c r="AF45" s="2338"/>
      <c r="AG45" s="2338"/>
      <c r="AH45" s="2338"/>
      <c r="AI45" s="2338"/>
      <c r="AJ45" s="2338"/>
      <c r="AK45" s="2338"/>
      <c r="AL45" s="2338"/>
      <c r="AM45" s="2338"/>
      <c r="AN45" s="2338"/>
      <c r="AO45" s="2338"/>
      <c r="AP45" s="2338"/>
      <c r="AQ45" s="2338"/>
      <c r="AR45" s="2338"/>
      <c r="AS45" s="2338"/>
      <c r="AT45" s="2338"/>
      <c r="AU45" s="2338"/>
      <c r="AV45" s="2338"/>
      <c r="AW45" s="2338"/>
      <c r="AX45" s="2338"/>
      <c r="AY45" s="2338"/>
      <c r="AZ45" s="2338"/>
      <c r="BA45" s="2338"/>
      <c r="BB45" s="2338"/>
      <c r="BC45" s="2338"/>
      <c r="BD45" s="2338"/>
      <c r="BE45" s="2395"/>
      <c r="BF45" s="2326"/>
      <c r="BJ45" s="2514"/>
      <c r="BK45" s="2361"/>
    </row>
    <row r="46" spans="1:77">
      <c r="A46" s="2323"/>
      <c r="B46" s="2324"/>
      <c r="C46" s="2324"/>
      <c r="D46" s="2396"/>
      <c r="E46" s="2365"/>
      <c r="F46" s="2365"/>
      <c r="G46" s="2365"/>
      <c r="H46" s="2365"/>
      <c r="I46" s="2365"/>
      <c r="J46" s="2365"/>
      <c r="K46" s="2365"/>
      <c r="L46" s="2365"/>
      <c r="M46" s="2365"/>
      <c r="N46" s="2365"/>
      <c r="O46" s="2365"/>
      <c r="P46" s="2365"/>
      <c r="Q46" s="2365"/>
      <c r="R46" s="2365"/>
      <c r="S46" s="2365"/>
      <c r="T46" s="2365"/>
      <c r="U46" s="2365"/>
      <c r="V46" s="2365"/>
      <c r="W46" s="2365"/>
      <c r="X46" s="2365"/>
      <c r="Y46" s="2365"/>
      <c r="Z46" s="2365"/>
      <c r="AA46" s="2365"/>
      <c r="AB46" s="2365"/>
      <c r="AC46" s="2365"/>
      <c r="AD46" s="2365"/>
      <c r="AE46" s="2365"/>
      <c r="AF46" s="2365"/>
      <c r="AG46" s="2365"/>
      <c r="AH46" s="2365"/>
      <c r="AI46" s="2365"/>
      <c r="AJ46" s="2365"/>
      <c r="AK46" s="2365"/>
      <c r="AL46" s="2365"/>
      <c r="AM46" s="2365"/>
      <c r="AN46" s="2365"/>
      <c r="AO46" s="2365"/>
      <c r="AP46" s="2365"/>
      <c r="AQ46" s="2365"/>
      <c r="AR46" s="2365"/>
      <c r="AS46" s="2365"/>
      <c r="AT46" s="2365"/>
      <c r="AU46" s="2365"/>
      <c r="AV46" s="2365"/>
      <c r="AW46" s="2365"/>
      <c r="AX46" s="2365"/>
      <c r="AY46" s="2365"/>
      <c r="AZ46" s="2365"/>
      <c r="BA46" s="2365"/>
      <c r="BB46" s="2365"/>
      <c r="BC46" s="2365"/>
      <c r="BD46" s="2365"/>
      <c r="BE46" s="2397"/>
      <c r="BF46" s="2326"/>
      <c r="BH46" s="2457"/>
      <c r="BJ46" s="2514"/>
      <c r="BK46" s="2361"/>
    </row>
    <row r="47" spans="1:77">
      <c r="A47" s="2323"/>
      <c r="B47" s="2324"/>
      <c r="C47" s="2324"/>
      <c r="D47" s="2396"/>
      <c r="E47" s="2365"/>
      <c r="F47" s="2365"/>
      <c r="G47" s="2365"/>
      <c r="H47" s="2365"/>
      <c r="I47" s="2365"/>
      <c r="J47" s="2365"/>
      <c r="K47" s="2365"/>
      <c r="L47" s="2365"/>
      <c r="M47" s="2365"/>
      <c r="N47" s="2365"/>
      <c r="O47" s="2365"/>
      <c r="P47" s="2365"/>
      <c r="Q47" s="2365"/>
      <c r="R47" s="2365"/>
      <c r="S47" s="2365"/>
      <c r="T47" s="2365"/>
      <c r="U47" s="2365"/>
      <c r="V47" s="2365"/>
      <c r="W47" s="2365"/>
      <c r="X47" s="2365"/>
      <c r="Y47" s="2365"/>
      <c r="Z47" s="2365"/>
      <c r="AA47" s="2365"/>
      <c r="AB47" s="2365"/>
      <c r="AC47" s="2365"/>
      <c r="AD47" s="2365"/>
      <c r="AE47" s="2365"/>
      <c r="AF47" s="2365"/>
      <c r="AG47" s="2365"/>
      <c r="AH47" s="2365"/>
      <c r="AI47" s="2365"/>
      <c r="AJ47" s="2365"/>
      <c r="AK47" s="2365"/>
      <c r="AL47" s="2365"/>
      <c r="AM47" s="2365"/>
      <c r="AN47" s="2365"/>
      <c r="AO47" s="2365"/>
      <c r="AP47" s="2365"/>
      <c r="AQ47" s="2365"/>
      <c r="AR47" s="2365"/>
      <c r="AS47" s="2365"/>
      <c r="AT47" s="2365"/>
      <c r="AU47" s="2365"/>
      <c r="AV47" s="2365"/>
      <c r="AW47" s="2365"/>
      <c r="AX47" s="2365"/>
      <c r="AY47" s="2365"/>
      <c r="AZ47" s="2365"/>
      <c r="BA47" s="2365"/>
      <c r="BB47" s="2365"/>
      <c r="BC47" s="2365"/>
      <c r="BD47" s="2365"/>
      <c r="BE47" s="2397"/>
      <c r="BF47" s="2326"/>
      <c r="BJ47" s="2515"/>
      <c r="BK47" s="2515"/>
    </row>
    <row r="48" spans="1:77">
      <c r="A48" s="2323"/>
      <c r="B48" s="2324"/>
      <c r="C48" s="2324"/>
      <c r="D48" s="2323"/>
      <c r="E48" s="2324"/>
      <c r="F48" s="2324"/>
      <c r="G48" s="2324"/>
      <c r="H48" s="2324"/>
      <c r="I48" s="2324"/>
      <c r="J48" s="2324"/>
      <c r="K48" s="2324"/>
      <c r="L48" s="2324"/>
      <c r="M48" s="2324"/>
      <c r="N48" s="2324"/>
      <c r="O48" s="2324"/>
      <c r="P48" s="2324"/>
      <c r="Q48" s="2324"/>
      <c r="R48" s="2362"/>
      <c r="S48" s="2362"/>
      <c r="T48" s="2362"/>
      <c r="U48" s="2362"/>
      <c r="V48" s="2324"/>
      <c r="W48" s="2324"/>
      <c r="X48" s="2324"/>
      <c r="Y48" s="2324"/>
      <c r="Z48" s="2324"/>
      <c r="AA48" s="2324"/>
      <c r="AB48" s="2391"/>
      <c r="AC48" s="2391"/>
      <c r="AD48" s="2391"/>
      <c r="AE48" s="2391"/>
      <c r="AF48" s="2391"/>
      <c r="AG48" s="2391"/>
      <c r="AH48" s="2391"/>
      <c r="AI48" s="2391"/>
      <c r="AJ48" s="2391"/>
      <c r="AK48" s="2391"/>
      <c r="AL48" s="2391"/>
      <c r="AM48" s="2391"/>
      <c r="AN48" s="2391"/>
      <c r="AO48" s="2391"/>
      <c r="AP48" s="2391"/>
      <c r="AQ48" s="2391"/>
      <c r="AR48" s="2391"/>
      <c r="AS48" s="2391"/>
      <c r="AT48" s="2391"/>
      <c r="AU48" s="2391"/>
      <c r="AV48" s="2391"/>
      <c r="AW48" s="2391"/>
      <c r="AX48" s="2391"/>
      <c r="AY48" s="2391"/>
      <c r="AZ48" s="2391"/>
      <c r="BA48" s="2391"/>
      <c r="BB48" s="2391"/>
      <c r="BC48" s="2391"/>
      <c r="BD48" s="2391"/>
      <c r="BE48" s="2392"/>
      <c r="BF48" s="2326"/>
      <c r="BH48" s="2362"/>
      <c r="BI48" s="2462"/>
      <c r="BJ48" s="2362"/>
      <c r="BK48" s="2462"/>
    </row>
    <row r="49" spans="1:64">
      <c r="A49" s="2323"/>
      <c r="B49" s="2324"/>
      <c r="C49" s="2324"/>
      <c r="D49" s="2323"/>
      <c r="E49" s="2324"/>
      <c r="F49" s="2353"/>
      <c r="G49" s="2354"/>
      <c r="H49" s="2354"/>
      <c r="I49" s="2354"/>
      <c r="J49" s="2354"/>
      <c r="K49" s="2354"/>
      <c r="L49" s="2354"/>
      <c r="M49" s="2354"/>
      <c r="N49" s="2354"/>
      <c r="O49" s="2354"/>
      <c r="P49" s="2354"/>
      <c r="Q49" s="2354"/>
      <c r="R49" s="2343"/>
      <c r="S49" s="2343"/>
      <c r="T49" s="2343"/>
      <c r="U49" s="2343"/>
      <c r="V49" s="2354"/>
      <c r="W49" s="2354"/>
      <c r="X49" s="2354"/>
      <c r="Y49" s="2354"/>
      <c r="Z49" s="2354"/>
      <c r="AA49" s="4645" t="s">
        <v>1302</v>
      </c>
      <c r="AB49" s="4645"/>
      <c r="AC49" s="4645"/>
      <c r="AD49" s="2411" t="s">
        <v>176</v>
      </c>
      <c r="AE49" s="2411"/>
      <c r="AF49" s="4645" t="str">
        <f>IF(BO68="","",BK75)</f>
        <v/>
      </c>
      <c r="AG49" s="4645"/>
      <c r="AH49" s="4645"/>
      <c r="AI49" s="2411" t="s">
        <v>1197</v>
      </c>
      <c r="AJ49" s="2411"/>
      <c r="AK49" s="2411"/>
      <c r="AL49" s="2411"/>
      <c r="AM49" s="2411"/>
      <c r="AN49" s="2411"/>
      <c r="AO49" s="2411"/>
      <c r="AP49" s="2411"/>
      <c r="AQ49" s="2411"/>
      <c r="AR49" s="2411"/>
      <c r="AS49" s="2411"/>
      <c r="AT49" s="2411"/>
      <c r="AU49" s="2411"/>
      <c r="AV49" s="2411"/>
      <c r="AW49" s="2411"/>
      <c r="AX49" s="2411"/>
      <c r="AY49" s="2411"/>
      <c r="AZ49" s="2411"/>
      <c r="BA49" s="2411"/>
      <c r="BB49" s="2411"/>
      <c r="BC49" s="2412"/>
      <c r="BD49" s="2363"/>
      <c r="BE49" s="2413"/>
      <c r="BF49" s="2326"/>
      <c r="BH49" s="2362"/>
      <c r="BI49" s="2462"/>
      <c r="BJ49" s="2362"/>
      <c r="BK49" s="2462"/>
    </row>
    <row r="50" spans="1:64">
      <c r="A50" s="2323"/>
      <c r="B50" s="2324"/>
      <c r="C50" s="2324"/>
      <c r="D50" s="2323"/>
      <c r="E50" s="2324"/>
      <c r="F50" s="2324"/>
      <c r="G50" s="2324"/>
      <c r="H50" s="2324"/>
      <c r="I50" s="2324"/>
      <c r="J50" s="2324"/>
      <c r="K50" s="2324"/>
      <c r="L50" s="2324"/>
      <c r="M50" s="2324"/>
      <c r="N50" s="2324"/>
      <c r="O50" s="2324"/>
      <c r="P50" s="2324"/>
      <c r="Q50" s="2324"/>
      <c r="R50" s="2362"/>
      <c r="S50" s="2362"/>
      <c r="T50" s="2362"/>
      <c r="U50" s="2362"/>
      <c r="V50" s="2324"/>
      <c r="W50" s="2324"/>
      <c r="X50" s="2324"/>
      <c r="Y50" s="2324"/>
      <c r="Z50" s="2324"/>
      <c r="AA50" s="2324"/>
      <c r="AB50" s="2363"/>
      <c r="AC50" s="2363"/>
      <c r="AD50" s="2363"/>
      <c r="AE50" s="2363"/>
      <c r="AF50" s="2363"/>
      <c r="AG50" s="2363"/>
      <c r="AH50" s="2363"/>
      <c r="AI50" s="2363"/>
      <c r="AJ50" s="2363"/>
      <c r="AK50" s="2363"/>
      <c r="AL50" s="2363"/>
      <c r="AM50" s="2363"/>
      <c r="AN50" s="2363"/>
      <c r="AO50" s="2363"/>
      <c r="AP50" s="2363"/>
      <c r="AQ50" s="2363"/>
      <c r="AR50" s="2363"/>
      <c r="AS50" s="2363"/>
      <c r="AT50" s="2363"/>
      <c r="AU50" s="2363"/>
      <c r="AV50" s="2363"/>
      <c r="AW50" s="2363"/>
      <c r="AX50" s="2363"/>
      <c r="AY50" s="2363"/>
      <c r="AZ50" s="2363"/>
      <c r="BA50" s="2363"/>
      <c r="BB50" s="2363"/>
      <c r="BC50" s="2363"/>
      <c r="BD50" s="2363"/>
      <c r="BE50" s="2413"/>
      <c r="BF50" s="2326"/>
      <c r="BH50" s="2452"/>
      <c r="BI50" s="2362"/>
      <c r="BJ50" s="2453"/>
      <c r="BK50" s="2362"/>
      <c r="BL50" s="2513"/>
    </row>
    <row r="51" spans="1:64">
      <c r="A51" s="2323"/>
      <c r="B51" s="2324"/>
      <c r="C51" s="2324"/>
      <c r="D51" s="2370"/>
      <c r="E51" s="2371"/>
      <c r="F51" s="2371"/>
      <c r="G51" s="2371"/>
      <c r="H51" s="2371"/>
      <c r="I51" s="2371"/>
      <c r="J51" s="2371"/>
      <c r="K51" s="2371"/>
      <c r="L51" s="2371"/>
      <c r="M51" s="2371"/>
      <c r="N51" s="2371"/>
      <c r="O51" s="2371"/>
      <c r="P51" s="2371"/>
      <c r="Q51" s="2371"/>
      <c r="R51" s="2367"/>
      <c r="S51" s="2367"/>
      <c r="T51" s="2367"/>
      <c r="U51" s="2367"/>
      <c r="V51" s="2371"/>
      <c r="W51" s="2371"/>
      <c r="X51" s="2371"/>
      <c r="Y51" s="2371"/>
      <c r="Z51" s="2371"/>
      <c r="AA51" s="2371"/>
      <c r="AB51" s="2415"/>
      <c r="AC51" s="2415"/>
      <c r="AD51" s="2415"/>
      <c r="AE51" s="2415"/>
      <c r="AF51" s="2415"/>
      <c r="AG51" s="2415"/>
      <c r="AH51" s="2415"/>
      <c r="AI51" s="2415"/>
      <c r="AJ51" s="2415"/>
      <c r="AK51" s="2415"/>
      <c r="AL51" s="2415"/>
      <c r="AM51" s="2415"/>
      <c r="AN51" s="2415"/>
      <c r="AO51" s="2415"/>
      <c r="AP51" s="2415"/>
      <c r="AQ51" s="2415"/>
      <c r="AR51" s="2415"/>
      <c r="AS51" s="2415"/>
      <c r="AT51" s="2415"/>
      <c r="AU51" s="2415"/>
      <c r="AV51" s="2415"/>
      <c r="AW51" s="2415"/>
      <c r="AX51" s="2415"/>
      <c r="AY51" s="2415"/>
      <c r="AZ51" s="2415"/>
      <c r="BA51" s="2415"/>
      <c r="BB51" s="2415"/>
      <c r="BC51" s="2415"/>
      <c r="BD51" s="2415"/>
      <c r="BE51" s="2416"/>
      <c r="BF51" s="2326"/>
      <c r="BH51" s="2452"/>
      <c r="BI51" s="2362"/>
      <c r="BJ51" s="2453"/>
      <c r="BK51" s="2362"/>
    </row>
    <row r="52" spans="1:64">
      <c r="A52" s="2323"/>
      <c r="B52" s="2324"/>
      <c r="C52" s="2324"/>
      <c r="D52" s="2324"/>
      <c r="E52" s="2324"/>
      <c r="F52" s="2324"/>
      <c r="G52" s="2324"/>
      <c r="H52" s="2324"/>
      <c r="I52" s="2324"/>
      <c r="J52" s="2324"/>
      <c r="K52" s="2324"/>
      <c r="L52" s="2324"/>
      <c r="M52" s="2324"/>
      <c r="N52" s="2324"/>
      <c r="O52" s="2324"/>
      <c r="P52" s="2324"/>
      <c r="Q52" s="2324"/>
      <c r="R52" s="2324"/>
      <c r="S52" s="2324"/>
      <c r="T52" s="2324"/>
      <c r="U52" s="2324"/>
      <c r="V52" s="2324"/>
      <c r="W52" s="2324"/>
      <c r="X52" s="2324"/>
      <c r="Y52" s="2324"/>
      <c r="Z52" s="2324"/>
      <c r="AA52" s="2324"/>
      <c r="AB52" s="2324"/>
      <c r="AC52" s="2324"/>
      <c r="AD52" s="2324"/>
      <c r="AE52" s="2324"/>
      <c r="AF52" s="2324"/>
      <c r="AG52" s="2324"/>
      <c r="AH52" s="2324"/>
      <c r="AI52" s="2324"/>
      <c r="AJ52" s="2324"/>
      <c r="AK52" s="2324"/>
      <c r="AL52" s="2324"/>
      <c r="AM52" s="2324"/>
      <c r="AN52" s="2324"/>
      <c r="AO52" s="2324"/>
      <c r="AP52" s="2324"/>
      <c r="AQ52" s="2324"/>
      <c r="AR52" s="2324"/>
      <c r="AS52" s="2324"/>
      <c r="AT52" s="2324"/>
      <c r="AU52" s="2324"/>
      <c r="AV52" s="2324"/>
      <c r="AW52" s="2324"/>
      <c r="AX52" s="2324"/>
      <c r="AY52" s="2324"/>
      <c r="AZ52" s="2324"/>
      <c r="BA52" s="2324"/>
      <c r="BB52" s="2324"/>
      <c r="BC52" s="2324"/>
      <c r="BD52" s="2324"/>
      <c r="BE52" s="2324"/>
      <c r="BF52" s="2326"/>
      <c r="BH52" s="2452"/>
      <c r="BI52" s="2362"/>
      <c r="BJ52" s="2453"/>
      <c r="BK52" s="2362"/>
    </row>
    <row r="53" spans="1:64">
      <c r="A53" s="2323"/>
      <c r="B53" s="2324"/>
      <c r="C53" s="2324"/>
      <c r="D53" s="2324"/>
      <c r="E53" s="2324"/>
      <c r="F53" s="2324"/>
      <c r="G53" s="2324"/>
      <c r="H53" s="2324"/>
      <c r="I53" s="2324"/>
      <c r="J53" s="2324"/>
      <c r="K53" s="2324"/>
      <c r="L53" s="2324"/>
      <c r="M53" s="2324"/>
      <c r="N53" s="2324"/>
      <c r="O53" s="2324"/>
      <c r="P53" s="2324"/>
      <c r="Q53" s="2324"/>
      <c r="R53" s="2324"/>
      <c r="S53" s="2324"/>
      <c r="T53" s="2324"/>
      <c r="U53" s="2324"/>
      <c r="V53" s="2324"/>
      <c r="W53" s="2324"/>
      <c r="X53" s="2324"/>
      <c r="Y53" s="2324"/>
      <c r="Z53" s="2324"/>
      <c r="AA53" s="2324"/>
      <c r="AB53" s="2324"/>
      <c r="AC53" s="2324"/>
      <c r="AD53" s="2324"/>
      <c r="AE53" s="2324"/>
      <c r="AF53" s="2324"/>
      <c r="AG53" s="2324"/>
      <c r="AH53" s="2324"/>
      <c r="AI53" s="2324"/>
      <c r="AJ53" s="2324"/>
      <c r="AK53" s="2324"/>
      <c r="AL53" s="2324"/>
      <c r="AM53" s="2324"/>
      <c r="AN53" s="2324"/>
      <c r="AO53" s="2324"/>
      <c r="AP53" s="2324"/>
      <c r="AQ53" s="2324"/>
      <c r="AR53" s="2324"/>
      <c r="AS53" s="2324"/>
      <c r="AT53" s="2324"/>
      <c r="AU53" s="2324"/>
      <c r="AV53" s="2324"/>
      <c r="AW53" s="2324"/>
      <c r="AX53" s="2324"/>
      <c r="AY53" s="2324"/>
      <c r="AZ53" s="2324"/>
      <c r="BA53" s="2324"/>
      <c r="BB53" s="2324"/>
      <c r="BC53" s="2324"/>
      <c r="BD53" s="2324"/>
      <c r="BE53" s="2324"/>
      <c r="BF53" s="2326"/>
      <c r="BH53" s="2452"/>
      <c r="BI53" s="2362"/>
      <c r="BJ53" s="2454"/>
      <c r="BK53" s="2362"/>
    </row>
    <row r="54" spans="1:64">
      <c r="A54" s="2370"/>
      <c r="B54" s="2371"/>
      <c r="C54" s="2371"/>
      <c r="D54" s="2371"/>
      <c r="E54" s="2371"/>
      <c r="F54" s="2371"/>
      <c r="G54" s="2371"/>
      <c r="H54" s="2371"/>
      <c r="I54" s="2371"/>
      <c r="J54" s="2371"/>
      <c r="K54" s="2371"/>
      <c r="L54" s="2371"/>
      <c r="M54" s="2371"/>
      <c r="N54" s="2371"/>
      <c r="O54" s="2371"/>
      <c r="P54" s="2371"/>
      <c r="Q54" s="2371"/>
      <c r="R54" s="2371"/>
      <c r="S54" s="2371"/>
      <c r="T54" s="2371"/>
      <c r="U54" s="2371"/>
      <c r="V54" s="2371"/>
      <c r="W54" s="2371"/>
      <c r="X54" s="2371"/>
      <c r="Y54" s="2371"/>
      <c r="Z54" s="2371"/>
      <c r="AA54" s="2371"/>
      <c r="AB54" s="2371"/>
      <c r="AC54" s="2371"/>
      <c r="AD54" s="2371"/>
      <c r="AE54" s="2371"/>
      <c r="AF54" s="2371"/>
      <c r="AG54" s="2371"/>
      <c r="AH54" s="2371"/>
      <c r="AI54" s="2371"/>
      <c r="AJ54" s="2371"/>
      <c r="AK54" s="2371"/>
      <c r="AL54" s="2371"/>
      <c r="AM54" s="2371"/>
      <c r="AN54" s="2371"/>
      <c r="AO54" s="2371"/>
      <c r="AP54" s="2371"/>
      <c r="AQ54" s="2371"/>
      <c r="AR54" s="2371"/>
      <c r="AS54" s="2371"/>
      <c r="AT54" s="2371"/>
      <c r="AU54" s="2371"/>
      <c r="AV54" s="2371"/>
      <c r="AW54" s="2371"/>
      <c r="AX54" s="2371"/>
      <c r="AY54" s="2371"/>
      <c r="AZ54" s="2371"/>
      <c r="BA54" s="2371"/>
      <c r="BB54" s="2371"/>
      <c r="BC54" s="2371"/>
      <c r="BD54" s="2371"/>
      <c r="BE54" s="2371"/>
      <c r="BF54" s="2372"/>
      <c r="BH54" s="2452"/>
      <c r="BI54" s="2362"/>
      <c r="BJ54" s="2454"/>
      <c r="BK54" s="2362"/>
    </row>
    <row r="55" spans="1:64">
      <c r="BH55" s="2452"/>
      <c r="BI55" s="2362"/>
      <c r="BJ55" s="2454"/>
      <c r="BK55" s="2362"/>
    </row>
    <row r="56" spans="1:64">
      <c r="BH56" s="2452"/>
      <c r="BI56" s="2362"/>
      <c r="BJ56" s="2454"/>
      <c r="BK56" s="2362"/>
    </row>
    <row r="57" spans="1:64">
      <c r="BH57" s="2452"/>
      <c r="BI57" s="2362"/>
      <c r="BJ57" s="2454"/>
      <c r="BK57" s="2362"/>
    </row>
    <row r="58" spans="1:64">
      <c r="BH58" s="2452"/>
      <c r="BI58" s="2362"/>
    </row>
    <row r="59" spans="1:64">
      <c r="BH59" s="2452"/>
      <c r="BI59" s="2362"/>
    </row>
    <row r="60" spans="1:64">
      <c r="BH60" s="2452"/>
      <c r="BI60" s="2362"/>
    </row>
    <row r="61" spans="1:64">
      <c r="BH61" s="2452"/>
      <c r="BI61" s="2362"/>
    </row>
    <row r="62" spans="1:64">
      <c r="BH62" s="2452"/>
      <c r="BI62" s="2362"/>
    </row>
    <row r="63" spans="1:64">
      <c r="BH63" s="2452"/>
      <c r="BI63" s="2362"/>
    </row>
    <row r="64" spans="1:64">
      <c r="BH64" s="2452"/>
      <c r="BI64" s="2362"/>
      <c r="BL64" s="2516"/>
    </row>
    <row r="65" spans="62:68">
      <c r="BL65" s="2516"/>
    </row>
    <row r="67" spans="62:68">
      <c r="BK67" s="4745"/>
      <c r="BL67" s="4745"/>
      <c r="BM67" s="4745"/>
      <c r="BN67" s="4745"/>
      <c r="BO67" s="4745"/>
      <c r="BP67" s="4745"/>
    </row>
    <row r="68" spans="62:68">
      <c r="BK68" s="2456"/>
      <c r="BL68" s="2452"/>
      <c r="BM68" s="2517"/>
      <c r="BN68" s="2517"/>
      <c r="BO68" s="2518"/>
      <c r="BP68" s="2517"/>
    </row>
    <row r="69" spans="62:68">
      <c r="BK69" s="2456"/>
      <c r="BL69" s="2452"/>
      <c r="BM69" s="2517"/>
      <c r="BN69" s="2517"/>
      <c r="BO69" s="2517"/>
      <c r="BP69" s="2517"/>
    </row>
    <row r="70" spans="62:68">
      <c r="BK70" s="2452"/>
      <c r="BL70" s="2452"/>
      <c r="BM70" s="2517"/>
      <c r="BN70" s="2517"/>
      <c r="BO70" s="2517"/>
      <c r="BP70" s="2517"/>
    </row>
    <row r="71" spans="62:68">
      <c r="BK71" s="2452"/>
      <c r="BL71" s="2452"/>
      <c r="BM71" s="2517"/>
      <c r="BN71" s="2517"/>
      <c r="BO71" s="2517"/>
      <c r="BP71" s="2517"/>
    </row>
    <row r="72" spans="62:68">
      <c r="BK72" s="2517"/>
      <c r="BL72" s="2517"/>
      <c r="BM72" s="2517"/>
      <c r="BN72" s="2517"/>
      <c r="BO72" s="2517"/>
      <c r="BP72" s="2517"/>
    </row>
    <row r="74" spans="62:68">
      <c r="BJ74" s="2462"/>
    </row>
    <row r="75" spans="62:68">
      <c r="BJ75" s="2462"/>
    </row>
  </sheetData>
  <mergeCells count="32">
    <mergeCell ref="BK67:BL67"/>
    <mergeCell ref="BM67:BN67"/>
    <mergeCell ref="BO67:BP67"/>
    <mergeCell ref="BK40:BL40"/>
    <mergeCell ref="BM40:BN40"/>
    <mergeCell ref="A41:A44"/>
    <mergeCell ref="B41:B44"/>
    <mergeCell ref="AA49:AC49"/>
    <mergeCell ref="AF49:AH49"/>
    <mergeCell ref="BM30:BN30"/>
    <mergeCell ref="BJ35:BJ37"/>
    <mergeCell ref="BK35:BL35"/>
    <mergeCell ref="BM35:BN35"/>
    <mergeCell ref="A26:A38"/>
    <mergeCell ref="B26:B38"/>
    <mergeCell ref="AA26:AC26"/>
    <mergeCell ref="AF26:AH26"/>
    <mergeCell ref="BO35:BP35"/>
    <mergeCell ref="BV35:BW35"/>
    <mergeCell ref="BP22:BQ22"/>
    <mergeCell ref="BJ23:BK23"/>
    <mergeCell ref="BP23:BQ23"/>
    <mergeCell ref="BR23:BS23"/>
    <mergeCell ref="BJ30:BJ32"/>
    <mergeCell ref="BK30:BL30"/>
    <mergeCell ref="A21:A24"/>
    <mergeCell ref="B21:B24"/>
    <mergeCell ref="D3:BE3"/>
    <mergeCell ref="D4:BE4"/>
    <mergeCell ref="O6:S6"/>
    <mergeCell ref="A11:A13"/>
    <mergeCell ref="B11:B13"/>
  </mergeCells>
  <printOptions horizontalCentered="1" verticalCentered="1"/>
  <pageMargins left="0.3" right="0.3" top="0.3" bottom="0.3" header="0.2" footer="0.25"/>
  <pageSetup paperSize="9" scale="75" orientation="landscape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DCD0-E530-48D9-93ED-08BDAEFA9592}">
  <sheetPr>
    <tabColor theme="9"/>
  </sheetPr>
  <dimension ref="A1:CB75"/>
  <sheetViews>
    <sheetView showGridLines="0" topLeftCell="BG1" zoomScale="71" zoomScaleNormal="71" zoomScaleSheetLayoutView="93" workbookViewId="0">
      <selection activeCell="CN42" sqref="CN42"/>
    </sheetView>
  </sheetViews>
  <sheetFormatPr defaultColWidth="8" defaultRowHeight="13.5"/>
  <cols>
    <col min="1" max="3" width="2.625" style="2324" hidden="1" customWidth="1"/>
    <col min="4" max="57" width="1.5" style="2324" hidden="1" customWidth="1"/>
    <col min="58" max="58" width="6.75" style="2324" hidden="1" customWidth="1"/>
    <col min="59" max="59" width="2.375" style="2324" customWidth="1"/>
    <col min="60" max="60" width="8" style="2324"/>
    <col min="61" max="61" width="9.625" style="2324" customWidth="1"/>
    <col min="62" max="62" width="9.375" style="2324" customWidth="1"/>
    <col min="63" max="63" width="9.125" style="2324" customWidth="1"/>
    <col min="64" max="16384" width="8" style="2324"/>
  </cols>
  <sheetData>
    <row r="1" spans="1:80">
      <c r="A1" s="2323"/>
      <c r="BF1" s="2326"/>
    </row>
    <row r="2" spans="1:80">
      <c r="A2" s="2323"/>
      <c r="BF2" s="2326"/>
    </row>
    <row r="3" spans="1:80">
      <c r="A3" s="2323"/>
      <c r="D3" s="4632" t="s">
        <v>1188</v>
      </c>
      <c r="E3" s="4632"/>
      <c r="F3" s="4632"/>
      <c r="G3" s="4632"/>
      <c r="H3" s="4632"/>
      <c r="I3" s="4632"/>
      <c r="J3" s="4632"/>
      <c r="K3" s="4632"/>
      <c r="L3" s="4632"/>
      <c r="M3" s="4632"/>
      <c r="N3" s="4632"/>
      <c r="O3" s="4632"/>
      <c r="P3" s="4632"/>
      <c r="Q3" s="4632"/>
      <c r="R3" s="4632"/>
      <c r="S3" s="4632"/>
      <c r="T3" s="4632"/>
      <c r="U3" s="4632"/>
      <c r="V3" s="4632"/>
      <c r="W3" s="4632"/>
      <c r="X3" s="4632"/>
      <c r="Y3" s="4632"/>
      <c r="Z3" s="4632"/>
      <c r="AA3" s="4632"/>
      <c r="AB3" s="4632"/>
      <c r="AC3" s="4632"/>
      <c r="AD3" s="4632"/>
      <c r="AE3" s="4632"/>
      <c r="AF3" s="4632"/>
      <c r="AG3" s="4632"/>
      <c r="AH3" s="4632"/>
      <c r="AI3" s="4632"/>
      <c r="AJ3" s="4632"/>
      <c r="AK3" s="4632"/>
      <c r="AL3" s="4632"/>
      <c r="AM3" s="4632"/>
      <c r="AN3" s="4632"/>
      <c r="AO3" s="4632"/>
      <c r="AP3" s="4632"/>
      <c r="AQ3" s="4632"/>
      <c r="AR3" s="4632"/>
      <c r="AS3" s="4632"/>
      <c r="AT3" s="4632"/>
      <c r="AU3" s="4632"/>
      <c r="AV3" s="4632"/>
      <c r="AW3" s="4632"/>
      <c r="AX3" s="4632"/>
      <c r="AY3" s="4632"/>
      <c r="AZ3" s="4632"/>
      <c r="BA3" s="4632"/>
      <c r="BB3" s="4632"/>
      <c r="BC3" s="4632"/>
      <c r="BD3" s="4632"/>
      <c r="BE3" s="4632"/>
      <c r="BF3" s="2326"/>
    </row>
    <row r="4" spans="1:80">
      <c r="A4" s="2323"/>
      <c r="D4" s="4633" t="s">
        <v>1102</v>
      </c>
      <c r="E4" s="4633"/>
      <c r="F4" s="4633"/>
      <c r="G4" s="4633"/>
      <c r="H4" s="4633"/>
      <c r="I4" s="4633"/>
      <c r="J4" s="4633"/>
      <c r="K4" s="4633"/>
      <c r="L4" s="4633"/>
      <c r="M4" s="4633"/>
      <c r="N4" s="4633"/>
      <c r="O4" s="4633"/>
      <c r="P4" s="4633"/>
      <c r="Q4" s="4633"/>
      <c r="R4" s="4633"/>
      <c r="S4" s="4633"/>
      <c r="T4" s="4633"/>
      <c r="U4" s="4633"/>
      <c r="V4" s="4633"/>
      <c r="W4" s="4633"/>
      <c r="X4" s="4633"/>
      <c r="Y4" s="4633"/>
      <c r="Z4" s="4633"/>
      <c r="AA4" s="4633"/>
      <c r="AB4" s="4633"/>
      <c r="AC4" s="4633"/>
      <c r="AD4" s="4633"/>
      <c r="AE4" s="4633"/>
      <c r="AF4" s="4633"/>
      <c r="AG4" s="4633"/>
      <c r="AH4" s="4633"/>
      <c r="AI4" s="4633"/>
      <c r="AJ4" s="4633"/>
      <c r="AK4" s="4633"/>
      <c r="AL4" s="4633"/>
      <c r="AM4" s="4633"/>
      <c r="AN4" s="4633"/>
      <c r="AO4" s="4633"/>
      <c r="AP4" s="4633"/>
      <c r="AQ4" s="4633"/>
      <c r="AR4" s="4633"/>
      <c r="AS4" s="4633"/>
      <c r="AT4" s="4633"/>
      <c r="AU4" s="4633"/>
      <c r="AV4" s="4633"/>
      <c r="AW4" s="4633"/>
      <c r="AX4" s="4633"/>
      <c r="AY4" s="4633"/>
      <c r="AZ4" s="4633"/>
      <c r="BA4" s="4633"/>
      <c r="BB4" s="4633"/>
      <c r="BC4" s="4633"/>
      <c r="BD4" s="4633"/>
      <c r="BE4" s="4633"/>
      <c r="BF4" s="2326"/>
    </row>
    <row r="5" spans="1:80">
      <c r="A5" s="2323"/>
      <c r="BF5" s="2326"/>
      <c r="BH5" s="2386" t="s">
        <v>1189</v>
      </c>
    </row>
    <row r="6" spans="1:80">
      <c r="A6" s="2323"/>
      <c r="O6" s="4730"/>
      <c r="P6" s="4730"/>
      <c r="Q6" s="4730"/>
      <c r="R6" s="4730"/>
      <c r="S6" s="4730"/>
      <c r="BF6" s="2326"/>
    </row>
    <row r="7" spans="1:80">
      <c r="A7" s="2323"/>
      <c r="BF7" s="2326"/>
      <c r="BH7" s="2322" t="s">
        <v>16</v>
      </c>
      <c r="BI7" s="2322" t="s">
        <v>1186</v>
      </c>
    </row>
    <row r="8" spans="1:80">
      <c r="A8" s="2323"/>
      <c r="D8" s="2319"/>
      <c r="E8" s="2320"/>
      <c r="F8" s="2320"/>
      <c r="G8" s="2320"/>
      <c r="H8" s="2320"/>
      <c r="I8" s="2320"/>
      <c r="J8" s="2320"/>
      <c r="K8" s="2320"/>
      <c r="L8" s="2320"/>
      <c r="M8" s="2320"/>
      <c r="N8" s="2320"/>
      <c r="O8" s="2320"/>
      <c r="P8" s="2320"/>
      <c r="Q8" s="2320"/>
      <c r="R8" s="2387"/>
      <c r="S8" s="2387"/>
      <c r="T8" s="2387"/>
      <c r="U8" s="2387"/>
      <c r="V8" s="2320"/>
      <c r="W8" s="2320"/>
      <c r="X8" s="2320"/>
      <c r="Y8" s="2320"/>
      <c r="Z8" s="2320"/>
      <c r="AA8" s="2320"/>
      <c r="AB8" s="2320"/>
      <c r="AC8" s="2320"/>
      <c r="AD8" s="2320"/>
      <c r="AE8" s="2320"/>
      <c r="AF8" s="2320"/>
      <c r="AG8" s="2320"/>
      <c r="AH8" s="2320"/>
      <c r="AI8" s="2320"/>
      <c r="AJ8" s="2320"/>
      <c r="AK8" s="2320"/>
      <c r="AL8" s="2320"/>
      <c r="AM8" s="2320"/>
      <c r="AN8" s="2320"/>
      <c r="AO8" s="2320"/>
      <c r="AP8" s="2320"/>
      <c r="AQ8" s="2320"/>
      <c r="AR8" s="2320"/>
      <c r="AS8" s="2320"/>
      <c r="AT8" s="2320"/>
      <c r="AU8" s="2320"/>
      <c r="AV8" s="2320"/>
      <c r="AW8" s="2320"/>
      <c r="AX8" s="2320"/>
      <c r="AY8" s="2320"/>
      <c r="AZ8" s="2320"/>
      <c r="BA8" s="2320"/>
      <c r="BB8" s="2320"/>
      <c r="BC8" s="2320"/>
      <c r="BD8" s="2320"/>
      <c r="BE8" s="2321"/>
      <c r="BF8" s="2326"/>
      <c r="BH8" s="2327" t="s">
        <v>1190</v>
      </c>
      <c r="BI8" s="2327" t="s">
        <v>583</v>
      </c>
    </row>
    <row r="9" spans="1:80" ht="15" customHeight="1">
      <c r="A9" s="2323"/>
      <c r="D9" s="2323"/>
      <c r="AB9" s="2388"/>
      <c r="AC9" s="2388"/>
      <c r="AD9" s="2388"/>
      <c r="AE9" s="2388"/>
      <c r="AF9" s="2388"/>
      <c r="AG9" s="2388"/>
      <c r="AH9" s="2388"/>
      <c r="AI9" s="2388"/>
      <c r="AJ9" s="2388"/>
      <c r="AK9" s="2388"/>
      <c r="AL9" s="2388"/>
      <c r="AM9" s="2388"/>
      <c r="AN9" s="2388"/>
      <c r="AO9" s="2388"/>
      <c r="AP9" s="2388"/>
      <c r="AQ9" s="2388"/>
      <c r="AR9" s="2388"/>
      <c r="AS9" s="2388"/>
      <c r="AT9" s="2388"/>
      <c r="AU9" s="2388"/>
      <c r="AV9" s="2388"/>
      <c r="AW9" s="2388"/>
      <c r="AX9" s="2388"/>
      <c r="AY9" s="2388"/>
      <c r="AZ9" s="2388"/>
      <c r="BA9" s="2388"/>
      <c r="BB9" s="2388"/>
      <c r="BC9" s="2388"/>
      <c r="BD9" s="2388"/>
      <c r="BE9" s="2389"/>
      <c r="BF9" s="2326"/>
      <c r="BH9" s="2390">
        <f>'Cons.Ds CD'!D45</f>
        <v>0</v>
      </c>
      <c r="BI9" s="2519">
        <f>IF('Cons.Ds CD'!AZ45="","",'Cons.Ds CD'!AZ45)</f>
        <v>24.900000000000002</v>
      </c>
    </row>
    <row r="10" spans="1:80">
      <c r="A10" s="2307" t="s">
        <v>27</v>
      </c>
      <c r="B10" s="2306" t="s">
        <v>27</v>
      </c>
      <c r="D10" s="2323"/>
      <c r="R10" s="2362"/>
      <c r="S10" s="2362"/>
      <c r="T10" s="2362"/>
      <c r="U10" s="2362"/>
      <c r="AB10" s="2391"/>
      <c r="AC10" s="2391"/>
      <c r="AD10" s="2391"/>
      <c r="AE10" s="2391"/>
      <c r="AF10" s="2391"/>
      <c r="AG10" s="2391"/>
      <c r="AH10" s="2391"/>
      <c r="AI10" s="2391"/>
      <c r="AJ10" s="2391"/>
      <c r="AK10" s="2391"/>
      <c r="AL10" s="2391"/>
      <c r="AM10" s="2391"/>
      <c r="AN10" s="2391"/>
      <c r="AO10" s="2391"/>
      <c r="AP10" s="2391"/>
      <c r="AQ10" s="2391"/>
      <c r="AR10" s="2391"/>
      <c r="AS10" s="2391"/>
      <c r="AT10" s="2391"/>
      <c r="AU10" s="2391"/>
      <c r="AV10" s="2391"/>
      <c r="AW10" s="2391"/>
      <c r="AX10" s="2391"/>
      <c r="AY10" s="2391"/>
      <c r="AZ10" s="2391"/>
      <c r="BA10" s="2391"/>
      <c r="BB10" s="2391"/>
      <c r="BC10" s="2391"/>
      <c r="BD10" s="2391"/>
      <c r="BE10" s="2392"/>
      <c r="BF10" s="2326"/>
      <c r="BH10" s="2393">
        <f>'Cons.Ds CD'!D46</f>
        <v>0.25</v>
      </c>
      <c r="BI10" s="2333">
        <f>IF('Cons.Ds CD'!AZ46="","",'Cons.Ds CD'!AZ46)</f>
        <v>22.494000000000003</v>
      </c>
    </row>
    <row r="11" spans="1:80" ht="15" customHeight="1">
      <c r="A11" s="4642" t="s">
        <v>76</v>
      </c>
      <c r="B11" s="4643" t="s">
        <v>76</v>
      </c>
      <c r="D11" s="2323"/>
      <c r="R11" s="2362"/>
      <c r="S11" s="2362"/>
      <c r="T11" s="2362"/>
      <c r="U11" s="2362"/>
      <c r="AB11" s="2391"/>
      <c r="AC11" s="2391"/>
      <c r="AD11" s="2391"/>
      <c r="AE11" s="2391"/>
      <c r="AF11" s="2391"/>
      <c r="AG11" s="2391"/>
      <c r="AH11" s="2391"/>
      <c r="AI11" s="2391"/>
      <c r="AJ11" s="2391"/>
      <c r="AK11" s="2391"/>
      <c r="AL11" s="2391"/>
      <c r="AM11" s="2391"/>
      <c r="AN11" s="2391"/>
      <c r="AO11" s="2391"/>
      <c r="AP11" s="2391"/>
      <c r="AQ11" s="2391"/>
      <c r="AR11" s="2391"/>
      <c r="AS11" s="2391"/>
      <c r="AT11" s="2391"/>
      <c r="AU11" s="2391"/>
      <c r="AV11" s="2391"/>
      <c r="AW11" s="2391"/>
      <c r="AX11" s="2391"/>
      <c r="AY11" s="2391"/>
      <c r="AZ11" s="2391"/>
      <c r="BA11" s="2391"/>
      <c r="BB11" s="2391"/>
      <c r="BC11" s="2391"/>
      <c r="BD11" s="2391"/>
      <c r="BE11" s="2392"/>
      <c r="BF11" s="2326"/>
      <c r="BH11" s="2393">
        <f>'Cons.Ds CD'!D47</f>
        <v>1</v>
      </c>
      <c r="BI11" s="2333">
        <f>IF('Cons.Ds CD'!AZ47="","",'Cons.Ds CD'!AZ47)</f>
        <v>22.395000000000003</v>
      </c>
    </row>
    <row r="12" spans="1:80">
      <c r="A12" s="4642"/>
      <c r="B12" s="4643"/>
      <c r="D12" s="2323"/>
      <c r="R12" s="2362"/>
      <c r="S12" s="2362"/>
      <c r="T12" s="2362"/>
      <c r="U12" s="2362"/>
      <c r="AB12" s="2391"/>
      <c r="AC12" s="2391"/>
      <c r="AD12" s="2391"/>
      <c r="AE12" s="2391"/>
      <c r="AF12" s="2391"/>
      <c r="AG12" s="2391"/>
      <c r="AH12" s="2391"/>
      <c r="AI12" s="2391"/>
      <c r="AJ12" s="2391"/>
      <c r="AK12" s="2391"/>
      <c r="AL12" s="2391"/>
      <c r="AM12" s="2391"/>
      <c r="AN12" s="2391"/>
      <c r="AO12" s="2391"/>
      <c r="AP12" s="2391"/>
      <c r="AQ12" s="2391"/>
      <c r="AR12" s="2391"/>
      <c r="AS12" s="2391"/>
      <c r="AT12" s="2391"/>
      <c r="AU12" s="2391"/>
      <c r="AV12" s="2391"/>
      <c r="AW12" s="2391"/>
      <c r="AX12" s="2391"/>
      <c r="AY12" s="2391"/>
      <c r="AZ12" s="2391"/>
      <c r="BA12" s="2391"/>
      <c r="BB12" s="2391"/>
      <c r="BC12" s="2391"/>
      <c r="BD12" s="2391"/>
      <c r="BE12" s="2392"/>
      <c r="BF12" s="2326"/>
      <c r="BH12" s="2393">
        <f>'Cons.Ds CD'!D48</f>
        <v>4</v>
      </c>
      <c r="BI12" s="2333">
        <f>IF('Cons.Ds CD'!AZ48="","",'Cons.Ds CD'!AZ48)</f>
        <v>22.351000000000003</v>
      </c>
    </row>
    <row r="13" spans="1:80">
      <c r="A13" s="4642"/>
      <c r="B13" s="4643"/>
      <c r="D13" s="2323"/>
      <c r="R13" s="2362"/>
      <c r="S13" s="2362"/>
      <c r="T13" s="2362"/>
      <c r="U13" s="2362"/>
      <c r="AB13" s="2391"/>
      <c r="AC13" s="2391"/>
      <c r="AD13" s="2391"/>
      <c r="AE13" s="2391"/>
      <c r="AF13" s="2391"/>
      <c r="AG13" s="2391"/>
      <c r="AH13" s="2391"/>
      <c r="AI13" s="2391"/>
      <c r="AJ13" s="2391"/>
      <c r="AK13" s="2391"/>
      <c r="AL13" s="2391"/>
      <c r="AM13" s="2391"/>
      <c r="AN13" s="2391"/>
      <c r="AO13" s="2391"/>
      <c r="AP13" s="2391"/>
      <c r="AQ13" s="2391"/>
      <c r="AR13" s="2391"/>
      <c r="AS13" s="2391"/>
      <c r="AT13" s="2391"/>
      <c r="AU13" s="2391"/>
      <c r="AV13" s="2391"/>
      <c r="AW13" s="2391"/>
      <c r="AX13" s="2391"/>
      <c r="AY13" s="2391"/>
      <c r="AZ13" s="2391"/>
      <c r="BA13" s="2391"/>
      <c r="BB13" s="2391"/>
      <c r="BC13" s="2391"/>
      <c r="BD13" s="2391"/>
      <c r="BE13" s="2392"/>
      <c r="BF13" s="2326"/>
      <c r="BH13" s="2393">
        <f>'Cons.Ds CD'!D49</f>
        <v>6.25</v>
      </c>
      <c r="BI13" s="2333">
        <f>IF('Cons.Ds CD'!AZ49="","",'Cons.Ds CD'!AZ49)</f>
        <v>22.340000000000003</v>
      </c>
    </row>
    <row r="14" spans="1:80">
      <c r="A14" s="2323"/>
      <c r="D14" s="2323"/>
      <c r="R14" s="2362"/>
      <c r="S14" s="2362"/>
      <c r="T14" s="2362"/>
      <c r="U14" s="2362"/>
      <c r="AB14" s="2391"/>
      <c r="AC14" s="2391"/>
      <c r="AD14" s="2391"/>
      <c r="AE14" s="2391"/>
      <c r="AF14" s="2391"/>
      <c r="AG14" s="2391"/>
      <c r="AH14" s="2391"/>
      <c r="AI14" s="2391"/>
      <c r="AJ14" s="2391"/>
      <c r="AK14" s="2391"/>
      <c r="AL14" s="2391"/>
      <c r="AM14" s="2391"/>
      <c r="AN14" s="2391"/>
      <c r="AO14" s="2391"/>
      <c r="AP14" s="2391"/>
      <c r="AQ14" s="2391"/>
      <c r="AR14" s="2391"/>
      <c r="AS14" s="2391"/>
      <c r="AT14" s="2391"/>
      <c r="AU14" s="2391"/>
      <c r="AV14" s="2391"/>
      <c r="AW14" s="2391"/>
      <c r="AX14" s="2391"/>
      <c r="AY14" s="2391"/>
      <c r="AZ14" s="2391"/>
      <c r="BA14" s="2391"/>
      <c r="BB14" s="2391"/>
      <c r="BC14" s="2391"/>
      <c r="BD14" s="2391"/>
      <c r="BE14" s="2392"/>
      <c r="BF14" s="2326"/>
      <c r="BH14" s="2393">
        <f>'Cons.Ds CD'!D50</f>
        <v>9</v>
      </c>
      <c r="BI14" s="2333">
        <f>IF('Cons.Ds CD'!AZ50="","",'Cons.Ds CD'!AZ50)</f>
        <v>22.331000000000003</v>
      </c>
      <c r="CA14" s="2394"/>
      <c r="CB14" s="2362"/>
    </row>
    <row r="15" spans="1:80" ht="15" customHeight="1">
      <c r="A15" s="2323"/>
      <c r="D15" s="2323"/>
      <c r="R15" s="2362"/>
      <c r="S15" s="2362"/>
      <c r="T15" s="2362"/>
      <c r="U15" s="2362"/>
      <c r="AB15" s="2391"/>
      <c r="AC15" s="2391"/>
      <c r="AD15" s="2391"/>
      <c r="AE15" s="2391"/>
      <c r="AF15" s="2391"/>
      <c r="AG15" s="2391"/>
      <c r="AH15" s="2391"/>
      <c r="AI15" s="2391"/>
      <c r="AJ15" s="2391"/>
      <c r="AK15" s="2391"/>
      <c r="AL15" s="2391"/>
      <c r="AM15" s="2391"/>
      <c r="AN15" s="2391"/>
      <c r="AO15" s="2391"/>
      <c r="AP15" s="2391"/>
      <c r="AQ15" s="2391"/>
      <c r="AR15" s="2391"/>
      <c r="AS15" s="2391"/>
      <c r="AT15" s="2391"/>
      <c r="AU15" s="2391"/>
      <c r="AV15" s="2391"/>
      <c r="AW15" s="2391"/>
      <c r="AX15" s="2391"/>
      <c r="AY15" s="2391"/>
      <c r="AZ15" s="2391"/>
      <c r="BA15" s="2391"/>
      <c r="BB15" s="2391"/>
      <c r="BC15" s="2391"/>
      <c r="BD15" s="2391"/>
      <c r="BE15" s="2392"/>
      <c r="BF15" s="2326"/>
      <c r="BH15" s="2393">
        <f>'Cons.Ds CD'!D51</f>
        <v>12.25</v>
      </c>
      <c r="BI15" s="2333">
        <f>IF('Cons.Ds CD'!AZ51="","",'Cons.Ds CD'!AZ51)</f>
        <v>22.322000000000003</v>
      </c>
      <c r="CA15" s="2362"/>
      <c r="CB15" s="2394"/>
    </row>
    <row r="16" spans="1:80">
      <c r="A16" s="2380"/>
      <c r="B16" s="2381"/>
      <c r="D16" s="2323"/>
      <c r="R16" s="2362"/>
      <c r="S16" s="2362"/>
      <c r="T16" s="2362"/>
      <c r="U16" s="2362"/>
      <c r="AB16" s="2391"/>
      <c r="AC16" s="2391"/>
      <c r="AD16" s="2391"/>
      <c r="AE16" s="2391"/>
      <c r="AF16" s="2391"/>
      <c r="AG16" s="2391"/>
      <c r="AH16" s="2391"/>
      <c r="AI16" s="2391"/>
      <c r="AJ16" s="2391"/>
      <c r="AK16" s="2391"/>
      <c r="AL16" s="2391"/>
      <c r="AM16" s="2391"/>
      <c r="AN16" s="2391"/>
      <c r="AO16" s="2391"/>
      <c r="AP16" s="2391"/>
      <c r="AQ16" s="2391"/>
      <c r="AR16" s="2391"/>
      <c r="AS16" s="2391"/>
      <c r="AT16" s="2391"/>
      <c r="AU16" s="2391"/>
      <c r="AV16" s="2391"/>
      <c r="AW16" s="2391"/>
      <c r="AX16" s="2391"/>
      <c r="AY16" s="2391"/>
      <c r="AZ16" s="2391"/>
      <c r="BA16" s="2391"/>
      <c r="BB16" s="2391"/>
      <c r="BC16" s="2391"/>
      <c r="BD16" s="2391"/>
      <c r="BE16" s="2392"/>
      <c r="BF16" s="2326"/>
      <c r="BH16" s="2393">
        <f>'Cons.Ds CD'!D52</f>
        <v>16</v>
      </c>
      <c r="BI16" s="2333">
        <f>IF('Cons.Ds CD'!AZ52="","",'Cons.Ds CD'!AZ52)</f>
        <v>22.313000000000002</v>
      </c>
      <c r="CA16" s="2362"/>
      <c r="CB16" s="2394"/>
    </row>
    <row r="17" spans="1:80">
      <c r="A17" s="2380"/>
      <c r="B17" s="2381"/>
      <c r="D17" s="2323"/>
      <c r="AB17" s="2391"/>
      <c r="AC17" s="2391"/>
      <c r="AD17" s="2391"/>
      <c r="AE17" s="2391"/>
      <c r="AF17" s="2391"/>
      <c r="AG17" s="2391"/>
      <c r="AH17" s="2391"/>
      <c r="AI17" s="2391"/>
      <c r="AJ17" s="2391"/>
      <c r="AK17" s="2391"/>
      <c r="AL17" s="2391"/>
      <c r="AM17" s="2391"/>
      <c r="AN17" s="2391"/>
      <c r="AO17" s="2391"/>
      <c r="AP17" s="2391"/>
      <c r="AQ17" s="2391"/>
      <c r="AR17" s="2391"/>
      <c r="AS17" s="2391"/>
      <c r="AT17" s="2391"/>
      <c r="AU17" s="2391"/>
      <c r="AV17" s="2391"/>
      <c r="AW17" s="2391"/>
      <c r="AX17" s="2391"/>
      <c r="AY17" s="2391"/>
      <c r="AZ17" s="2391"/>
      <c r="BA17" s="2391"/>
      <c r="BB17" s="2391"/>
      <c r="BC17" s="2391"/>
      <c r="BD17" s="2391"/>
      <c r="BE17" s="2392"/>
      <c r="BF17" s="2326"/>
      <c r="BH17" s="2393">
        <f>'Cons.Ds CD'!D53</f>
        <v>20.25</v>
      </c>
      <c r="BI17" s="2333">
        <f>IF('Cons.Ds CD'!AZ53="","",'Cons.Ds CD'!AZ53)</f>
        <v>22.310000000000002</v>
      </c>
      <c r="BY17" s="2362"/>
      <c r="BZ17" s="2362"/>
      <c r="CA17" s="2362"/>
      <c r="CB17" s="2362"/>
    </row>
    <row r="18" spans="1:80">
      <c r="A18" s="2380"/>
      <c r="B18" s="2381"/>
      <c r="D18" s="2323"/>
      <c r="AB18" s="2391"/>
      <c r="AC18" s="2391"/>
      <c r="AD18" s="2391"/>
      <c r="AE18" s="2391"/>
      <c r="AF18" s="2391"/>
      <c r="AG18" s="2391"/>
      <c r="AH18" s="2391"/>
      <c r="AI18" s="2391"/>
      <c r="AJ18" s="2391"/>
      <c r="AK18" s="2391"/>
      <c r="AL18" s="2391"/>
      <c r="AM18" s="2391"/>
      <c r="AN18" s="2391"/>
      <c r="AO18" s="2391"/>
      <c r="AP18" s="2391"/>
      <c r="AQ18" s="2391"/>
      <c r="AR18" s="2391"/>
      <c r="AS18" s="2391"/>
      <c r="AT18" s="2391"/>
      <c r="AU18" s="2391"/>
      <c r="AV18" s="2391"/>
      <c r="AW18" s="2391"/>
      <c r="AX18" s="2391"/>
      <c r="AY18" s="2391"/>
      <c r="AZ18" s="2391"/>
      <c r="BA18" s="2391"/>
      <c r="BB18" s="2391"/>
      <c r="BC18" s="2391"/>
      <c r="BD18" s="2391"/>
      <c r="BE18" s="2392"/>
      <c r="BF18" s="2326"/>
      <c r="BH18" s="2393">
        <f>'Cons.Ds CD'!D54</f>
        <v>60</v>
      </c>
      <c r="BI18" s="2333">
        <f>IF('Cons.Ds CD'!AZ54="","",'Cons.Ds CD'!AZ54)</f>
        <v>22.275000000000002</v>
      </c>
      <c r="BY18" s="2362"/>
      <c r="BZ18" s="2362"/>
      <c r="CA18" s="2362"/>
      <c r="CB18" s="2362"/>
    </row>
    <row r="19" spans="1:80">
      <c r="A19" s="2307" t="s">
        <v>27</v>
      </c>
      <c r="B19" s="2306" t="s">
        <v>27</v>
      </c>
      <c r="D19" s="2323"/>
      <c r="AB19" s="2391"/>
      <c r="AC19" s="2391"/>
      <c r="AD19" s="2391"/>
      <c r="AE19" s="2391"/>
      <c r="AF19" s="2391"/>
      <c r="AG19" s="2391"/>
      <c r="AH19" s="2391"/>
      <c r="AI19" s="2391"/>
      <c r="AJ19" s="2391"/>
      <c r="AK19" s="2391"/>
      <c r="AL19" s="2391"/>
      <c r="AM19" s="2391"/>
      <c r="AN19" s="2391"/>
      <c r="AO19" s="2391"/>
      <c r="AP19" s="2391"/>
      <c r="AQ19" s="2391"/>
      <c r="AR19" s="2391"/>
      <c r="AS19" s="2391"/>
      <c r="AT19" s="2391"/>
      <c r="AU19" s="2391"/>
      <c r="AV19" s="2391"/>
      <c r="AW19" s="2391"/>
      <c r="AX19" s="2391"/>
      <c r="AY19" s="2391"/>
      <c r="AZ19" s="2391"/>
      <c r="BA19" s="2391"/>
      <c r="BB19" s="2391"/>
      <c r="BC19" s="2391"/>
      <c r="BD19" s="2391"/>
      <c r="BE19" s="2392"/>
      <c r="BF19" s="2326"/>
      <c r="BH19" s="2393">
        <f>'Cons.Ds CD'!D55</f>
        <v>120</v>
      </c>
      <c r="BI19" s="2333">
        <f>IF('Cons.Ds CD'!AZ55="","",'Cons.Ds CD'!AZ55)</f>
        <v>22.254000000000005</v>
      </c>
      <c r="BM19" s="2337"/>
      <c r="BY19" s="2362"/>
      <c r="BZ19" s="2362"/>
      <c r="CA19" s="2362"/>
      <c r="CB19" s="2362"/>
    </row>
    <row r="20" spans="1:80">
      <c r="A20" s="2308"/>
      <c r="B20" s="2309"/>
      <c r="D20" s="2323"/>
      <c r="AB20" s="2391"/>
      <c r="AC20" s="2391"/>
      <c r="AD20" s="2391"/>
      <c r="AE20" s="2391"/>
      <c r="AF20" s="2391"/>
      <c r="AG20" s="2391"/>
      <c r="AH20" s="2391"/>
      <c r="AI20" s="2391"/>
      <c r="AJ20" s="2391"/>
      <c r="AK20" s="2391"/>
      <c r="AL20" s="2391"/>
      <c r="AM20" s="2391"/>
      <c r="AN20" s="2391"/>
      <c r="AO20" s="2391"/>
      <c r="AP20" s="2391"/>
      <c r="AQ20" s="2391"/>
      <c r="AR20" s="2391"/>
      <c r="AS20" s="2391"/>
      <c r="AT20" s="2391"/>
      <c r="AU20" s="2391"/>
      <c r="AV20" s="2391"/>
      <c r="AW20" s="2391"/>
      <c r="AX20" s="2391"/>
      <c r="AY20" s="2391"/>
      <c r="AZ20" s="2391"/>
      <c r="BA20" s="2391"/>
      <c r="BB20" s="2391"/>
      <c r="BC20" s="2391"/>
      <c r="BD20" s="2391"/>
      <c r="BE20" s="2392"/>
      <c r="BF20" s="2326"/>
      <c r="BH20" s="2393">
        <f>'Cons.Ds CD'!D56</f>
        <v>240</v>
      </c>
      <c r="BI20" s="2333">
        <f>IF('Cons.Ds CD'!AZ56="","",'Cons.Ds CD'!AZ56)</f>
        <v>22.231000000000002</v>
      </c>
    </row>
    <row r="21" spans="1:80" ht="15" customHeight="1">
      <c r="A21" s="4654" t="s">
        <v>1106</v>
      </c>
      <c r="B21" s="4643" t="s">
        <v>1107</v>
      </c>
      <c r="D21" s="2323"/>
      <c r="R21" s="2362"/>
      <c r="S21" s="2362"/>
      <c r="T21" s="2362"/>
      <c r="U21" s="2362"/>
      <c r="BE21" s="2326"/>
      <c r="BF21" s="2326"/>
      <c r="BH21" s="2393">
        <f>'Cons.Ds CD'!D57</f>
        <v>480</v>
      </c>
      <c r="BI21" s="2333">
        <f>IF('Cons.Ds CD'!AZ57="","",'Cons.Ds CD'!AZ57)</f>
        <v>22.218000000000004</v>
      </c>
    </row>
    <row r="22" spans="1:80">
      <c r="A22" s="4654"/>
      <c r="B22" s="4643"/>
      <c r="D22" s="2323"/>
      <c r="AB22" s="2338"/>
      <c r="AC22" s="2338"/>
      <c r="AD22" s="2338"/>
      <c r="AE22" s="2338"/>
      <c r="AF22" s="2338"/>
      <c r="AG22" s="2338"/>
      <c r="AH22" s="2338"/>
      <c r="AI22" s="2338"/>
      <c r="AJ22" s="2338"/>
      <c r="AK22" s="2338"/>
      <c r="AL22" s="2338"/>
      <c r="AM22" s="2338"/>
      <c r="AN22" s="2338"/>
      <c r="AO22" s="2338"/>
      <c r="AP22" s="2338"/>
      <c r="AQ22" s="2338"/>
      <c r="AR22" s="2338"/>
      <c r="AS22" s="2338"/>
      <c r="AT22" s="2338"/>
      <c r="AU22" s="2338"/>
      <c r="AV22" s="2338"/>
      <c r="AW22" s="2338"/>
      <c r="AX22" s="2338"/>
      <c r="AY22" s="2338"/>
      <c r="AZ22" s="2338"/>
      <c r="BA22" s="2338"/>
      <c r="BB22" s="2338"/>
      <c r="BC22" s="2338"/>
      <c r="BD22" s="2338"/>
      <c r="BE22" s="2395"/>
      <c r="BF22" s="2326"/>
      <c r="BH22" s="2393">
        <f>'Cons.Ds CD'!D58</f>
        <v>1440</v>
      </c>
      <c r="BI22" s="2520">
        <f>IF('Cons.Ds CD'!AZ58="","",'Cons.Ds CD'!AZ58)</f>
        <v>22.204000000000004</v>
      </c>
      <c r="BP22" s="4675"/>
      <c r="BQ22" s="4675"/>
      <c r="BR22" s="2362"/>
      <c r="BS22" s="2362"/>
      <c r="BT22" s="2362"/>
      <c r="BU22" s="2362"/>
    </row>
    <row r="23" spans="1:80">
      <c r="A23" s="4654"/>
      <c r="B23" s="4643"/>
      <c r="D23" s="2396"/>
      <c r="E23" s="2365"/>
      <c r="F23" s="2365"/>
      <c r="G23" s="2365"/>
      <c r="H23" s="2365"/>
      <c r="I23" s="2365"/>
      <c r="J23" s="2365"/>
      <c r="K23" s="2365"/>
      <c r="L23" s="2365"/>
      <c r="M23" s="2365"/>
      <c r="N23" s="2365"/>
      <c r="O23" s="2365"/>
      <c r="P23" s="2365"/>
      <c r="Q23" s="2365"/>
      <c r="R23" s="2365"/>
      <c r="S23" s="2365"/>
      <c r="T23" s="2365"/>
      <c r="U23" s="2365"/>
      <c r="V23" s="2365"/>
      <c r="W23" s="2365"/>
      <c r="X23" s="2365"/>
      <c r="Y23" s="2365"/>
      <c r="Z23" s="2365"/>
      <c r="AA23" s="2365"/>
      <c r="AB23" s="2365"/>
      <c r="AC23" s="2365"/>
      <c r="AD23" s="2365"/>
      <c r="AE23" s="2365"/>
      <c r="AF23" s="2365"/>
      <c r="AG23" s="2365"/>
      <c r="AH23" s="2365"/>
      <c r="AI23" s="2365"/>
      <c r="AJ23" s="2365"/>
      <c r="AK23" s="2365"/>
      <c r="AL23" s="2365"/>
      <c r="AM23" s="2365"/>
      <c r="AN23" s="2365"/>
      <c r="AO23" s="2365"/>
      <c r="AP23" s="2365"/>
      <c r="AQ23" s="2365"/>
      <c r="AR23" s="2365"/>
      <c r="AS23" s="2365"/>
      <c r="AT23" s="2365"/>
      <c r="AU23" s="2365"/>
      <c r="AV23" s="2365"/>
      <c r="AW23" s="2365"/>
      <c r="AX23" s="2365"/>
      <c r="AY23" s="2365"/>
      <c r="AZ23" s="2365"/>
      <c r="BA23" s="2365"/>
      <c r="BB23" s="2365"/>
      <c r="BC23" s="2365"/>
      <c r="BD23" s="2365"/>
      <c r="BE23" s="2397"/>
      <c r="BF23" s="2326"/>
      <c r="BH23" s="2331"/>
      <c r="BI23" s="2332" t="str">
        <f>IF('Cons.Ds CD'!P59="","",'Cons.Ds CD'!P59)</f>
        <v/>
      </c>
      <c r="BJ23" s="4730" t="s">
        <v>1191</v>
      </c>
      <c r="BK23" s="4732"/>
      <c r="BL23" s="2398"/>
      <c r="BM23" s="2399" t="s">
        <v>1192</v>
      </c>
      <c r="BN23" s="2400" t="s">
        <v>1193</v>
      </c>
      <c r="BO23" s="2401" t="s">
        <v>1194</v>
      </c>
      <c r="BP23" s="4733" t="s">
        <v>1195</v>
      </c>
      <c r="BQ23" s="4734"/>
      <c r="BR23" s="4733" t="s">
        <v>1196</v>
      </c>
      <c r="BS23" s="4734"/>
      <c r="BT23" s="2323"/>
      <c r="BV23" s="2324" t="s">
        <v>1293</v>
      </c>
      <c r="BW23" s="2402">
        <f>IF(BO24="","",50*BO24)</f>
        <v>125</v>
      </c>
      <c r="BX23" s="2324" t="s">
        <v>3</v>
      </c>
    </row>
    <row r="24" spans="1:80">
      <c r="A24" s="4654"/>
      <c r="B24" s="4643"/>
      <c r="D24" s="2396"/>
      <c r="E24" s="2365"/>
      <c r="F24" s="2365"/>
      <c r="G24" s="2365"/>
      <c r="H24" s="2365"/>
      <c r="I24" s="2365"/>
      <c r="J24" s="2365"/>
      <c r="K24" s="2365"/>
      <c r="L24" s="2365"/>
      <c r="M24" s="2365"/>
      <c r="N24" s="2365"/>
      <c r="O24" s="2365"/>
      <c r="P24" s="2365"/>
      <c r="Q24" s="2365"/>
      <c r="R24" s="2365"/>
      <c r="S24" s="2365"/>
      <c r="T24" s="2365"/>
      <c r="U24" s="2365"/>
      <c r="V24" s="2365"/>
      <c r="W24" s="2365"/>
      <c r="X24" s="2365"/>
      <c r="Y24" s="2365"/>
      <c r="Z24" s="2365"/>
      <c r="AA24" s="2365"/>
      <c r="AB24" s="2365"/>
      <c r="AC24" s="2365"/>
      <c r="AD24" s="2365"/>
      <c r="AE24" s="2365"/>
      <c r="AF24" s="2365"/>
      <c r="AG24" s="2365"/>
      <c r="AH24" s="2365"/>
      <c r="AI24" s="2365"/>
      <c r="AJ24" s="2365"/>
      <c r="AK24" s="2365"/>
      <c r="AL24" s="2365"/>
      <c r="AM24" s="2365"/>
      <c r="AN24" s="2365"/>
      <c r="AO24" s="2365"/>
      <c r="AP24" s="2365"/>
      <c r="AQ24" s="2365"/>
      <c r="AR24" s="2365"/>
      <c r="AS24" s="2365"/>
      <c r="AT24" s="2365"/>
      <c r="AU24" s="2365"/>
      <c r="AV24" s="2365"/>
      <c r="AW24" s="2365"/>
      <c r="AX24" s="2365"/>
      <c r="AY24" s="2365"/>
      <c r="AZ24" s="2365"/>
      <c r="BA24" s="2365"/>
      <c r="BB24" s="2365"/>
      <c r="BC24" s="2365"/>
      <c r="BD24" s="2365"/>
      <c r="BE24" s="2397"/>
      <c r="BF24" s="2326"/>
      <c r="BH24" s="2355"/>
      <c r="BI24" s="2403"/>
      <c r="BK24" s="2324" t="s">
        <v>1294</v>
      </c>
      <c r="BL24" s="2521">
        <v>20</v>
      </c>
      <c r="BM24" s="2405">
        <v>20.6</v>
      </c>
      <c r="BN24" s="2406">
        <v>480</v>
      </c>
      <c r="BO24" s="2407">
        <v>2.5</v>
      </c>
      <c r="BP24" s="2382">
        <v>0</v>
      </c>
      <c r="BQ24" s="2408">
        <v>240</v>
      </c>
      <c r="BR24" s="2383">
        <v>0</v>
      </c>
      <c r="BS24" s="2408">
        <v>480</v>
      </c>
      <c r="BV24" s="2324" t="s">
        <v>1295</v>
      </c>
      <c r="BW24" s="2324">
        <v>12</v>
      </c>
      <c r="BX24" s="2324" t="s">
        <v>2</v>
      </c>
    </row>
    <row r="25" spans="1:80">
      <c r="A25" s="2323"/>
      <c r="D25" s="2323"/>
      <c r="R25" s="2362"/>
      <c r="S25" s="2362"/>
      <c r="T25" s="2362"/>
      <c r="U25" s="2362"/>
      <c r="AB25" s="2391"/>
      <c r="AC25" s="2391"/>
      <c r="AD25" s="2391"/>
      <c r="AE25" s="2391"/>
      <c r="AF25" s="2391"/>
      <c r="AG25" s="2391"/>
      <c r="AH25" s="2391"/>
      <c r="AI25" s="2391"/>
      <c r="AJ25" s="2391"/>
      <c r="AK25" s="2391"/>
      <c r="AL25" s="2391"/>
      <c r="AM25" s="2391"/>
      <c r="AN25" s="2391"/>
      <c r="AO25" s="2391"/>
      <c r="AP25" s="2391"/>
      <c r="AQ25" s="2391"/>
      <c r="AR25" s="2391"/>
      <c r="AS25" s="2391"/>
      <c r="AT25" s="2391"/>
      <c r="AU25" s="2391"/>
      <c r="AV25" s="2391"/>
      <c r="AW25" s="2391"/>
      <c r="AX25" s="2391"/>
      <c r="AY25" s="2391"/>
      <c r="AZ25" s="2391"/>
      <c r="BA25" s="2391"/>
      <c r="BB25" s="2391"/>
      <c r="BC25" s="2391"/>
      <c r="BD25" s="2391"/>
      <c r="BE25" s="2392"/>
      <c r="BF25" s="2326"/>
      <c r="BH25" s="2362"/>
      <c r="BK25" s="2324" t="s">
        <v>1296</v>
      </c>
      <c r="BL25" s="2521">
        <v>20.9</v>
      </c>
      <c r="BM25" s="2399"/>
      <c r="BN25" s="2405">
        <v>20.05</v>
      </c>
      <c r="BO25" s="2409"/>
      <c r="BP25" s="2366"/>
      <c r="BQ25" s="2410">
        <v>480</v>
      </c>
      <c r="BR25" s="2372"/>
      <c r="BS25" s="2410">
        <v>1440</v>
      </c>
      <c r="BV25" s="2324" t="s">
        <v>1297</v>
      </c>
      <c r="BW25" s="2373">
        <f>BW24/BW23</f>
        <v>9.6000000000000002E-2</v>
      </c>
      <c r="BX25" s="2324" t="s">
        <v>556</v>
      </c>
    </row>
    <row r="26" spans="1:80" ht="15" customHeight="1">
      <c r="A26" s="4642" t="str">
        <f ca="1">MID(CELL("filename",A1),FIND("[",CELL("filename",A1))+1, FIND("]",CELL("filename",A1))-FIND("[",CELL("filename",A1))-1)</f>
        <v>LHU Template New 7 (Recovered) revisi.xlsx</v>
      </c>
      <c r="B26" s="4735" t="e">
        <f>IF(#REF!="","",#REF!)</f>
        <v>#REF!</v>
      </c>
      <c r="D26" s="2323"/>
      <c r="F26" s="2353"/>
      <c r="G26" s="2354"/>
      <c r="H26" s="2354"/>
      <c r="I26" s="2354"/>
      <c r="J26" s="2354"/>
      <c r="K26" s="2354"/>
      <c r="L26" s="2354"/>
      <c r="M26" s="2354"/>
      <c r="N26" s="2354"/>
      <c r="O26" s="2354"/>
      <c r="P26" s="2354"/>
      <c r="Q26" s="2354"/>
      <c r="R26" s="2343"/>
      <c r="S26" s="2343"/>
      <c r="T26" s="2343"/>
      <c r="U26" s="2343"/>
      <c r="V26" s="2354"/>
      <c r="W26" s="2354"/>
      <c r="X26" s="2354"/>
      <c r="Y26" s="2354"/>
      <c r="Z26" s="2354"/>
      <c r="AA26" s="4645" t="s">
        <v>1298</v>
      </c>
      <c r="AB26" s="4645"/>
      <c r="AC26" s="4645"/>
      <c r="AD26" s="2411" t="s">
        <v>176</v>
      </c>
      <c r="AE26" s="2411"/>
      <c r="AF26" s="4736">
        <f>IF(BQ32="","",BQ32)</f>
        <v>2.5</v>
      </c>
      <c r="AG26" s="4736"/>
      <c r="AH26" s="4736"/>
      <c r="AI26" s="2411" t="s">
        <v>1197</v>
      </c>
      <c r="AJ26" s="2411"/>
      <c r="AK26" s="2411"/>
      <c r="AL26" s="2411"/>
      <c r="AM26" s="2411"/>
      <c r="AN26" s="2411"/>
      <c r="AO26" s="2411"/>
      <c r="AP26" s="2411"/>
      <c r="AQ26" s="2411"/>
      <c r="AR26" s="2411"/>
      <c r="AS26" s="2411"/>
      <c r="AT26" s="2411"/>
      <c r="AU26" s="2411"/>
      <c r="AV26" s="2411"/>
      <c r="AW26" s="2411"/>
      <c r="AX26" s="2411"/>
      <c r="AY26" s="2411"/>
      <c r="AZ26" s="2411"/>
      <c r="BA26" s="2411"/>
      <c r="BB26" s="2411"/>
      <c r="BC26" s="2412"/>
      <c r="BD26" s="2363"/>
      <c r="BE26" s="2413"/>
      <c r="BF26" s="2326"/>
      <c r="BL26" s="2362"/>
      <c r="BM26" s="2362"/>
      <c r="BN26" s="2362"/>
      <c r="BO26" s="2362"/>
      <c r="BQ26" s="2414"/>
    </row>
    <row r="27" spans="1:80">
      <c r="A27" s="4642"/>
      <c r="B27" s="4735"/>
      <c r="D27" s="2323"/>
      <c r="R27" s="2362"/>
      <c r="S27" s="2362"/>
      <c r="T27" s="2362"/>
      <c r="U27" s="2362"/>
      <c r="AB27" s="2363"/>
      <c r="AC27" s="2363"/>
      <c r="AD27" s="2363"/>
      <c r="AE27" s="2363"/>
      <c r="AF27" s="2363"/>
      <c r="AG27" s="2363"/>
      <c r="AH27" s="2363"/>
      <c r="AI27" s="2363"/>
      <c r="AJ27" s="2363"/>
      <c r="AK27" s="2363"/>
      <c r="AL27" s="2363"/>
      <c r="AM27" s="2363"/>
      <c r="AN27" s="2363"/>
      <c r="AO27" s="2363"/>
      <c r="AP27" s="2363"/>
      <c r="AQ27" s="2363"/>
      <c r="AR27" s="2363"/>
      <c r="AS27" s="2363"/>
      <c r="AT27" s="2363"/>
      <c r="AU27" s="2363"/>
      <c r="AV27" s="2363"/>
      <c r="AW27" s="2363"/>
      <c r="AX27" s="2363"/>
      <c r="AY27" s="2363"/>
      <c r="AZ27" s="2363"/>
      <c r="BA27" s="2363"/>
      <c r="BB27" s="2363"/>
      <c r="BC27" s="2363"/>
      <c r="BD27" s="2363"/>
      <c r="BE27" s="2413"/>
      <c r="BF27" s="2326"/>
      <c r="BK27" s="2324" t="s">
        <v>1198</v>
      </c>
      <c r="BL27" s="2324">
        <v>1</v>
      </c>
      <c r="BM27" s="2324" t="s">
        <v>1199</v>
      </c>
    </row>
    <row r="28" spans="1:80" ht="14.25" customHeight="1">
      <c r="A28" s="4642"/>
      <c r="B28" s="4735"/>
      <c r="D28" s="2370"/>
      <c r="E28" s="2371"/>
      <c r="F28" s="2371"/>
      <c r="G28" s="2371"/>
      <c r="H28" s="2371"/>
      <c r="I28" s="2371"/>
      <c r="J28" s="2371"/>
      <c r="K28" s="2371"/>
      <c r="L28" s="2371"/>
      <c r="M28" s="2371"/>
      <c r="N28" s="2371"/>
      <c r="O28" s="2371"/>
      <c r="P28" s="2371"/>
      <c r="Q28" s="2371"/>
      <c r="R28" s="2367"/>
      <c r="S28" s="2367"/>
      <c r="T28" s="2367"/>
      <c r="U28" s="2367"/>
      <c r="V28" s="2371"/>
      <c r="W28" s="2371"/>
      <c r="X28" s="2371"/>
      <c r="Y28" s="2371"/>
      <c r="Z28" s="2371"/>
      <c r="AA28" s="2371"/>
      <c r="AB28" s="2415"/>
      <c r="AC28" s="2415"/>
      <c r="AD28" s="2415"/>
      <c r="AE28" s="2415"/>
      <c r="AF28" s="2415"/>
      <c r="AG28" s="2415"/>
      <c r="AH28" s="2415"/>
      <c r="AI28" s="2415"/>
      <c r="AJ28" s="2415"/>
      <c r="AK28" s="2415"/>
      <c r="AL28" s="2415"/>
      <c r="AM28" s="2415"/>
      <c r="AN28" s="2415"/>
      <c r="AO28" s="2415"/>
      <c r="AP28" s="2415"/>
      <c r="AQ28" s="2415"/>
      <c r="AR28" s="2415"/>
      <c r="AS28" s="2415"/>
      <c r="AT28" s="2415"/>
      <c r="AU28" s="2415"/>
      <c r="AV28" s="2415"/>
      <c r="AW28" s="2415"/>
      <c r="AX28" s="2415"/>
      <c r="AY28" s="2415"/>
      <c r="AZ28" s="2415"/>
      <c r="BA28" s="2415"/>
      <c r="BB28" s="2415"/>
      <c r="BC28" s="2415"/>
      <c r="BD28" s="2415"/>
      <c r="BE28" s="2416"/>
      <c r="BF28" s="2326"/>
      <c r="BK28" s="2324" t="s">
        <v>1200</v>
      </c>
      <c r="BL28" s="2417">
        <f>4*BL27</f>
        <v>4</v>
      </c>
      <c r="BM28" s="2324" t="s">
        <v>1199</v>
      </c>
    </row>
    <row r="29" spans="1:80">
      <c r="A29" s="4642"/>
      <c r="B29" s="4735"/>
      <c r="R29" s="2362"/>
      <c r="S29" s="2362"/>
      <c r="T29" s="2362"/>
      <c r="U29" s="2362"/>
      <c r="AB29" s="2363"/>
      <c r="BF29" s="2326"/>
      <c r="BP29" s="2371"/>
    </row>
    <row r="30" spans="1:80">
      <c r="A30" s="4642"/>
      <c r="B30" s="4735"/>
      <c r="BF30" s="2326"/>
      <c r="BJ30" s="4629" t="s">
        <v>1201</v>
      </c>
      <c r="BK30" s="4731" t="s">
        <v>1202</v>
      </c>
      <c r="BL30" s="4731"/>
      <c r="BM30" s="4731" t="s">
        <v>1203</v>
      </c>
      <c r="BN30" s="4731"/>
      <c r="BO30" s="2354"/>
      <c r="BP30" s="2418"/>
      <c r="BQ30" s="2419" t="s">
        <v>1194</v>
      </c>
      <c r="BR30" s="2420"/>
      <c r="BS30" s="2420"/>
      <c r="BT30" s="2421"/>
    </row>
    <row r="31" spans="1:80">
      <c r="A31" s="4642"/>
      <c r="B31" s="4735"/>
      <c r="D31" s="2319"/>
      <c r="E31" s="2320"/>
      <c r="F31" s="2320"/>
      <c r="G31" s="2320"/>
      <c r="H31" s="2320"/>
      <c r="I31" s="2320"/>
      <c r="J31" s="2320"/>
      <c r="K31" s="2320"/>
      <c r="L31" s="2320"/>
      <c r="M31" s="2320"/>
      <c r="N31" s="2320"/>
      <c r="O31" s="2320"/>
      <c r="P31" s="2320"/>
      <c r="Q31" s="2320"/>
      <c r="R31" s="2387"/>
      <c r="S31" s="2387"/>
      <c r="T31" s="2387"/>
      <c r="U31" s="2387"/>
      <c r="V31" s="2320"/>
      <c r="W31" s="2320"/>
      <c r="X31" s="2320"/>
      <c r="Y31" s="2320"/>
      <c r="Z31" s="2320"/>
      <c r="AA31" s="2320"/>
      <c r="AB31" s="2320"/>
      <c r="AC31" s="2320"/>
      <c r="AD31" s="2320"/>
      <c r="AE31" s="2320"/>
      <c r="AF31" s="2320"/>
      <c r="AG31" s="2320"/>
      <c r="AH31" s="2320"/>
      <c r="AI31" s="2320"/>
      <c r="AJ31" s="2320"/>
      <c r="AK31" s="2320"/>
      <c r="AL31" s="2320"/>
      <c r="AM31" s="2320"/>
      <c r="AN31" s="2320"/>
      <c r="AO31" s="2320"/>
      <c r="AP31" s="2320"/>
      <c r="AQ31" s="2320"/>
      <c r="AR31" s="2320"/>
      <c r="AS31" s="2320"/>
      <c r="AT31" s="2320"/>
      <c r="AU31" s="2320"/>
      <c r="AV31" s="2320"/>
      <c r="AW31" s="2320"/>
      <c r="AX31" s="2320"/>
      <c r="AY31" s="2320"/>
      <c r="AZ31" s="2320"/>
      <c r="BA31" s="2320"/>
      <c r="BB31" s="2320"/>
      <c r="BC31" s="2320"/>
      <c r="BD31" s="2320"/>
      <c r="BE31" s="2321"/>
      <c r="BF31" s="2326"/>
      <c r="BJ31" s="4707"/>
      <c r="BK31" s="2390">
        <f>BL27</f>
        <v>1</v>
      </c>
      <c r="BL31" s="2390">
        <f>IF(BL24="","",BL24)</f>
        <v>20</v>
      </c>
      <c r="BM31" s="2390">
        <f>BL28</f>
        <v>4</v>
      </c>
      <c r="BN31" s="2390">
        <f>IF(BL31="","",BL31)</f>
        <v>20</v>
      </c>
      <c r="BO31" s="2422">
        <f>BN24</f>
        <v>480</v>
      </c>
      <c r="BP31" s="2384">
        <f>BN25</f>
        <v>20.05</v>
      </c>
      <c r="BQ31" s="2390">
        <f>BK36</f>
        <v>1</v>
      </c>
      <c r="BR31" s="2390">
        <f>IF(OR(BP36="",BW36=""),"",BP36-((BP36-BW36)/2))</f>
        <v>22.120000000000005</v>
      </c>
      <c r="BS31" s="2423">
        <f>BO24</f>
        <v>2.5</v>
      </c>
      <c r="BT31" s="2424">
        <f>IF(BR31="","",BR31)</f>
        <v>22.120000000000005</v>
      </c>
    </row>
    <row r="32" spans="1:80" ht="15" customHeight="1">
      <c r="A32" s="4642"/>
      <c r="B32" s="4735"/>
      <c r="D32" s="2323"/>
      <c r="AB32" s="2388"/>
      <c r="AC32" s="2388"/>
      <c r="AD32" s="2388"/>
      <c r="AE32" s="2388"/>
      <c r="AF32" s="2388"/>
      <c r="AG32" s="2388"/>
      <c r="AH32" s="2388"/>
      <c r="AI32" s="2388"/>
      <c r="AJ32" s="2388"/>
      <c r="AK32" s="2388"/>
      <c r="AL32" s="2388"/>
      <c r="AM32" s="2388"/>
      <c r="AN32" s="2388"/>
      <c r="AO32" s="2388"/>
      <c r="AP32" s="2388"/>
      <c r="AQ32" s="2388"/>
      <c r="AR32" s="2388"/>
      <c r="AS32" s="2388"/>
      <c r="AT32" s="2388"/>
      <c r="AU32" s="2388"/>
      <c r="AV32" s="2388"/>
      <c r="AW32" s="2388"/>
      <c r="AX32" s="2388"/>
      <c r="AY32" s="2388"/>
      <c r="AZ32" s="2388"/>
      <c r="BA32" s="2388"/>
      <c r="BB32" s="2388"/>
      <c r="BC32" s="2388"/>
      <c r="BD32" s="2388"/>
      <c r="BE32" s="2389"/>
      <c r="BF32" s="2326"/>
      <c r="BJ32" s="4630"/>
      <c r="BK32" s="2385">
        <f>BL27</f>
        <v>1</v>
      </c>
      <c r="BL32" s="2385">
        <f>IF(BL25="","",BL25)</f>
        <v>20.9</v>
      </c>
      <c r="BM32" s="2385">
        <f>BL28</f>
        <v>4</v>
      </c>
      <c r="BN32" s="2385">
        <f>IF(BL32="","",BL32)</f>
        <v>20.9</v>
      </c>
      <c r="BO32" s="2425">
        <f>BO31</f>
        <v>480</v>
      </c>
      <c r="BP32" s="2385">
        <f>IF(BL24="","",BL24)</f>
        <v>20</v>
      </c>
      <c r="BQ32" s="2385">
        <f>IF(BS31="","",BS31)</f>
        <v>2.5</v>
      </c>
      <c r="BR32" s="2385">
        <f>BR31</f>
        <v>22.120000000000005</v>
      </c>
      <c r="BS32" s="2426">
        <f>IF(BS31="","",BS31)</f>
        <v>2.5</v>
      </c>
      <c r="BT32" s="2426">
        <f>IF(BL24="","",BL24)</f>
        <v>20</v>
      </c>
    </row>
    <row r="33" spans="1:77">
      <c r="A33" s="4642"/>
      <c r="B33" s="4735"/>
      <c r="D33" s="2323"/>
      <c r="R33" s="2362"/>
      <c r="S33" s="2362"/>
      <c r="T33" s="2362"/>
      <c r="U33" s="2362"/>
      <c r="AB33" s="2391"/>
      <c r="AC33" s="2391"/>
      <c r="AD33" s="2391"/>
      <c r="AE33" s="2391"/>
      <c r="AF33" s="2391"/>
      <c r="AG33" s="2391"/>
      <c r="AH33" s="2391"/>
      <c r="AI33" s="2391"/>
      <c r="AJ33" s="2391"/>
      <c r="AK33" s="2391"/>
      <c r="AL33" s="2391"/>
      <c r="AM33" s="2391"/>
      <c r="AN33" s="2391"/>
      <c r="AO33" s="2391"/>
      <c r="AP33" s="2391"/>
      <c r="AQ33" s="2391"/>
      <c r="AR33" s="2391"/>
      <c r="AS33" s="2391"/>
      <c r="AT33" s="2391"/>
      <c r="AU33" s="2391"/>
      <c r="AV33" s="2391"/>
      <c r="AW33" s="2391"/>
      <c r="AX33" s="2391"/>
      <c r="AY33" s="2391"/>
      <c r="AZ33" s="2391"/>
      <c r="BA33" s="2391"/>
      <c r="BB33" s="2391"/>
      <c r="BC33" s="2391"/>
      <c r="BD33" s="2391"/>
      <c r="BE33" s="2392"/>
      <c r="BF33" s="2326"/>
      <c r="BP33" s="2362" t="s">
        <v>1298</v>
      </c>
      <c r="BQ33" s="2427">
        <f>IF(BQ32="","",BQ32)</f>
        <v>2.5</v>
      </c>
      <c r="BR33" s="2324" t="s">
        <v>3</v>
      </c>
    </row>
    <row r="34" spans="1:77">
      <c r="A34" s="4642"/>
      <c r="B34" s="4735"/>
      <c r="D34" s="2323"/>
      <c r="R34" s="2362"/>
      <c r="S34" s="2362"/>
      <c r="T34" s="2362"/>
      <c r="U34" s="2362"/>
      <c r="AB34" s="2391"/>
      <c r="AC34" s="2391"/>
      <c r="AD34" s="2391"/>
      <c r="AE34" s="2391"/>
      <c r="AF34" s="2391"/>
      <c r="AG34" s="2391"/>
      <c r="AH34" s="2391"/>
      <c r="AI34" s="2391"/>
      <c r="AJ34" s="2391"/>
      <c r="AK34" s="2391"/>
      <c r="AL34" s="2391"/>
      <c r="AM34" s="2391"/>
      <c r="AN34" s="2391"/>
      <c r="AO34" s="2391"/>
      <c r="AP34" s="2391"/>
      <c r="AQ34" s="2391"/>
      <c r="AR34" s="2391"/>
      <c r="AS34" s="2391"/>
      <c r="AT34" s="2391"/>
      <c r="AU34" s="2391"/>
      <c r="AV34" s="2391"/>
      <c r="AW34" s="2391"/>
      <c r="AX34" s="2391"/>
      <c r="AY34" s="2391"/>
      <c r="AZ34" s="2391"/>
      <c r="BA34" s="2391"/>
      <c r="BB34" s="2391"/>
      <c r="BC34" s="2391"/>
      <c r="BD34" s="2391"/>
      <c r="BE34" s="2392"/>
      <c r="BF34" s="2326"/>
    </row>
    <row r="35" spans="1:77">
      <c r="A35" s="4642"/>
      <c r="B35" s="4735"/>
      <c r="D35" s="2323"/>
      <c r="R35" s="2362"/>
      <c r="S35" s="2362"/>
      <c r="T35" s="2362"/>
      <c r="U35" s="2362"/>
      <c r="AB35" s="2391"/>
      <c r="AC35" s="2391"/>
      <c r="AD35" s="2391"/>
      <c r="AE35" s="2391"/>
      <c r="AF35" s="2391"/>
      <c r="AG35" s="2391"/>
      <c r="AH35" s="2391"/>
      <c r="AI35" s="2391"/>
      <c r="AJ35" s="2391"/>
      <c r="AK35" s="2391"/>
      <c r="AL35" s="2391"/>
      <c r="AM35" s="2391"/>
      <c r="AN35" s="2391"/>
      <c r="AO35" s="2391"/>
      <c r="AP35" s="2391"/>
      <c r="AQ35" s="2391"/>
      <c r="AR35" s="2391"/>
      <c r="AS35" s="2391"/>
      <c r="AT35" s="2391"/>
      <c r="AU35" s="2391"/>
      <c r="AV35" s="2391"/>
      <c r="AW35" s="2391"/>
      <c r="AX35" s="2391"/>
      <c r="AY35" s="2391"/>
      <c r="AZ35" s="2391"/>
      <c r="BA35" s="2391"/>
      <c r="BB35" s="2391"/>
      <c r="BC35" s="2391"/>
      <c r="BD35" s="2391"/>
      <c r="BE35" s="2392"/>
      <c r="BF35" s="2326"/>
      <c r="BJ35" s="4629" t="s">
        <v>1204</v>
      </c>
      <c r="BK35" s="4731" t="s">
        <v>1205</v>
      </c>
      <c r="BL35" s="4731"/>
      <c r="BM35" s="4731" t="s">
        <v>1206</v>
      </c>
      <c r="BN35" s="4731"/>
      <c r="BO35" s="4731" t="s">
        <v>1299</v>
      </c>
      <c r="BP35" s="4731"/>
      <c r="BQ35" s="2354"/>
      <c r="BR35" s="2418"/>
      <c r="BS35" s="2428">
        <f>BR24/500</f>
        <v>0</v>
      </c>
      <c r="BT35" s="2354"/>
      <c r="BU35" s="2418"/>
      <c r="BV35" s="4644" t="s">
        <v>1207</v>
      </c>
      <c r="BW35" s="4646"/>
      <c r="BX35" s="2428">
        <f>BP24/500</f>
        <v>0</v>
      </c>
      <c r="BY35" s="2429"/>
    </row>
    <row r="36" spans="1:77">
      <c r="A36" s="4642"/>
      <c r="B36" s="4735"/>
      <c r="D36" s="2323"/>
      <c r="R36" s="2362"/>
      <c r="S36" s="2362"/>
      <c r="T36" s="2362"/>
      <c r="U36" s="2362"/>
      <c r="AB36" s="2391"/>
      <c r="AC36" s="2391"/>
      <c r="AD36" s="2391"/>
      <c r="AE36" s="2391"/>
      <c r="AF36" s="2391"/>
      <c r="AG36" s="2391"/>
      <c r="AH36" s="2391"/>
      <c r="AI36" s="2391"/>
      <c r="AJ36" s="2391"/>
      <c r="AK36" s="2391"/>
      <c r="AL36" s="2391"/>
      <c r="AM36" s="2391"/>
      <c r="AN36" s="2391"/>
      <c r="AO36" s="2391"/>
      <c r="AP36" s="2391"/>
      <c r="AQ36" s="2391"/>
      <c r="AR36" s="2391"/>
      <c r="AS36" s="2391"/>
      <c r="AT36" s="2391"/>
      <c r="AU36" s="2391"/>
      <c r="AV36" s="2391"/>
      <c r="AW36" s="2391"/>
      <c r="AX36" s="2391"/>
      <c r="AY36" s="2391"/>
      <c r="AZ36" s="2391"/>
      <c r="BA36" s="2391"/>
      <c r="BB36" s="2391"/>
      <c r="BC36" s="2391"/>
      <c r="BD36" s="2391"/>
      <c r="BE36" s="2392"/>
      <c r="BF36" s="2326"/>
      <c r="BJ36" s="4707"/>
      <c r="BK36" s="2430">
        <f>BL27</f>
        <v>1</v>
      </c>
      <c r="BL36" s="2430">
        <f>IF(BI11="","",BI11)</f>
        <v>22.395000000000003</v>
      </c>
      <c r="BM36" s="2390">
        <f>BL28</f>
        <v>4</v>
      </c>
      <c r="BN36" s="2431">
        <f>BM24</f>
        <v>20.6</v>
      </c>
      <c r="BO36" s="2430">
        <f>BK36</f>
        <v>1</v>
      </c>
      <c r="BP36" s="2430">
        <f>IF(OR(BL36="",BN36=""),"",BL36+BN38)</f>
        <v>24.190000000000005</v>
      </c>
      <c r="BQ36" s="2432">
        <f>BQ24</f>
        <v>240</v>
      </c>
      <c r="BR36" s="2433">
        <f>BX36-BX35</f>
        <v>22.231000000000002</v>
      </c>
      <c r="BS36" s="2322"/>
      <c r="BT36" s="2434">
        <f>BS24</f>
        <v>480</v>
      </c>
      <c r="BU36" s="2435">
        <f>BY36+BS35</f>
        <v>22.218000000000004</v>
      </c>
      <c r="BV36" s="2430">
        <f>BK36</f>
        <v>1</v>
      </c>
      <c r="BW36" s="2430">
        <f>IF(BP31="","",BP31)</f>
        <v>20.05</v>
      </c>
      <c r="BX36" s="2436">
        <f>IF(BQ24="","",VLOOKUP(BX35+BQ24,BH9:BI23,2))</f>
        <v>22.231000000000002</v>
      </c>
      <c r="BY36" s="2435">
        <f>IF(BS24="","",VLOOKUP(BS35+BS24,BH9:BI23,2))</f>
        <v>22.218000000000004</v>
      </c>
    </row>
    <row r="37" spans="1:77" ht="15.75" customHeight="1">
      <c r="A37" s="4642"/>
      <c r="B37" s="4735"/>
      <c r="D37" s="2323"/>
      <c r="R37" s="2362"/>
      <c r="S37" s="2362"/>
      <c r="T37" s="2362"/>
      <c r="U37" s="2362"/>
      <c r="AB37" s="2391"/>
      <c r="AC37" s="2391"/>
      <c r="AD37" s="2391"/>
      <c r="AE37" s="2391"/>
      <c r="AF37" s="2391"/>
      <c r="AG37" s="2391"/>
      <c r="AH37" s="2391"/>
      <c r="AI37" s="2391"/>
      <c r="AJ37" s="2391"/>
      <c r="AK37" s="2391"/>
      <c r="AL37" s="2391"/>
      <c r="AM37" s="2391"/>
      <c r="AN37" s="2391"/>
      <c r="AO37" s="2391"/>
      <c r="AP37" s="2391"/>
      <c r="AQ37" s="2391"/>
      <c r="AR37" s="2391"/>
      <c r="AS37" s="2391"/>
      <c r="AT37" s="2391"/>
      <c r="AU37" s="2391"/>
      <c r="AV37" s="2391"/>
      <c r="AW37" s="2391"/>
      <c r="AX37" s="2391"/>
      <c r="AY37" s="2391"/>
      <c r="AZ37" s="2391"/>
      <c r="BA37" s="2391"/>
      <c r="BB37" s="2391"/>
      <c r="BC37" s="2391"/>
      <c r="BD37" s="2391"/>
      <c r="BE37" s="2392"/>
      <c r="BF37" s="2326"/>
      <c r="BJ37" s="4630"/>
      <c r="BK37" s="2355">
        <v>10000</v>
      </c>
      <c r="BL37" s="2385">
        <f>IF(BI11="","",BI11)</f>
        <v>22.395000000000003</v>
      </c>
      <c r="BM37" s="2385">
        <f>BK37</f>
        <v>10000</v>
      </c>
      <c r="BN37" s="2385">
        <f>IF(BN36="","",BN36)</f>
        <v>20.6</v>
      </c>
      <c r="BO37" s="2385">
        <f>BK37</f>
        <v>10000</v>
      </c>
      <c r="BP37" s="2385">
        <f>IF(BP36="","",BP36)</f>
        <v>24.190000000000005</v>
      </c>
      <c r="BQ37" s="2437">
        <f>BQ25</f>
        <v>480</v>
      </c>
      <c r="BR37" s="2438">
        <f>BX37</f>
        <v>22.218000000000004</v>
      </c>
      <c r="BS37" s="2439"/>
      <c r="BT37" s="2440">
        <f>BS25</f>
        <v>1440</v>
      </c>
      <c r="BU37" s="2441">
        <f>BY37</f>
        <v>22.204000000000004</v>
      </c>
      <c r="BV37" s="2385">
        <f>IF(BN24="","",BN24)</f>
        <v>480</v>
      </c>
      <c r="BW37" s="2385">
        <f>BW36</f>
        <v>20.05</v>
      </c>
      <c r="BX37" s="2442">
        <f>IF(BQ25="","",VLOOKUP(BQ25,BH9:BI23,2))</f>
        <v>22.218000000000004</v>
      </c>
      <c r="BY37" s="2443">
        <f>IF(BS25="","",VLOOKUP(BS36+BS25,BH9:BI23,2))</f>
        <v>22.204000000000004</v>
      </c>
    </row>
    <row r="38" spans="1:77">
      <c r="A38" s="4642"/>
      <c r="B38" s="4735"/>
      <c r="D38" s="2323"/>
      <c r="R38" s="2362"/>
      <c r="S38" s="2362"/>
      <c r="T38" s="2362"/>
      <c r="U38" s="2362"/>
      <c r="AB38" s="2391"/>
      <c r="AC38" s="2391"/>
      <c r="AD38" s="2391"/>
      <c r="AE38" s="2391"/>
      <c r="AF38" s="2391"/>
      <c r="AG38" s="2391"/>
      <c r="AH38" s="2391"/>
      <c r="AI38" s="2391"/>
      <c r="AJ38" s="2391"/>
      <c r="AK38" s="2391"/>
      <c r="AL38" s="2391"/>
      <c r="AM38" s="2391"/>
      <c r="AN38" s="2391"/>
      <c r="AO38" s="2391"/>
      <c r="AP38" s="2391"/>
      <c r="AQ38" s="2391"/>
      <c r="AR38" s="2391"/>
      <c r="AS38" s="2391"/>
      <c r="AT38" s="2391"/>
      <c r="AU38" s="2391"/>
      <c r="AV38" s="2391"/>
      <c r="AW38" s="2391"/>
      <c r="AX38" s="2391"/>
      <c r="AY38" s="2391"/>
      <c r="AZ38" s="2391"/>
      <c r="BA38" s="2391"/>
      <c r="BB38" s="2391"/>
      <c r="BC38" s="2391"/>
      <c r="BD38" s="2391"/>
      <c r="BE38" s="2392"/>
      <c r="BF38" s="2326"/>
      <c r="BM38" s="2362" t="s">
        <v>1300</v>
      </c>
      <c r="BN38" s="2444">
        <f>IF(OR(BL36="",BN36=""),"",BL36-BN36)</f>
        <v>1.7950000000000017</v>
      </c>
      <c r="BO38" s="2362" t="s">
        <v>1299</v>
      </c>
      <c r="BP38" s="2444">
        <f>BP36</f>
        <v>24.190000000000005</v>
      </c>
      <c r="BQ38" s="2445">
        <f>BQ26</f>
        <v>0</v>
      </c>
      <c r="BR38" s="2446" t="str">
        <f>BX38</f>
        <v/>
      </c>
      <c r="BV38" s="2362" t="s">
        <v>1301</v>
      </c>
      <c r="BW38" s="2444">
        <f>BW36</f>
        <v>20.05</v>
      </c>
      <c r="BX38" s="2447" t="str">
        <f>IF(BQ26="","",VLOOKUP(BQ26,BH9:BI23,2))</f>
        <v/>
      </c>
    </row>
    <row r="39" spans="1:77">
      <c r="A39" s="2380"/>
      <c r="B39" s="2448"/>
      <c r="D39" s="2323"/>
      <c r="R39" s="2362"/>
      <c r="S39" s="2362"/>
      <c r="T39" s="2362"/>
      <c r="U39" s="2362"/>
      <c r="AB39" s="2391"/>
      <c r="AC39" s="2391"/>
      <c r="AD39" s="2391"/>
      <c r="AE39" s="2391"/>
      <c r="AF39" s="2391"/>
      <c r="AG39" s="2391"/>
      <c r="AH39" s="2391"/>
      <c r="AI39" s="2391"/>
      <c r="AJ39" s="2391"/>
      <c r="AK39" s="2391"/>
      <c r="AL39" s="2391"/>
      <c r="AM39" s="2391"/>
      <c r="AN39" s="2391"/>
      <c r="AO39" s="2391"/>
      <c r="AP39" s="2391"/>
      <c r="AQ39" s="2391"/>
      <c r="AR39" s="2391"/>
      <c r="AS39" s="2391"/>
      <c r="AT39" s="2391"/>
      <c r="AU39" s="2391"/>
      <c r="AV39" s="2391"/>
      <c r="AW39" s="2391"/>
      <c r="AX39" s="2391"/>
      <c r="AY39" s="2391"/>
      <c r="AZ39" s="2391"/>
      <c r="BA39" s="2391"/>
      <c r="BB39" s="2391"/>
      <c r="BC39" s="2391"/>
      <c r="BD39" s="2391"/>
      <c r="BE39" s="2392"/>
      <c r="BF39" s="2326"/>
    </row>
    <row r="40" spans="1:77">
      <c r="A40" s="2307" t="s">
        <v>27</v>
      </c>
      <c r="B40" s="2306" t="s">
        <v>27</v>
      </c>
      <c r="D40" s="2323"/>
      <c r="AB40" s="2391"/>
      <c r="AC40" s="2391"/>
      <c r="AD40" s="2391"/>
      <c r="AE40" s="2391"/>
      <c r="AF40" s="2391"/>
      <c r="AG40" s="2391"/>
      <c r="AH40" s="2391"/>
      <c r="AI40" s="2391"/>
      <c r="AJ40" s="2391"/>
      <c r="AK40" s="2391"/>
      <c r="AL40" s="2391"/>
      <c r="AM40" s="2391"/>
      <c r="AN40" s="2391"/>
      <c r="AO40" s="2391"/>
      <c r="AP40" s="2391"/>
      <c r="AQ40" s="2391"/>
      <c r="AR40" s="2391"/>
      <c r="AS40" s="2391"/>
      <c r="AT40" s="2391"/>
      <c r="AU40" s="2391"/>
      <c r="AV40" s="2391"/>
      <c r="AW40" s="2391"/>
      <c r="AX40" s="2391"/>
      <c r="AY40" s="2391"/>
      <c r="AZ40" s="2391"/>
      <c r="BA40" s="2391"/>
      <c r="BB40" s="2391"/>
      <c r="BC40" s="2391"/>
      <c r="BD40" s="2391"/>
      <c r="BE40" s="2392"/>
      <c r="BF40" s="2326"/>
      <c r="BK40" s="4737"/>
      <c r="BL40" s="4737"/>
      <c r="BM40" s="4737"/>
      <c r="BN40" s="4737"/>
    </row>
    <row r="41" spans="1:77" ht="15" customHeight="1">
      <c r="A41" s="4654" t="s">
        <v>1110</v>
      </c>
      <c r="B41" s="4643" t="s">
        <v>76</v>
      </c>
      <c r="D41" s="2323"/>
      <c r="AB41" s="2391"/>
      <c r="AC41" s="2391"/>
      <c r="AD41" s="2391"/>
      <c r="AE41" s="2391"/>
      <c r="AF41" s="2391"/>
      <c r="AG41" s="2391"/>
      <c r="AH41" s="2391"/>
      <c r="AI41" s="2391"/>
      <c r="AJ41" s="2391"/>
      <c r="AK41" s="2391"/>
      <c r="AL41" s="2391"/>
      <c r="AM41" s="2391"/>
      <c r="AN41" s="2391"/>
      <c r="AO41" s="2391"/>
      <c r="AP41" s="2391"/>
      <c r="AQ41" s="2391"/>
      <c r="AR41" s="2391"/>
      <c r="AS41" s="2391"/>
      <c r="AT41" s="2391"/>
      <c r="AU41" s="2391"/>
      <c r="AV41" s="2391"/>
      <c r="AW41" s="2391"/>
      <c r="AX41" s="2391"/>
      <c r="AY41" s="2391"/>
      <c r="AZ41" s="2391"/>
      <c r="BA41" s="2391"/>
      <c r="BB41" s="2391"/>
      <c r="BC41" s="2391"/>
      <c r="BD41" s="2391"/>
      <c r="BE41" s="2392"/>
      <c r="BF41" s="2326"/>
      <c r="BJ41" s="2449"/>
      <c r="BK41" s="2450"/>
      <c r="BL41" s="2450"/>
    </row>
    <row r="42" spans="1:77">
      <c r="A42" s="4654"/>
      <c r="B42" s="4643"/>
      <c r="D42" s="2323"/>
      <c r="AB42" s="2391"/>
      <c r="AC42" s="2391"/>
      <c r="AD42" s="2391"/>
      <c r="AE42" s="2391"/>
      <c r="AF42" s="2391"/>
      <c r="AG42" s="2391"/>
      <c r="AH42" s="2391"/>
      <c r="AI42" s="2391"/>
      <c r="AJ42" s="2391"/>
      <c r="AK42" s="2391"/>
      <c r="AL42" s="2391"/>
      <c r="AM42" s="2391"/>
      <c r="AN42" s="2391"/>
      <c r="AO42" s="2391"/>
      <c r="AP42" s="2391"/>
      <c r="AQ42" s="2391"/>
      <c r="AR42" s="2391"/>
      <c r="AS42" s="2391"/>
      <c r="AT42" s="2391"/>
      <c r="AU42" s="2391"/>
      <c r="AV42" s="2391"/>
      <c r="AW42" s="2391"/>
      <c r="AX42" s="2391"/>
      <c r="AY42" s="2391"/>
      <c r="AZ42" s="2391"/>
      <c r="BA42" s="2391"/>
      <c r="BB42" s="2391"/>
      <c r="BC42" s="2391"/>
      <c r="BD42" s="2391"/>
      <c r="BE42" s="2392"/>
      <c r="BF42" s="2326"/>
      <c r="BJ42" s="2449"/>
      <c r="BK42" s="2450"/>
      <c r="BL42" s="2450"/>
    </row>
    <row r="43" spans="1:77">
      <c r="A43" s="4654"/>
      <c r="B43" s="4643"/>
      <c r="D43" s="2323"/>
      <c r="AB43" s="2391"/>
      <c r="AC43" s="2391"/>
      <c r="AD43" s="2391"/>
      <c r="AE43" s="2391"/>
      <c r="AF43" s="2391"/>
      <c r="AG43" s="2391"/>
      <c r="AH43" s="2391"/>
      <c r="AI43" s="2391"/>
      <c r="AJ43" s="2391"/>
      <c r="AK43" s="2391"/>
      <c r="AL43" s="2391"/>
      <c r="AM43" s="2391"/>
      <c r="AN43" s="2391"/>
      <c r="AO43" s="2391"/>
      <c r="AP43" s="2391"/>
      <c r="AQ43" s="2391"/>
      <c r="AR43" s="2391"/>
      <c r="AS43" s="2391"/>
      <c r="AT43" s="2391"/>
      <c r="AU43" s="2391"/>
      <c r="AV43" s="2391"/>
      <c r="AW43" s="2391"/>
      <c r="AX43" s="2391"/>
      <c r="AY43" s="2391"/>
      <c r="AZ43" s="2391"/>
      <c r="BA43" s="2391"/>
      <c r="BB43" s="2391"/>
      <c r="BC43" s="2391"/>
      <c r="BD43" s="2391"/>
      <c r="BE43" s="2392"/>
      <c r="BF43" s="2326"/>
      <c r="BJ43" s="2449"/>
      <c r="BK43" s="2363"/>
    </row>
    <row r="44" spans="1:77">
      <c r="A44" s="4654"/>
      <c r="B44" s="4643"/>
      <c r="D44" s="2323"/>
      <c r="R44" s="2362"/>
      <c r="S44" s="2362"/>
      <c r="T44" s="2362"/>
      <c r="U44" s="2362"/>
      <c r="BE44" s="2326"/>
      <c r="BF44" s="2326"/>
      <c r="BJ44" s="2449"/>
      <c r="BK44" s="2363"/>
    </row>
    <row r="45" spans="1:77">
      <c r="A45" s="2323"/>
      <c r="D45" s="2323"/>
      <c r="AB45" s="2338"/>
      <c r="AC45" s="2338"/>
      <c r="AD45" s="2338"/>
      <c r="AE45" s="2338"/>
      <c r="AF45" s="2338"/>
      <c r="AG45" s="2338"/>
      <c r="AH45" s="2338"/>
      <c r="AI45" s="2338"/>
      <c r="AJ45" s="2338"/>
      <c r="AK45" s="2338"/>
      <c r="AL45" s="2338"/>
      <c r="AM45" s="2338"/>
      <c r="AN45" s="2338"/>
      <c r="AO45" s="2338"/>
      <c r="AP45" s="2338"/>
      <c r="AQ45" s="2338"/>
      <c r="AR45" s="2338"/>
      <c r="AS45" s="2338"/>
      <c r="AT45" s="2338"/>
      <c r="AU45" s="2338"/>
      <c r="AV45" s="2338"/>
      <c r="AW45" s="2338"/>
      <c r="AX45" s="2338"/>
      <c r="AY45" s="2338"/>
      <c r="AZ45" s="2338"/>
      <c r="BA45" s="2338"/>
      <c r="BB45" s="2338"/>
      <c r="BC45" s="2338"/>
      <c r="BD45" s="2338"/>
      <c r="BE45" s="2395"/>
      <c r="BF45" s="2326"/>
      <c r="BJ45" s="2449"/>
      <c r="BK45" s="2363"/>
    </row>
    <row r="46" spans="1:77">
      <c r="A46" s="2323"/>
      <c r="D46" s="2396"/>
      <c r="E46" s="2365"/>
      <c r="F46" s="2365"/>
      <c r="G46" s="2365"/>
      <c r="H46" s="2365"/>
      <c r="I46" s="2365"/>
      <c r="J46" s="2365"/>
      <c r="K46" s="2365"/>
      <c r="L46" s="2365"/>
      <c r="M46" s="2365"/>
      <c r="N46" s="2365"/>
      <c r="O46" s="2365"/>
      <c r="P46" s="2365"/>
      <c r="Q46" s="2365"/>
      <c r="R46" s="2365"/>
      <c r="S46" s="2365"/>
      <c r="T46" s="2365"/>
      <c r="U46" s="2365"/>
      <c r="V46" s="2365"/>
      <c r="W46" s="2365"/>
      <c r="X46" s="2365"/>
      <c r="Y46" s="2365"/>
      <c r="Z46" s="2365"/>
      <c r="AA46" s="2365"/>
      <c r="AB46" s="2365"/>
      <c r="AC46" s="2365"/>
      <c r="AD46" s="2365"/>
      <c r="AE46" s="2365"/>
      <c r="AF46" s="2365"/>
      <c r="AG46" s="2365"/>
      <c r="AH46" s="2365"/>
      <c r="AI46" s="2365"/>
      <c r="AJ46" s="2365"/>
      <c r="AK46" s="2365"/>
      <c r="AL46" s="2365"/>
      <c r="AM46" s="2365"/>
      <c r="AN46" s="2365"/>
      <c r="AO46" s="2365"/>
      <c r="AP46" s="2365"/>
      <c r="AQ46" s="2365"/>
      <c r="AR46" s="2365"/>
      <c r="AS46" s="2365"/>
      <c r="AT46" s="2365"/>
      <c r="AU46" s="2365"/>
      <c r="AV46" s="2365"/>
      <c r="AW46" s="2365"/>
      <c r="AX46" s="2365"/>
      <c r="AY46" s="2365"/>
      <c r="AZ46" s="2365"/>
      <c r="BA46" s="2365"/>
      <c r="BB46" s="2365"/>
      <c r="BC46" s="2365"/>
      <c r="BD46" s="2365"/>
      <c r="BE46" s="2397"/>
      <c r="BF46" s="2326"/>
      <c r="BH46" s="2386"/>
      <c r="BJ46" s="2449"/>
      <c r="BK46" s="2363"/>
    </row>
    <row r="47" spans="1:77">
      <c r="A47" s="2323"/>
      <c r="D47" s="2396"/>
      <c r="E47" s="2365"/>
      <c r="F47" s="2365"/>
      <c r="G47" s="2365"/>
      <c r="H47" s="2365"/>
      <c r="I47" s="2365"/>
      <c r="J47" s="2365"/>
      <c r="K47" s="2365"/>
      <c r="L47" s="2365"/>
      <c r="M47" s="2365"/>
      <c r="N47" s="2365"/>
      <c r="O47" s="2365"/>
      <c r="P47" s="2365"/>
      <c r="Q47" s="2365"/>
      <c r="R47" s="2365"/>
      <c r="S47" s="2365"/>
      <c r="T47" s="2365"/>
      <c r="U47" s="2365"/>
      <c r="V47" s="2365"/>
      <c r="W47" s="2365"/>
      <c r="X47" s="2365"/>
      <c r="Y47" s="2365"/>
      <c r="Z47" s="2365"/>
      <c r="AA47" s="2365"/>
      <c r="AB47" s="2365"/>
      <c r="AC47" s="2365"/>
      <c r="AD47" s="2365"/>
      <c r="AE47" s="2365"/>
      <c r="AF47" s="2365"/>
      <c r="AG47" s="2365"/>
      <c r="AH47" s="2365"/>
      <c r="AI47" s="2365"/>
      <c r="AJ47" s="2365"/>
      <c r="AK47" s="2365"/>
      <c r="AL47" s="2365"/>
      <c r="AM47" s="2365"/>
      <c r="AN47" s="2365"/>
      <c r="AO47" s="2365"/>
      <c r="AP47" s="2365"/>
      <c r="AQ47" s="2365"/>
      <c r="AR47" s="2365"/>
      <c r="AS47" s="2365"/>
      <c r="AT47" s="2365"/>
      <c r="AU47" s="2365"/>
      <c r="AV47" s="2365"/>
      <c r="AW47" s="2365"/>
      <c r="AX47" s="2365"/>
      <c r="AY47" s="2365"/>
      <c r="AZ47" s="2365"/>
      <c r="BA47" s="2365"/>
      <c r="BB47" s="2365"/>
      <c r="BC47" s="2365"/>
      <c r="BD47" s="2365"/>
      <c r="BE47" s="2397"/>
      <c r="BF47" s="2326"/>
      <c r="BJ47" s="2451"/>
      <c r="BK47" s="2451"/>
    </row>
    <row r="48" spans="1:77">
      <c r="A48" s="2323"/>
      <c r="D48" s="2323"/>
      <c r="R48" s="2362"/>
      <c r="S48" s="2362"/>
      <c r="T48" s="2362"/>
      <c r="U48" s="2362"/>
      <c r="AB48" s="2391"/>
      <c r="AC48" s="2391"/>
      <c r="AD48" s="2391"/>
      <c r="AE48" s="2391"/>
      <c r="AF48" s="2391"/>
      <c r="AG48" s="2391"/>
      <c r="AH48" s="2391"/>
      <c r="AI48" s="2391"/>
      <c r="AJ48" s="2391"/>
      <c r="AK48" s="2391"/>
      <c r="AL48" s="2391"/>
      <c r="AM48" s="2391"/>
      <c r="AN48" s="2391"/>
      <c r="AO48" s="2391"/>
      <c r="AP48" s="2391"/>
      <c r="AQ48" s="2391"/>
      <c r="AR48" s="2391"/>
      <c r="AS48" s="2391"/>
      <c r="AT48" s="2391"/>
      <c r="AU48" s="2391"/>
      <c r="AV48" s="2391"/>
      <c r="AW48" s="2391"/>
      <c r="AX48" s="2391"/>
      <c r="AY48" s="2391"/>
      <c r="AZ48" s="2391"/>
      <c r="BA48" s="2391"/>
      <c r="BB48" s="2391"/>
      <c r="BC48" s="2391"/>
      <c r="BD48" s="2391"/>
      <c r="BE48" s="2392"/>
      <c r="BF48" s="2326"/>
      <c r="BH48" s="2362"/>
      <c r="BI48" s="2362"/>
      <c r="BJ48" s="2362"/>
      <c r="BK48" s="2362"/>
    </row>
    <row r="49" spans="1:64">
      <c r="A49" s="2323"/>
      <c r="D49" s="2323"/>
      <c r="F49" s="2353"/>
      <c r="G49" s="2354"/>
      <c r="H49" s="2354"/>
      <c r="I49" s="2354"/>
      <c r="J49" s="2354"/>
      <c r="K49" s="2354"/>
      <c r="L49" s="2354"/>
      <c r="M49" s="2354"/>
      <c r="N49" s="2354"/>
      <c r="O49" s="2354"/>
      <c r="P49" s="2354"/>
      <c r="Q49" s="2354"/>
      <c r="R49" s="2343"/>
      <c r="S49" s="2343"/>
      <c r="T49" s="2343"/>
      <c r="U49" s="2343"/>
      <c r="V49" s="2354"/>
      <c r="W49" s="2354"/>
      <c r="X49" s="2354"/>
      <c r="Y49" s="2354"/>
      <c r="Z49" s="2354"/>
      <c r="AA49" s="4645" t="s">
        <v>1302</v>
      </c>
      <c r="AB49" s="4645"/>
      <c r="AC49" s="4645"/>
      <c r="AD49" s="2411" t="s">
        <v>176</v>
      </c>
      <c r="AE49" s="2411"/>
      <c r="AF49" s="4645" t="str">
        <f>IF(BO68="","",BK75)</f>
        <v/>
      </c>
      <c r="AG49" s="4645"/>
      <c r="AH49" s="4645"/>
      <c r="AI49" s="2411" t="s">
        <v>1197</v>
      </c>
      <c r="AJ49" s="2411"/>
      <c r="AK49" s="2411"/>
      <c r="AL49" s="2411"/>
      <c r="AM49" s="2411"/>
      <c r="AN49" s="2411"/>
      <c r="AO49" s="2411"/>
      <c r="AP49" s="2411"/>
      <c r="AQ49" s="2411"/>
      <c r="AR49" s="2411"/>
      <c r="AS49" s="2411"/>
      <c r="AT49" s="2411"/>
      <c r="AU49" s="2411"/>
      <c r="AV49" s="2411"/>
      <c r="AW49" s="2411"/>
      <c r="AX49" s="2411"/>
      <c r="AY49" s="2411"/>
      <c r="AZ49" s="2411"/>
      <c r="BA49" s="2411"/>
      <c r="BB49" s="2411"/>
      <c r="BC49" s="2412"/>
      <c r="BD49" s="2363"/>
      <c r="BE49" s="2413"/>
      <c r="BF49" s="2326"/>
      <c r="BH49" s="2362"/>
      <c r="BI49" s="2362"/>
      <c r="BJ49" s="2362"/>
      <c r="BK49" s="2362"/>
    </row>
    <row r="50" spans="1:64">
      <c r="A50" s="2323"/>
      <c r="D50" s="2323"/>
      <c r="R50" s="2362"/>
      <c r="S50" s="2362"/>
      <c r="T50" s="2362"/>
      <c r="U50" s="2362"/>
      <c r="AB50" s="2363"/>
      <c r="AC50" s="2363"/>
      <c r="AD50" s="2363"/>
      <c r="AE50" s="2363"/>
      <c r="AF50" s="2363"/>
      <c r="AG50" s="2363"/>
      <c r="AH50" s="2363"/>
      <c r="AI50" s="2363"/>
      <c r="AJ50" s="2363"/>
      <c r="AK50" s="2363"/>
      <c r="AL50" s="2363"/>
      <c r="AM50" s="2363"/>
      <c r="AN50" s="2363"/>
      <c r="AO50" s="2363"/>
      <c r="AP50" s="2363"/>
      <c r="AQ50" s="2363"/>
      <c r="AR50" s="2363"/>
      <c r="AS50" s="2363"/>
      <c r="AT50" s="2363"/>
      <c r="AU50" s="2363"/>
      <c r="AV50" s="2363"/>
      <c r="AW50" s="2363"/>
      <c r="AX50" s="2363"/>
      <c r="AY50" s="2363"/>
      <c r="AZ50" s="2363"/>
      <c r="BA50" s="2363"/>
      <c r="BB50" s="2363"/>
      <c r="BC50" s="2363"/>
      <c r="BD50" s="2363"/>
      <c r="BE50" s="2413"/>
      <c r="BF50" s="2326"/>
      <c r="BH50" s="2452"/>
      <c r="BI50" s="2362"/>
      <c r="BJ50" s="2453"/>
      <c r="BK50" s="2362"/>
      <c r="BL50" s="2450"/>
    </row>
    <row r="51" spans="1:64">
      <c r="A51" s="2323"/>
      <c r="D51" s="2370"/>
      <c r="E51" s="2371"/>
      <c r="F51" s="2371"/>
      <c r="G51" s="2371"/>
      <c r="H51" s="2371"/>
      <c r="I51" s="2371"/>
      <c r="J51" s="2371"/>
      <c r="K51" s="2371"/>
      <c r="L51" s="2371"/>
      <c r="M51" s="2371"/>
      <c r="N51" s="2371"/>
      <c r="O51" s="2371"/>
      <c r="P51" s="2371"/>
      <c r="Q51" s="2371"/>
      <c r="R51" s="2367"/>
      <c r="S51" s="2367"/>
      <c r="T51" s="2367"/>
      <c r="U51" s="2367"/>
      <c r="V51" s="2371"/>
      <c r="W51" s="2371"/>
      <c r="X51" s="2371"/>
      <c r="Y51" s="2371"/>
      <c r="Z51" s="2371"/>
      <c r="AA51" s="2371"/>
      <c r="AB51" s="2415"/>
      <c r="AC51" s="2415"/>
      <c r="AD51" s="2415"/>
      <c r="AE51" s="2415"/>
      <c r="AF51" s="2415"/>
      <c r="AG51" s="2415"/>
      <c r="AH51" s="2415"/>
      <c r="AI51" s="2415"/>
      <c r="AJ51" s="2415"/>
      <c r="AK51" s="2415"/>
      <c r="AL51" s="2415"/>
      <c r="AM51" s="2415"/>
      <c r="AN51" s="2415"/>
      <c r="AO51" s="2415"/>
      <c r="AP51" s="2415"/>
      <c r="AQ51" s="2415"/>
      <c r="AR51" s="2415"/>
      <c r="AS51" s="2415"/>
      <c r="AT51" s="2415"/>
      <c r="AU51" s="2415"/>
      <c r="AV51" s="2415"/>
      <c r="AW51" s="2415"/>
      <c r="AX51" s="2415"/>
      <c r="AY51" s="2415"/>
      <c r="AZ51" s="2415"/>
      <c r="BA51" s="2415"/>
      <c r="BB51" s="2415"/>
      <c r="BC51" s="2415"/>
      <c r="BD51" s="2415"/>
      <c r="BE51" s="2416"/>
      <c r="BF51" s="2326"/>
      <c r="BH51" s="2452"/>
      <c r="BI51" s="2362"/>
      <c r="BJ51" s="2453"/>
      <c r="BK51" s="2362"/>
    </row>
    <row r="52" spans="1:64">
      <c r="A52" s="2323"/>
      <c r="BF52" s="2326"/>
      <c r="BH52" s="2452"/>
      <c r="BI52" s="2362"/>
      <c r="BJ52" s="2453"/>
      <c r="BK52" s="2362"/>
    </row>
    <row r="53" spans="1:64">
      <c r="A53" s="2323"/>
      <c r="BF53" s="2326"/>
      <c r="BH53" s="2452"/>
      <c r="BI53" s="2362"/>
      <c r="BJ53" s="2454"/>
      <c r="BK53" s="2362"/>
    </row>
    <row r="54" spans="1:64">
      <c r="A54" s="2370"/>
      <c r="B54" s="2371"/>
      <c r="C54" s="2371"/>
      <c r="D54" s="2371"/>
      <c r="E54" s="2371"/>
      <c r="F54" s="2371"/>
      <c r="G54" s="2371"/>
      <c r="H54" s="2371"/>
      <c r="I54" s="2371"/>
      <c r="J54" s="2371"/>
      <c r="K54" s="2371"/>
      <c r="L54" s="2371"/>
      <c r="M54" s="2371"/>
      <c r="N54" s="2371"/>
      <c r="O54" s="2371"/>
      <c r="P54" s="2371"/>
      <c r="Q54" s="2371"/>
      <c r="R54" s="2371"/>
      <c r="S54" s="2371"/>
      <c r="T54" s="2371"/>
      <c r="U54" s="2371"/>
      <c r="V54" s="2371"/>
      <c r="W54" s="2371"/>
      <c r="X54" s="2371"/>
      <c r="Y54" s="2371"/>
      <c r="Z54" s="2371"/>
      <c r="AA54" s="2371"/>
      <c r="AB54" s="2371"/>
      <c r="AC54" s="2371"/>
      <c r="AD54" s="2371"/>
      <c r="AE54" s="2371"/>
      <c r="AF54" s="2371"/>
      <c r="AG54" s="2371"/>
      <c r="AH54" s="2371"/>
      <c r="AI54" s="2371"/>
      <c r="AJ54" s="2371"/>
      <c r="AK54" s="2371"/>
      <c r="AL54" s="2371"/>
      <c r="AM54" s="2371"/>
      <c r="AN54" s="2371"/>
      <c r="AO54" s="2371"/>
      <c r="AP54" s="2371"/>
      <c r="AQ54" s="2371"/>
      <c r="AR54" s="2371"/>
      <c r="AS54" s="2371"/>
      <c r="AT54" s="2371"/>
      <c r="AU54" s="2371"/>
      <c r="AV54" s="2371"/>
      <c r="AW54" s="2371"/>
      <c r="AX54" s="2371"/>
      <c r="AY54" s="2371"/>
      <c r="AZ54" s="2371"/>
      <c r="BA54" s="2371"/>
      <c r="BB54" s="2371"/>
      <c r="BC54" s="2371"/>
      <c r="BD54" s="2371"/>
      <c r="BE54" s="2371"/>
      <c r="BF54" s="2372"/>
      <c r="BH54" s="2452"/>
      <c r="BI54" s="2362"/>
      <c r="BJ54" s="2454"/>
      <c r="BK54" s="2362"/>
    </row>
    <row r="55" spans="1:64">
      <c r="BH55" s="2452"/>
      <c r="BI55" s="2362"/>
      <c r="BJ55" s="2454"/>
      <c r="BK55" s="2362"/>
    </row>
    <row r="56" spans="1:64">
      <c r="BH56" s="2452"/>
      <c r="BI56" s="2362"/>
      <c r="BJ56" s="2454"/>
      <c r="BK56" s="2362"/>
    </row>
    <row r="57" spans="1:64">
      <c r="BH57" s="2452"/>
      <c r="BI57" s="2362"/>
      <c r="BJ57" s="2454"/>
      <c r="BK57" s="2362"/>
    </row>
    <row r="58" spans="1:64">
      <c r="BH58" s="2452"/>
      <c r="BI58" s="2362"/>
    </row>
    <row r="59" spans="1:64">
      <c r="BH59" s="2452"/>
      <c r="BI59" s="2362"/>
    </row>
    <row r="60" spans="1:64">
      <c r="BH60" s="2452"/>
      <c r="BI60" s="2362"/>
    </row>
    <row r="61" spans="1:64">
      <c r="BH61" s="2452"/>
      <c r="BI61" s="2362"/>
    </row>
    <row r="62" spans="1:64">
      <c r="BH62" s="2452"/>
      <c r="BI62" s="2362"/>
    </row>
    <row r="63" spans="1:64">
      <c r="BH63" s="2452"/>
      <c r="BI63" s="2362"/>
    </row>
    <row r="64" spans="1:64">
      <c r="BH64" s="2452"/>
      <c r="BI64" s="2362"/>
      <c r="BL64" s="2455"/>
    </row>
    <row r="65" spans="62:68">
      <c r="BL65" s="2455"/>
    </row>
    <row r="67" spans="62:68">
      <c r="BK67" s="4737"/>
      <c r="BL67" s="4737"/>
      <c r="BM67" s="4737"/>
      <c r="BN67" s="4737"/>
      <c r="BO67" s="4737"/>
      <c r="BP67" s="4737"/>
    </row>
    <row r="68" spans="62:68">
      <c r="BK68" s="2456"/>
      <c r="BL68" s="2452"/>
      <c r="BM68" s="2452"/>
      <c r="BN68" s="2452"/>
      <c r="BO68" s="2456"/>
      <c r="BP68" s="2452"/>
    </row>
    <row r="69" spans="62:68">
      <c r="BK69" s="2456"/>
      <c r="BL69" s="2452"/>
      <c r="BM69" s="2452"/>
      <c r="BN69" s="2452"/>
      <c r="BO69" s="2452"/>
      <c r="BP69" s="2452"/>
    </row>
    <row r="70" spans="62:68">
      <c r="BK70" s="2452"/>
      <c r="BL70" s="2452"/>
      <c r="BM70" s="2452"/>
      <c r="BN70" s="2452"/>
      <c r="BO70" s="2452"/>
      <c r="BP70" s="2452"/>
    </row>
    <row r="71" spans="62:68">
      <c r="BK71" s="2452"/>
      <c r="BL71" s="2452"/>
      <c r="BM71" s="2452"/>
      <c r="BN71" s="2452"/>
      <c r="BO71" s="2452"/>
      <c r="BP71" s="2452"/>
    </row>
    <row r="72" spans="62:68">
      <c r="BK72" s="2452"/>
      <c r="BL72" s="2452"/>
      <c r="BM72" s="2452"/>
      <c r="BN72" s="2452"/>
      <c r="BO72" s="2452"/>
      <c r="BP72" s="2452"/>
    </row>
    <row r="74" spans="62:68">
      <c r="BJ74" s="2362"/>
    </row>
    <row r="75" spans="62:68">
      <c r="BJ75" s="2362"/>
    </row>
  </sheetData>
  <mergeCells count="32">
    <mergeCell ref="BK67:BL67"/>
    <mergeCell ref="BM67:BN67"/>
    <mergeCell ref="BO67:BP67"/>
    <mergeCell ref="BK40:BL40"/>
    <mergeCell ref="BM40:BN40"/>
    <mergeCell ref="A41:A44"/>
    <mergeCell ref="B41:B44"/>
    <mergeCell ref="AA49:AC49"/>
    <mergeCell ref="AF49:AH49"/>
    <mergeCell ref="BM30:BN30"/>
    <mergeCell ref="BJ35:BJ37"/>
    <mergeCell ref="BK35:BL35"/>
    <mergeCell ref="BM35:BN35"/>
    <mergeCell ref="A26:A38"/>
    <mergeCell ref="B26:B38"/>
    <mergeCell ref="AA26:AC26"/>
    <mergeCell ref="AF26:AH26"/>
    <mergeCell ref="BO35:BP35"/>
    <mergeCell ref="BV35:BW35"/>
    <mergeCell ref="BP22:BQ22"/>
    <mergeCell ref="BJ23:BK23"/>
    <mergeCell ref="BP23:BQ23"/>
    <mergeCell ref="BR23:BS23"/>
    <mergeCell ref="BJ30:BJ32"/>
    <mergeCell ref="BK30:BL30"/>
    <mergeCell ref="A21:A24"/>
    <mergeCell ref="B21:B24"/>
    <mergeCell ref="D3:BE3"/>
    <mergeCell ref="D4:BE4"/>
    <mergeCell ref="O6:S6"/>
    <mergeCell ref="A11:A13"/>
    <mergeCell ref="B11:B13"/>
  </mergeCells>
  <printOptions horizontalCentered="1" verticalCentered="1"/>
  <pageMargins left="0.3" right="0.3" top="0.3" bottom="0.3" header="0.2" footer="0.25"/>
  <pageSetup paperSize="9" scale="75" orientation="landscape" horizontalDpi="300" verticalDpi="30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CC54A-EAD8-4268-BFD3-1762C8E683D1}">
  <sheetPr>
    <pageSetUpPr fitToPage="1"/>
  </sheetPr>
  <dimension ref="B1:AP30"/>
  <sheetViews>
    <sheetView zoomScaleNormal="100" workbookViewId="0">
      <selection activeCell="U22" sqref="U22:AG22"/>
    </sheetView>
  </sheetViews>
  <sheetFormatPr defaultColWidth="8" defaultRowHeight="15"/>
  <cols>
    <col min="1" max="1" width="3.375" style="2206" customWidth="1"/>
    <col min="2" max="2" width="1.5" style="2206" customWidth="1"/>
    <col min="3" max="3" width="2.875" style="2206" customWidth="1"/>
    <col min="4" max="4" width="18.25" style="2206" customWidth="1"/>
    <col min="5" max="5" width="1.25" style="2206" customWidth="1"/>
    <col min="6" max="6" width="6.5" style="2206" customWidth="1"/>
    <col min="7" max="7" width="1.5" style="2206" customWidth="1"/>
    <col min="8" max="9" width="3" style="2206" customWidth="1"/>
    <col min="10" max="10" width="4.75" style="2206" customWidth="1"/>
    <col min="11" max="11" width="2.125" style="2206" customWidth="1"/>
    <col min="12" max="12" width="5.625" style="2206" customWidth="1"/>
    <col min="13" max="13" width="1.75" style="2206" customWidth="1"/>
    <col min="14" max="15" width="2.75" style="2206" customWidth="1"/>
    <col min="16" max="16" width="5.875" style="2206" customWidth="1"/>
    <col min="17" max="17" width="6.75" style="2206" customWidth="1"/>
    <col min="18" max="18" width="2" style="2206" customWidth="1"/>
    <col min="19" max="19" width="1.5" style="2206" customWidth="1"/>
    <col min="20" max="20" width="19.5" style="2206" customWidth="1"/>
    <col min="21" max="21" width="3" style="2206" customWidth="1"/>
    <col min="22" max="22" width="1.875" style="2206" customWidth="1"/>
    <col min="23" max="23" width="5" style="2206" customWidth="1"/>
    <col min="24" max="24" width="2.375" style="2206" customWidth="1"/>
    <col min="25" max="25" width="7.125" style="2206" customWidth="1"/>
    <col min="26" max="26" width="2.875" style="2206" customWidth="1"/>
    <col min="27" max="27" width="3" style="2206" customWidth="1"/>
    <col min="28" max="28" width="1" style="2206" customWidth="1"/>
    <col min="29" max="29" width="2.125" style="2206" customWidth="1"/>
    <col min="30" max="30" width="5.125" style="2206" customWidth="1"/>
    <col min="31" max="31" width="2" style="2206" customWidth="1"/>
    <col min="32" max="32" width="5.5" style="2206" customWidth="1"/>
    <col min="33" max="33" width="2.125" style="2206" customWidth="1"/>
    <col min="34" max="34" width="3" style="2206" customWidth="1"/>
    <col min="35" max="35" width="2.375" style="2206" customWidth="1"/>
    <col min="36" max="36" width="2.875" style="2206" customWidth="1"/>
    <col min="37" max="37" width="3.875" style="2206" customWidth="1"/>
    <col min="38" max="38" width="5" style="2206" customWidth="1"/>
    <col min="39" max="39" width="3.75" style="2206" customWidth="1"/>
    <col min="40" max="40" width="2.125" style="2206" customWidth="1"/>
    <col min="41" max="41" width="1.875" style="2206" customWidth="1"/>
    <col min="42" max="42" width="1.5" style="2206" customWidth="1"/>
    <col min="43" max="16384" width="8" style="2206"/>
  </cols>
  <sheetData>
    <row r="1" spans="2:42" ht="15.75" thickBot="1"/>
    <row r="2" spans="2:42" ht="15.75" thickTop="1">
      <c r="B2" s="2208"/>
      <c r="C2" s="2209"/>
      <c r="D2" s="2209"/>
      <c r="E2" s="2209"/>
      <c r="F2" s="2209"/>
      <c r="G2" s="2209"/>
      <c r="H2" s="2209"/>
      <c r="I2" s="2209"/>
      <c r="J2" s="2209"/>
      <c r="K2" s="2209"/>
      <c r="L2" s="2209"/>
      <c r="M2" s="2209"/>
      <c r="N2" s="2209"/>
      <c r="O2" s="2209"/>
      <c r="P2" s="2209"/>
      <c r="Q2" s="2209"/>
      <c r="R2" s="2209"/>
      <c r="S2" s="2209"/>
      <c r="T2" s="2209"/>
      <c r="U2" s="2209"/>
      <c r="V2" s="2209"/>
      <c r="W2" s="2209"/>
      <c r="X2" s="2209"/>
      <c r="Y2" s="2209"/>
      <c r="Z2" s="2209"/>
      <c r="AA2" s="2209"/>
      <c r="AB2" s="2209"/>
      <c r="AC2" s="2209"/>
      <c r="AD2" s="2209"/>
      <c r="AE2" s="2209"/>
      <c r="AF2" s="2209"/>
      <c r="AG2" s="2209"/>
      <c r="AH2" s="2209"/>
      <c r="AI2" s="2209"/>
      <c r="AJ2" s="2209"/>
      <c r="AK2" s="2209"/>
      <c r="AL2" s="2209"/>
      <c r="AM2" s="2209"/>
      <c r="AN2" s="2209"/>
      <c r="AO2" s="2209"/>
      <c r="AP2" s="2210"/>
    </row>
    <row r="3" spans="2:42">
      <c r="B3" s="2211"/>
      <c r="C3" s="2212"/>
      <c r="D3" s="2213"/>
      <c r="E3" s="2213"/>
      <c r="F3" s="2213"/>
      <c r="G3" s="2213"/>
      <c r="H3" s="2213"/>
      <c r="I3" s="2213"/>
      <c r="J3" s="2213"/>
      <c r="K3" s="2213"/>
      <c r="L3" s="2213"/>
      <c r="M3" s="2213"/>
      <c r="N3" s="2213"/>
      <c r="O3" s="2213"/>
      <c r="P3" s="2213"/>
      <c r="Q3" s="2214"/>
      <c r="S3" s="2212"/>
      <c r="T3" s="2213"/>
      <c r="U3" s="2213"/>
      <c r="V3" s="2213"/>
      <c r="W3" s="2213"/>
      <c r="X3" s="2213"/>
      <c r="Y3" s="2213"/>
      <c r="Z3" s="2213"/>
      <c r="AA3" s="2213"/>
      <c r="AB3" s="2213"/>
      <c r="AC3" s="2213"/>
      <c r="AD3" s="2213"/>
      <c r="AE3" s="2213"/>
      <c r="AF3" s="2213"/>
      <c r="AG3" s="2213"/>
      <c r="AH3" s="2213"/>
      <c r="AI3" s="2213"/>
      <c r="AJ3" s="2213"/>
      <c r="AK3" s="2213"/>
      <c r="AL3" s="2213"/>
      <c r="AM3" s="2213"/>
      <c r="AN3" s="2213"/>
      <c r="AO3" s="2214"/>
      <c r="AP3" s="2215"/>
    </row>
    <row r="4" spans="2:42" ht="18.75">
      <c r="B4" s="2211"/>
      <c r="C4" s="2216"/>
      <c r="D4" s="2217" t="s">
        <v>1215</v>
      </c>
      <c r="Q4" s="2218"/>
      <c r="S4" s="2216"/>
      <c r="AO4" s="2218"/>
      <c r="AP4" s="2215"/>
    </row>
    <row r="5" spans="2:42">
      <c r="B5" s="2211"/>
      <c r="C5" s="2216"/>
      <c r="Q5" s="2218"/>
      <c r="S5" s="2216"/>
      <c r="AO5" s="2218"/>
      <c r="AP5" s="2215"/>
    </row>
    <row r="6" spans="2:42">
      <c r="B6" s="2211"/>
      <c r="C6" s="2216"/>
      <c r="D6" s="2219" t="s">
        <v>1113</v>
      </c>
      <c r="Q6" s="2218"/>
      <c r="S6" s="2216"/>
      <c r="T6" s="2207"/>
      <c r="AO6" s="2218"/>
      <c r="AP6" s="2215"/>
    </row>
    <row r="7" spans="2:42">
      <c r="B7" s="2211"/>
      <c r="C7" s="2216"/>
      <c r="D7" s="4746" t="s">
        <v>1216</v>
      </c>
      <c r="E7" s="4748" t="s">
        <v>1217</v>
      </c>
      <c r="F7" s="4748"/>
      <c r="G7" s="4748"/>
      <c r="H7" s="4748" t="s">
        <v>79</v>
      </c>
      <c r="I7" s="4748"/>
      <c r="J7" s="4748" t="s">
        <v>167</v>
      </c>
      <c r="K7" s="4748"/>
      <c r="L7" s="4748"/>
      <c r="M7" s="4749" t="s">
        <v>287</v>
      </c>
      <c r="N7" s="4750"/>
      <c r="O7" s="4751"/>
      <c r="P7" s="2216"/>
      <c r="Q7" s="2218"/>
      <c r="S7" s="2216"/>
      <c r="U7" s="2207"/>
      <c r="V7" s="2207"/>
      <c r="W7" s="2203"/>
      <c r="X7" s="2203"/>
      <c r="Y7" s="2203"/>
      <c r="Z7" s="2203"/>
      <c r="AO7" s="2218"/>
      <c r="AP7" s="2215"/>
    </row>
    <row r="8" spans="2:42">
      <c r="B8" s="2211"/>
      <c r="C8" s="2216"/>
      <c r="D8" s="4747"/>
      <c r="E8" s="4752">
        <v>6.2</v>
      </c>
      <c r="F8" s="4752"/>
      <c r="G8" s="4752"/>
      <c r="H8" s="4753">
        <v>2.1</v>
      </c>
      <c r="I8" s="4753"/>
      <c r="J8" s="4754">
        <f>+(E8)^2*PI()*(0.25)</f>
        <v>30.190705400997917</v>
      </c>
      <c r="K8" s="4754"/>
      <c r="L8" s="4754"/>
      <c r="M8" s="4755">
        <f>J8*H8</f>
        <v>63.400481342095631</v>
      </c>
      <c r="N8" s="4756"/>
      <c r="O8" s="4757"/>
      <c r="P8" s="2216"/>
      <c r="Q8" s="2218"/>
      <c r="S8" s="2216"/>
      <c r="U8" s="2220"/>
      <c r="V8" s="2220"/>
      <c r="AO8" s="2218"/>
      <c r="AP8" s="2215"/>
    </row>
    <row r="9" spans="2:42">
      <c r="B9" s="2211"/>
      <c r="C9" s="2216"/>
      <c r="D9" s="2213"/>
      <c r="E9" s="2206">
        <v>2.0720000000000001</v>
      </c>
      <c r="Q9" s="2218"/>
      <c r="S9" s="2216"/>
      <c r="AO9" s="2218"/>
      <c r="AP9" s="2215"/>
    </row>
    <row r="10" spans="2:42" ht="23.25">
      <c r="B10" s="2211"/>
      <c r="C10" s="2216"/>
      <c r="D10" s="2221" t="s">
        <v>1218</v>
      </c>
      <c r="G10" s="2222" t="s">
        <v>1219</v>
      </c>
      <c r="H10" s="2222"/>
      <c r="J10" s="4763" t="s">
        <v>1220</v>
      </c>
      <c r="K10" s="4763"/>
      <c r="L10" s="4763"/>
      <c r="Q10" s="2218"/>
      <c r="S10" s="2216"/>
      <c r="T10" s="2221" t="s">
        <v>1221</v>
      </c>
      <c r="W10" s="2222" t="s">
        <v>1222</v>
      </c>
      <c r="X10" s="2222"/>
      <c r="Y10" s="2222"/>
      <c r="Z10" s="4763" t="s">
        <v>1223</v>
      </c>
      <c r="AA10" s="4763"/>
      <c r="AB10" s="4763"/>
      <c r="AC10" s="4763"/>
      <c r="AO10" s="2218"/>
      <c r="AP10" s="2215"/>
    </row>
    <row r="11" spans="2:42" ht="20.25">
      <c r="B11" s="2211"/>
      <c r="C11" s="2216"/>
      <c r="D11" s="2206" t="s">
        <v>1224</v>
      </c>
      <c r="E11" s="2217" t="s">
        <v>1225</v>
      </c>
      <c r="F11" s="2217"/>
      <c r="G11" s="2217"/>
      <c r="H11" s="2217"/>
      <c r="I11" s="2217"/>
      <c r="J11" s="2217"/>
      <c r="K11" s="2217"/>
      <c r="L11" s="2217"/>
      <c r="M11" s="2217"/>
      <c r="N11" s="2217"/>
      <c r="O11" s="2217"/>
      <c r="P11" s="2217"/>
      <c r="Q11" s="2223"/>
      <c r="S11" s="2216"/>
      <c r="T11" s="2207" t="s">
        <v>1224</v>
      </c>
      <c r="U11" s="2217" t="s">
        <v>1226</v>
      </c>
      <c r="V11" s="2217"/>
      <c r="W11" s="2217"/>
      <c r="X11" s="2217"/>
      <c r="Y11" s="2217"/>
      <c r="Z11" s="2217"/>
      <c r="AA11" s="2217"/>
      <c r="AB11" s="2217"/>
      <c r="AC11" s="2217"/>
      <c r="AD11" s="2217"/>
      <c r="AE11" s="2217"/>
      <c r="AF11" s="2217"/>
      <c r="AG11" s="2217"/>
      <c r="AH11" s="2217"/>
      <c r="AI11" s="2217"/>
      <c r="AJ11" s="2217"/>
      <c r="AK11" s="2217"/>
      <c r="AL11" s="2217"/>
      <c r="AO11" s="2218"/>
      <c r="AP11" s="2215"/>
    </row>
    <row r="12" spans="2:42">
      <c r="B12" s="2211"/>
      <c r="C12" s="2216"/>
      <c r="D12" s="2224" t="s">
        <v>1227</v>
      </c>
      <c r="E12" s="2224" t="s">
        <v>1228</v>
      </c>
      <c r="F12" s="2207">
        <f>E18</f>
        <v>4.5</v>
      </c>
      <c r="G12" s="2207" t="s">
        <v>743</v>
      </c>
      <c r="H12" s="2207">
        <f>E17</f>
        <v>10</v>
      </c>
      <c r="I12" s="2207" t="s">
        <v>1229</v>
      </c>
      <c r="J12" s="2225">
        <f>E19</f>
        <v>29</v>
      </c>
      <c r="K12" s="2207" t="s">
        <v>1230</v>
      </c>
      <c r="L12" s="2226">
        <f>E20</f>
        <v>18.736450810055242</v>
      </c>
      <c r="M12" s="2227" t="s">
        <v>309</v>
      </c>
      <c r="N12" s="2228">
        <f>E17</f>
        <v>10</v>
      </c>
      <c r="O12" s="2207" t="s">
        <v>1231</v>
      </c>
      <c r="P12" s="2229">
        <f>(F12*H12)+(J12*(E20-E17))</f>
        <v>298.35707349160202</v>
      </c>
      <c r="Q12" s="2218" t="s">
        <v>1117</v>
      </c>
      <c r="S12" s="2216"/>
      <c r="T12" s="2224" t="s">
        <v>1232</v>
      </c>
      <c r="U12" s="2224" t="s">
        <v>176</v>
      </c>
      <c r="V12" s="2224" t="s">
        <v>1228</v>
      </c>
      <c r="W12" s="2225">
        <f>U18</f>
        <v>0</v>
      </c>
      <c r="X12" s="2207" t="s">
        <v>743</v>
      </c>
      <c r="Y12" s="2226">
        <f>U21</f>
        <v>21.031386067958294</v>
      </c>
      <c r="Z12" s="2207" t="s">
        <v>1233</v>
      </c>
      <c r="AA12" s="2207">
        <f>U19</f>
        <v>18</v>
      </c>
      <c r="AB12" s="2207"/>
      <c r="AC12" s="2230" t="s">
        <v>743</v>
      </c>
      <c r="AD12" s="2204">
        <f>U20</f>
        <v>11.031386067958294</v>
      </c>
      <c r="AE12" s="2207" t="s">
        <v>1234</v>
      </c>
      <c r="AF12" s="2231">
        <f>(W12*Y12)+AA12*AD12</f>
        <v>198.5649492232493</v>
      </c>
      <c r="AG12" s="2206" t="s">
        <v>1117</v>
      </c>
      <c r="AH12" s="2230"/>
      <c r="AI12" s="2207"/>
      <c r="AJ12" s="2207"/>
      <c r="AK12" s="2232"/>
      <c r="AO12" s="2218"/>
      <c r="AP12" s="2215"/>
    </row>
    <row r="13" spans="2:42">
      <c r="B13" s="2211"/>
      <c r="C13" s="2216"/>
      <c r="D13" s="2224"/>
      <c r="E13" s="2224"/>
      <c r="F13" s="2207"/>
      <c r="G13" s="2207"/>
      <c r="H13" s="2207"/>
      <c r="I13" s="2207"/>
      <c r="J13" s="2207"/>
      <c r="K13" s="2207"/>
      <c r="L13" s="2226"/>
      <c r="M13" s="2227"/>
      <c r="N13" s="2228"/>
      <c r="O13" s="2207"/>
      <c r="P13" s="2207"/>
      <c r="Q13" s="2218"/>
      <c r="S13" s="2216"/>
      <c r="T13" s="2233" t="s">
        <v>1235</v>
      </c>
      <c r="U13" s="2224" t="s">
        <v>176</v>
      </c>
      <c r="V13" s="4764">
        <v>18</v>
      </c>
      <c r="W13" s="4764"/>
      <c r="X13" s="2207" t="s">
        <v>68</v>
      </c>
      <c r="Y13" s="2226"/>
      <c r="Z13" s="2207"/>
      <c r="AD13" s="2203"/>
      <c r="AE13" s="2233"/>
      <c r="AF13" s="2204"/>
      <c r="AG13" s="2204"/>
      <c r="AH13" s="2204"/>
      <c r="AI13" s="2207"/>
      <c r="AJ13" s="2207"/>
      <c r="AK13" s="2232"/>
      <c r="AO13" s="2218"/>
      <c r="AP13" s="2215"/>
    </row>
    <row r="14" spans="2:42">
      <c r="B14" s="2211"/>
      <c r="C14" s="2216"/>
      <c r="Q14" s="2218"/>
      <c r="S14" s="2216"/>
      <c r="T14" s="2233" t="s">
        <v>1236</v>
      </c>
      <c r="U14" s="2224" t="s">
        <v>176</v>
      </c>
      <c r="V14" s="4764">
        <v>0</v>
      </c>
      <c r="W14" s="4764"/>
      <c r="X14" s="2207" t="s">
        <v>68</v>
      </c>
      <c r="AO14" s="2218"/>
      <c r="AP14" s="2215"/>
    </row>
    <row r="15" spans="2:42">
      <c r="B15" s="2211"/>
      <c r="C15" s="2216"/>
      <c r="Q15" s="2218"/>
      <c r="S15" s="2216"/>
      <c r="AO15" s="2218"/>
      <c r="AP15" s="2215"/>
    </row>
    <row r="16" spans="2:42" ht="15.75">
      <c r="B16" s="2211"/>
      <c r="C16" s="2216"/>
      <c r="D16" s="2235" t="s">
        <v>1237</v>
      </c>
      <c r="E16" s="4765">
        <v>118.79</v>
      </c>
      <c r="F16" s="4766"/>
      <c r="G16" s="2236"/>
      <c r="H16" s="2237" t="s">
        <v>1238</v>
      </c>
      <c r="I16" s="2237"/>
      <c r="J16" s="2236"/>
      <c r="K16" s="2234"/>
      <c r="L16" s="2234"/>
      <c r="M16" s="2234"/>
      <c r="N16" s="2234"/>
      <c r="O16" s="2234"/>
      <c r="P16" s="2234"/>
      <c r="Q16" s="2238"/>
      <c r="S16" s="2216"/>
      <c r="T16" s="2235" t="s">
        <v>1237</v>
      </c>
      <c r="U16" s="4765">
        <f>196.5-63.16</f>
        <v>133.34</v>
      </c>
      <c r="V16" s="4766"/>
      <c r="W16" s="4766"/>
      <c r="X16" s="4767"/>
      <c r="Y16" s="2237" t="s">
        <v>1238</v>
      </c>
      <c r="Z16" s="2237"/>
      <c r="AA16" s="2236"/>
      <c r="AB16" s="2239"/>
      <c r="AC16" s="2234"/>
      <c r="AD16" s="2234"/>
      <c r="AE16" s="2234"/>
      <c r="AF16" s="2234"/>
      <c r="AG16" s="2234"/>
      <c r="AH16" s="2234"/>
      <c r="AI16" s="2234"/>
      <c r="AJ16" s="2234"/>
      <c r="AK16" s="2234"/>
      <c r="AL16" s="2234"/>
      <c r="AO16" s="2218"/>
      <c r="AP16" s="2215"/>
    </row>
    <row r="17" spans="2:42" ht="20.25">
      <c r="B17" s="2211"/>
      <c r="C17" s="2216"/>
      <c r="D17" s="2240" t="s">
        <v>1239</v>
      </c>
      <c r="E17" s="4765">
        <v>10</v>
      </c>
      <c r="F17" s="4766"/>
      <c r="G17" s="2236"/>
      <c r="H17" s="2237" t="s">
        <v>1240</v>
      </c>
      <c r="I17" s="2237"/>
      <c r="J17" s="2236"/>
      <c r="K17" s="2234"/>
      <c r="L17" s="2234"/>
      <c r="M17" s="2234"/>
      <c r="N17" s="2234"/>
      <c r="O17" s="2234"/>
      <c r="P17" s="2234"/>
      <c r="Q17" s="2238"/>
      <c r="S17" s="2216"/>
      <c r="T17" s="2240" t="s">
        <v>1239</v>
      </c>
      <c r="U17" s="4765">
        <v>10</v>
      </c>
      <c r="V17" s="4766"/>
      <c r="W17" s="4766"/>
      <c r="X17" s="4767"/>
      <c r="Y17" s="2237" t="s">
        <v>1240</v>
      </c>
      <c r="Z17" s="2237"/>
      <c r="AA17" s="2236"/>
      <c r="AB17" s="2239"/>
      <c r="AC17" s="2234"/>
      <c r="AD17" s="2234"/>
      <c r="AE17" s="2234"/>
      <c r="AF17" s="2234"/>
      <c r="AG17" s="2234"/>
      <c r="AH17" s="2234"/>
      <c r="AI17" s="2234"/>
      <c r="AJ17" s="2234"/>
      <c r="AK17" s="2234"/>
      <c r="AL17" s="2234"/>
      <c r="AO17" s="2218"/>
      <c r="AP17" s="2215"/>
    </row>
    <row r="18" spans="2:42" ht="26.25" customHeight="1">
      <c r="B18" s="2211"/>
      <c r="C18" s="2216"/>
      <c r="D18" s="2240" t="s">
        <v>1241</v>
      </c>
      <c r="E18" s="4758">
        <v>4.5</v>
      </c>
      <c r="F18" s="4759"/>
      <c r="G18" s="2236"/>
      <c r="H18" s="2237" t="s">
        <v>68</v>
      </c>
      <c r="I18" s="2237"/>
      <c r="J18" s="2236"/>
      <c r="K18" s="2234"/>
      <c r="Q18" s="2218"/>
      <c r="R18" s="2229"/>
      <c r="S18" s="2241"/>
      <c r="T18" s="2240" t="s">
        <v>1242</v>
      </c>
      <c r="U18" s="4760">
        <f>IF(V14="","",IF(V14&gt;V13,V13,V14))</f>
        <v>0</v>
      </c>
      <c r="V18" s="4761"/>
      <c r="W18" s="4761"/>
      <c r="X18" s="4762"/>
      <c r="Y18" s="2237" t="s">
        <v>68</v>
      </c>
      <c r="Z18" s="2237"/>
      <c r="AA18" s="2236"/>
      <c r="AB18" s="2239"/>
      <c r="AC18" s="4768" t="s">
        <v>1243</v>
      </c>
      <c r="AD18" s="4768"/>
      <c r="AE18" s="4768"/>
      <c r="AF18" s="2242">
        <f>U18</f>
        <v>0</v>
      </c>
      <c r="AG18" s="2243" t="s">
        <v>68</v>
      </c>
      <c r="AH18" s="2244"/>
      <c r="AO18" s="2245"/>
      <c r="AP18" s="2215"/>
    </row>
    <row r="19" spans="2:42" ht="26.25" customHeight="1">
      <c r="B19" s="2211"/>
      <c r="C19" s="2216"/>
      <c r="D19" s="2240" t="s">
        <v>1244</v>
      </c>
      <c r="E19" s="4758">
        <v>29</v>
      </c>
      <c r="F19" s="4759"/>
      <c r="G19" s="2236"/>
      <c r="H19" s="2237" t="s">
        <v>68</v>
      </c>
      <c r="I19" s="2237"/>
      <c r="J19" s="2236"/>
      <c r="K19" s="2234"/>
      <c r="Q19" s="2218"/>
      <c r="R19" s="2229"/>
      <c r="S19" s="2241"/>
      <c r="T19" s="2240" t="s">
        <v>1245</v>
      </c>
      <c r="U19" s="4760">
        <f>IF(OR(V13="",V14=""),"",IF(V14&gt;V13,0,V13-V14))</f>
        <v>18</v>
      </c>
      <c r="V19" s="4761"/>
      <c r="W19" s="4761"/>
      <c r="X19" s="4762"/>
      <c r="Y19" s="2237" t="s">
        <v>68</v>
      </c>
      <c r="Z19" s="2237"/>
      <c r="AA19" s="2236"/>
      <c r="AB19" s="2239"/>
      <c r="AC19" s="2246"/>
      <c r="AD19" s="2246"/>
      <c r="AE19" s="2246"/>
      <c r="AF19" s="2246"/>
      <c r="AG19" s="2246"/>
      <c r="AH19" s="2244"/>
      <c r="AL19" s="2244"/>
      <c r="AO19" s="2245"/>
      <c r="AP19" s="2215"/>
    </row>
    <row r="20" spans="2:42" ht="26.25" customHeight="1">
      <c r="B20" s="2211"/>
      <c r="C20" s="2216"/>
      <c r="D20" s="2247" t="s">
        <v>1246</v>
      </c>
      <c r="E20" s="4776">
        <f>(E16/M8)*10</f>
        <v>18.736450810055242</v>
      </c>
      <c r="F20" s="4777"/>
      <c r="G20" s="2248"/>
      <c r="H20" s="2237" t="s">
        <v>1240</v>
      </c>
      <c r="I20" s="2237"/>
      <c r="J20" s="2248"/>
      <c r="K20" s="2204"/>
      <c r="L20" s="2203"/>
      <c r="M20" s="2203"/>
      <c r="N20" s="2203"/>
      <c r="Q20" s="2218"/>
      <c r="R20" s="2229"/>
      <c r="S20" s="2241"/>
      <c r="T20" s="2247" t="s">
        <v>1247</v>
      </c>
      <c r="U20" s="4778">
        <f>U21-U17</f>
        <v>11.031386067958294</v>
      </c>
      <c r="V20" s="4761"/>
      <c r="W20" s="4761"/>
      <c r="X20" s="4762"/>
      <c r="Y20" s="2237" t="s">
        <v>68</v>
      </c>
      <c r="Z20" s="2237"/>
      <c r="AA20" s="2236"/>
      <c r="AB20" s="2239"/>
      <c r="AH20" s="2203"/>
      <c r="AK20" s="2249" t="s">
        <v>1248</v>
      </c>
      <c r="AL20" s="2249"/>
      <c r="AM20" s="2250">
        <f>V14</f>
        <v>0</v>
      </c>
      <c r="AN20" s="2250" t="s">
        <v>68</v>
      </c>
      <c r="AO20" s="2245"/>
      <c r="AP20" s="2215"/>
    </row>
    <row r="21" spans="2:42" ht="26.25" customHeight="1">
      <c r="B21" s="2211"/>
      <c r="C21" s="2216"/>
      <c r="D21" s="2251"/>
      <c r="E21" s="4779"/>
      <c r="F21" s="4780"/>
      <c r="G21" s="2252"/>
      <c r="H21" s="2205"/>
      <c r="I21" s="2205"/>
      <c r="J21" s="2252"/>
      <c r="Q21" s="2218"/>
      <c r="S21" s="2253"/>
      <c r="T21" s="2247" t="s">
        <v>1246</v>
      </c>
      <c r="U21" s="4776">
        <f>(U16/M8)*10</f>
        <v>21.031386067958294</v>
      </c>
      <c r="V21" s="4777"/>
      <c r="W21" s="4777"/>
      <c r="X21" s="4781"/>
      <c r="Y21" s="2237" t="s">
        <v>1240</v>
      </c>
      <c r="Z21" s="2205"/>
      <c r="AA21" s="2252"/>
      <c r="AB21" s="2244"/>
      <c r="AC21" s="4768" t="s">
        <v>1249</v>
      </c>
      <c r="AD21" s="4768"/>
      <c r="AE21" s="4768"/>
      <c r="AF21" s="2242">
        <f>U19</f>
        <v>18</v>
      </c>
      <c r="AG21" s="2243" t="s">
        <v>68</v>
      </c>
      <c r="AH21" s="2244"/>
      <c r="AI21" s="2244"/>
      <c r="AJ21" s="2244"/>
      <c r="AO21" s="2254"/>
      <c r="AP21" s="2215"/>
    </row>
    <row r="22" spans="2:42" ht="26.25" customHeight="1">
      <c r="B22" s="2211"/>
      <c r="C22" s="2216"/>
      <c r="D22" s="4769" t="s">
        <v>1224</v>
      </c>
      <c r="E22" s="4771">
        <f>(E18*E17)+(E19*(E20-E17))</f>
        <v>298.35707349160202</v>
      </c>
      <c r="F22" s="4772"/>
      <c r="G22" s="2255"/>
      <c r="H22" s="2256" t="s">
        <v>1117</v>
      </c>
      <c r="I22" s="2256"/>
      <c r="J22" s="2255"/>
      <c r="K22" s="2257"/>
      <c r="L22" s="2257"/>
      <c r="M22" s="2257"/>
      <c r="N22" s="2257"/>
      <c r="O22" s="2257"/>
      <c r="P22" s="2257"/>
      <c r="Q22" s="2258"/>
      <c r="S22" s="2253"/>
      <c r="T22" s="4769" t="s">
        <v>1224</v>
      </c>
      <c r="U22" s="4771">
        <f>(U18*U21)+(U19*U20)</f>
        <v>198.5649492232493</v>
      </c>
      <c r="V22" s="4772"/>
      <c r="W22" s="4772"/>
      <c r="X22" s="4773"/>
      <c r="Y22" s="2256" t="s">
        <v>1117</v>
      </c>
      <c r="Z22" s="2256"/>
      <c r="AA22" s="2255"/>
      <c r="AB22" s="2259"/>
      <c r="AC22" s="2257"/>
      <c r="AD22" s="2259"/>
      <c r="AE22" s="2259"/>
      <c r="AL22" s="2260"/>
      <c r="AO22" s="2254"/>
      <c r="AP22" s="2215"/>
    </row>
    <row r="23" spans="2:42" ht="26.25" customHeight="1">
      <c r="B23" s="2211"/>
      <c r="C23" s="2216"/>
      <c r="D23" s="4770"/>
      <c r="E23" s="4774">
        <f>E22/100</f>
        <v>2.9835707349160203</v>
      </c>
      <c r="F23" s="4775"/>
      <c r="G23" s="2261"/>
      <c r="H23" s="2262" t="s">
        <v>137</v>
      </c>
      <c r="I23" s="2262"/>
      <c r="J23" s="2263"/>
      <c r="K23" s="2264"/>
      <c r="L23" s="2264"/>
      <c r="M23" s="2264"/>
      <c r="N23" s="2264"/>
      <c r="O23" s="2264"/>
      <c r="P23" s="2264"/>
      <c r="Q23" s="2265"/>
      <c r="S23" s="2266"/>
      <c r="T23" s="4770"/>
      <c r="U23" s="4774">
        <f>U22/100</f>
        <v>1.985649492232493</v>
      </c>
      <c r="V23" s="4775"/>
      <c r="W23" s="4775"/>
      <c r="X23" s="4788"/>
      <c r="Y23" s="2262" t="s">
        <v>137</v>
      </c>
      <c r="Z23" s="2262"/>
      <c r="AA23" s="2263"/>
      <c r="AB23" s="2267"/>
      <c r="AC23" s="2264"/>
      <c r="AF23" s="2203"/>
      <c r="AP23" s="2268"/>
    </row>
    <row r="24" spans="2:42" ht="26.25" customHeight="1">
      <c r="B24" s="2211"/>
      <c r="C24" s="2216"/>
      <c r="D24" s="2269"/>
      <c r="E24" s="2267"/>
      <c r="F24" s="2267"/>
      <c r="G24" s="2267"/>
      <c r="H24" s="2270"/>
      <c r="I24" s="2270"/>
      <c r="J24" s="2267"/>
      <c r="K24" s="2264"/>
      <c r="L24" s="2264"/>
      <c r="M24" s="2264"/>
      <c r="N24" s="2264"/>
      <c r="O24" s="2264"/>
      <c r="P24" s="2264"/>
      <c r="Q24" s="2265"/>
      <c r="R24" s="2271"/>
      <c r="S24" s="2266"/>
      <c r="T24" s="2269"/>
      <c r="U24" s="2267"/>
      <c r="V24" s="2267"/>
      <c r="W24" s="2267"/>
      <c r="X24" s="2267"/>
      <c r="Y24" s="2270"/>
      <c r="Z24" s="2270"/>
      <c r="AA24" s="2267"/>
      <c r="AB24" s="2267"/>
      <c r="AC24" s="2264"/>
      <c r="AD24" s="2272"/>
      <c r="AE24" s="2272"/>
      <c r="AF24" s="2273"/>
      <c r="AG24" s="2274"/>
      <c r="AH24" s="2274"/>
      <c r="AI24" s="2275"/>
      <c r="AJ24" s="2275"/>
      <c r="AK24" s="2276"/>
      <c r="AL24" s="2277"/>
      <c r="AM24" s="2278"/>
      <c r="AO24" s="2279"/>
      <c r="AP24" s="2215"/>
    </row>
    <row r="25" spans="2:42" ht="26.25" customHeight="1">
      <c r="B25" s="2211"/>
      <c r="C25" s="2213"/>
      <c r="D25" s="2280"/>
      <c r="E25" s="2281"/>
      <c r="F25" s="2281"/>
      <c r="G25" s="2281"/>
      <c r="H25" s="2282"/>
      <c r="I25" s="2282"/>
      <c r="J25" s="2281"/>
      <c r="K25" s="2283"/>
      <c r="L25" s="2283"/>
      <c r="M25" s="2283"/>
      <c r="N25" s="2283"/>
      <c r="O25" s="2283"/>
      <c r="P25" s="2283"/>
      <c r="Q25" s="2284" t="s">
        <v>1250</v>
      </c>
      <c r="S25" s="2285"/>
      <c r="T25" s="2286" t="s">
        <v>1251</v>
      </c>
      <c r="U25" s="4789" t="s">
        <v>1252</v>
      </c>
      <c r="V25" s="4789"/>
      <c r="W25" s="4789"/>
      <c r="X25" s="4789"/>
      <c r="Y25" s="2287">
        <f>IF(Q25=G10,E23,IF(Q25=W10,U23,"BEGO"))</f>
        <v>1.985649492232493</v>
      </c>
      <c r="Z25" s="2288" t="s">
        <v>743</v>
      </c>
      <c r="AA25" s="4790">
        <f>J8</f>
        <v>30.190705400997917</v>
      </c>
      <c r="AB25" s="4790"/>
      <c r="AC25" s="4790"/>
      <c r="AD25" s="2288" t="s">
        <v>176</v>
      </c>
      <c r="AE25" s="4791">
        <f>Y25*J8</f>
        <v>59.9481588496323</v>
      </c>
      <c r="AF25" s="4791"/>
      <c r="AG25" s="2289" t="s">
        <v>1172</v>
      </c>
      <c r="AH25" s="2290"/>
      <c r="AI25" s="2291"/>
      <c r="AJ25" s="2291"/>
      <c r="AK25" s="2292"/>
      <c r="AL25" s="2293"/>
      <c r="AM25" s="2294"/>
      <c r="AN25" s="2213"/>
      <c r="AO25" s="2295"/>
      <c r="AP25" s="2215"/>
    </row>
    <row r="26" spans="2:42" ht="26.25" customHeight="1">
      <c r="B26" s="2211"/>
      <c r="D26" s="2269"/>
      <c r="E26" s="2267"/>
      <c r="F26" s="2267"/>
      <c r="G26" s="2267"/>
      <c r="H26" s="2296"/>
      <c r="I26" s="4782" t="s">
        <v>1253</v>
      </c>
      <c r="J26" s="4783"/>
      <c r="K26" s="4783"/>
      <c r="L26" s="4783"/>
      <c r="M26" s="4783"/>
      <c r="N26" s="4783"/>
      <c r="O26" s="4783"/>
      <c r="P26" s="4783"/>
      <c r="Q26" s="4784"/>
      <c r="R26" s="2297"/>
      <c r="S26" s="2298"/>
      <c r="T26" s="2299" t="s">
        <v>1254</v>
      </c>
      <c r="U26" s="4785">
        <f>AE25/2</f>
        <v>29.97407942481615</v>
      </c>
      <c r="V26" s="4785"/>
      <c r="W26" s="4785"/>
      <c r="X26" s="4785" t="s">
        <v>1255</v>
      </c>
      <c r="Y26" s="4785"/>
      <c r="Z26" s="4786">
        <f>AE25</f>
        <v>59.9481588496323</v>
      </c>
      <c r="AA26" s="4786"/>
      <c r="AB26" s="2275"/>
      <c r="AC26" s="2267"/>
      <c r="AD26" s="2300" t="s">
        <v>1256</v>
      </c>
      <c r="AE26" s="4785">
        <f>AE25*2</f>
        <v>119.8963176992646</v>
      </c>
      <c r="AF26" s="4785"/>
      <c r="AG26" s="2277" t="s">
        <v>1172</v>
      </c>
      <c r="AH26" s="2274"/>
      <c r="AI26" s="2275"/>
      <c r="AJ26" s="2275"/>
      <c r="AK26" s="2276"/>
      <c r="AL26" s="2277"/>
      <c r="AM26" s="2278"/>
      <c r="AO26" s="2226"/>
      <c r="AP26" s="2215"/>
    </row>
    <row r="27" spans="2:42" ht="26.25" customHeight="1">
      <c r="B27" s="2211"/>
      <c r="D27" s="2301"/>
      <c r="E27" s="2301"/>
      <c r="F27" s="2301"/>
      <c r="G27" s="2301"/>
      <c r="H27" s="2301"/>
      <c r="I27" s="4792" t="s">
        <v>1257</v>
      </c>
      <c r="J27" s="4793"/>
      <c r="K27" s="4793"/>
      <c r="L27" s="4793"/>
      <c r="M27" s="4793"/>
      <c r="N27" s="4793"/>
      <c r="O27" s="4793"/>
      <c r="P27" s="4793"/>
      <c r="Q27" s="4793"/>
      <c r="R27" s="4793"/>
      <c r="S27" s="4793"/>
      <c r="T27" s="4794"/>
      <c r="U27" s="4786">
        <f>U26/10</f>
        <v>2.9974079424816149</v>
      </c>
      <c r="V27" s="4786"/>
      <c r="W27" s="4786"/>
      <c r="X27" s="4785" t="s">
        <v>1255</v>
      </c>
      <c r="Y27" s="4785"/>
      <c r="Z27" s="4786">
        <f>Z26/10</f>
        <v>5.9948158849632298</v>
      </c>
      <c r="AA27" s="4786"/>
      <c r="AB27" s="2275"/>
      <c r="AC27" s="2267"/>
      <c r="AD27" s="2273" t="s">
        <v>1256</v>
      </c>
      <c r="AE27" s="4786">
        <f>AE26/10</f>
        <v>11.98963176992646</v>
      </c>
      <c r="AF27" s="4786"/>
      <c r="AG27" s="2274" t="s">
        <v>1172</v>
      </c>
      <c r="AH27" s="2274"/>
      <c r="AI27" s="2275"/>
      <c r="AJ27" s="2275"/>
      <c r="AK27" s="2276"/>
      <c r="AL27" s="2277"/>
      <c r="AM27" s="2278"/>
      <c r="AO27" s="2226"/>
      <c r="AP27" s="2215"/>
    </row>
    <row r="28" spans="2:42" ht="26.25" customHeight="1">
      <c r="B28" s="2211"/>
      <c r="E28" s="2226"/>
      <c r="F28" s="2226"/>
      <c r="G28" s="2226"/>
      <c r="H28" s="2226"/>
      <c r="I28" s="2226"/>
      <c r="J28" s="2226"/>
      <c r="K28" s="2226"/>
      <c r="L28" s="2226"/>
      <c r="M28" s="2226"/>
      <c r="N28" s="2226"/>
      <c r="O28" s="2226"/>
      <c r="P28" s="2226"/>
      <c r="Q28" s="2226"/>
      <c r="R28" s="2226"/>
      <c r="S28" s="2226"/>
      <c r="T28" s="2226"/>
      <c r="U28" s="4787"/>
      <c r="V28" s="4787"/>
      <c r="W28" s="4787"/>
      <c r="Z28" s="4787"/>
      <c r="AA28" s="4787"/>
      <c r="AB28" s="4787"/>
      <c r="AC28" s="4787"/>
      <c r="AE28" s="4787"/>
      <c r="AF28" s="4787"/>
      <c r="AG28" s="4787"/>
      <c r="AP28" s="2215"/>
    </row>
    <row r="29" spans="2:42" ht="15.75" thickBot="1">
      <c r="B29" s="2302"/>
      <c r="C29" s="2303"/>
      <c r="D29" s="2303"/>
      <c r="E29" s="2304"/>
      <c r="F29" s="2304"/>
      <c r="G29" s="2304"/>
      <c r="H29" s="2304"/>
      <c r="I29" s="2304"/>
      <c r="J29" s="2304"/>
      <c r="K29" s="2304"/>
      <c r="L29" s="2304"/>
      <c r="M29" s="2304"/>
      <c r="N29" s="2304"/>
      <c r="O29" s="2304"/>
      <c r="P29" s="2304"/>
      <c r="Q29" s="2304"/>
      <c r="R29" s="2304"/>
      <c r="S29" s="2304"/>
      <c r="T29" s="2304"/>
      <c r="U29" s="2304"/>
      <c r="V29" s="2304"/>
      <c r="W29" s="2303"/>
      <c r="X29" s="2303"/>
      <c r="Y29" s="2303"/>
      <c r="Z29" s="2303"/>
      <c r="AA29" s="2303"/>
      <c r="AB29" s="2303"/>
      <c r="AC29" s="2303"/>
      <c r="AD29" s="2303"/>
      <c r="AE29" s="2303"/>
      <c r="AF29" s="2303"/>
      <c r="AG29" s="2303"/>
      <c r="AH29" s="2303"/>
      <c r="AI29" s="2303"/>
      <c r="AJ29" s="2303"/>
      <c r="AK29" s="2303"/>
      <c r="AL29" s="2303"/>
      <c r="AM29" s="2303"/>
      <c r="AN29" s="2303"/>
      <c r="AO29" s="2303"/>
      <c r="AP29" s="2305"/>
    </row>
    <row r="30" spans="2:42" ht="15.75" thickTop="1"/>
  </sheetData>
  <mergeCells count="49">
    <mergeCell ref="I27:T27"/>
    <mergeCell ref="U27:W27"/>
    <mergeCell ref="X27:Y27"/>
    <mergeCell ref="Z27:AA27"/>
    <mergeCell ref="AE27:AF27"/>
    <mergeCell ref="U28:W28"/>
    <mergeCell ref="Z28:AC28"/>
    <mergeCell ref="AE28:AG28"/>
    <mergeCell ref="U23:X23"/>
    <mergeCell ref="U25:X25"/>
    <mergeCell ref="AA25:AC25"/>
    <mergeCell ref="AE25:AF25"/>
    <mergeCell ref="I26:Q26"/>
    <mergeCell ref="U26:W26"/>
    <mergeCell ref="X26:Y26"/>
    <mergeCell ref="Z26:AA26"/>
    <mergeCell ref="AE26:AF26"/>
    <mergeCell ref="E20:F20"/>
    <mergeCell ref="U20:X20"/>
    <mergeCell ref="E21:F21"/>
    <mergeCell ref="U21:X21"/>
    <mergeCell ref="AC21:AE21"/>
    <mergeCell ref="D22:D23"/>
    <mergeCell ref="E22:F22"/>
    <mergeCell ref="T22:T23"/>
    <mergeCell ref="U22:X22"/>
    <mergeCell ref="E23:F23"/>
    <mergeCell ref="E19:F19"/>
    <mergeCell ref="U19:X19"/>
    <mergeCell ref="J10:L10"/>
    <mergeCell ref="Z10:AC10"/>
    <mergeCell ref="V13:W13"/>
    <mergeCell ref="V14:W14"/>
    <mergeCell ref="E16:F16"/>
    <mergeCell ref="U16:X16"/>
    <mergeCell ref="E17:F17"/>
    <mergeCell ref="U17:X17"/>
    <mergeCell ref="E18:F18"/>
    <mergeCell ref="U18:X18"/>
    <mergeCell ref="AC18:AE18"/>
    <mergeCell ref="D7:D8"/>
    <mergeCell ref="E7:G7"/>
    <mergeCell ref="H7:I7"/>
    <mergeCell ref="J7:L7"/>
    <mergeCell ref="M7:O7"/>
    <mergeCell ref="E8:G8"/>
    <mergeCell ref="H8:I8"/>
    <mergeCell ref="J8:L8"/>
    <mergeCell ref="M8:O8"/>
  </mergeCells>
  <printOptions horizontalCentered="1" verticalCentered="1"/>
  <pageMargins left="0" right="0" top="0" bottom="0" header="0" footer="0"/>
  <pageSetup paperSize="9" scale="85" orientation="landscape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70BF9-DABE-46FF-BA98-34F781E9219E}">
  <sheetPr>
    <tabColor rgb="FFFF0000"/>
    <pageSetUpPr fitToPage="1"/>
  </sheetPr>
  <dimension ref="A1:BO273"/>
  <sheetViews>
    <sheetView showGridLines="0" zoomScale="90" zoomScaleNormal="90" zoomScaleSheetLayoutView="100" workbookViewId="0">
      <selection activeCell="AC14" sqref="AC14:AD14"/>
    </sheetView>
  </sheetViews>
  <sheetFormatPr defaultColWidth="6.875" defaultRowHeight="13.5"/>
  <cols>
    <col min="1" max="1" width="5.5" style="281" customWidth="1"/>
    <col min="2" max="2" width="1.25" style="281" customWidth="1"/>
    <col min="3" max="3" width="1" style="281" customWidth="1"/>
    <col min="4" max="9" width="3.25" style="281" customWidth="1"/>
    <col min="10" max="14" width="1.625" style="281" customWidth="1"/>
    <col min="15" max="15" width="6.125" style="281" customWidth="1"/>
    <col min="16" max="27" width="4.5" style="281" customWidth="1"/>
    <col min="28" max="28" width="1.25" style="281" customWidth="1"/>
    <col min="29" max="29" width="12" style="281" customWidth="1"/>
    <col min="30" max="30" width="12.5" style="281" customWidth="1"/>
    <col min="31" max="32" width="1" style="281" customWidth="1"/>
    <col min="33" max="38" width="6.875" style="281"/>
    <col min="39" max="39" width="11.625" style="281" customWidth="1"/>
    <col min="40" max="40" width="16.875" style="281" customWidth="1"/>
    <col min="41" max="41" width="1.25" style="281" customWidth="1"/>
    <col min="42" max="44" width="8.5" style="281" customWidth="1"/>
    <col min="45" max="45" width="1" style="281" hidden="1" customWidth="1"/>
    <col min="46" max="47" width="9" style="281" hidden="1" customWidth="1"/>
    <col min="48" max="48" width="0.375" style="281" customWidth="1"/>
    <col min="49" max="49" width="7.375" style="281" customWidth="1"/>
    <col min="50" max="52" width="9.375" style="281" customWidth="1"/>
    <col min="53" max="53" width="3.5" style="281" customWidth="1"/>
    <col min="54" max="55" width="7.25" style="281" customWidth="1"/>
    <col min="56" max="57" width="11.125" style="281" customWidth="1"/>
    <col min="58" max="58" width="7.25" style="281" customWidth="1"/>
    <col min="59" max="59" width="4.75" style="281" customWidth="1"/>
    <col min="60" max="60" width="7.625" style="281" customWidth="1"/>
    <col min="61" max="61" width="12.375" style="281" customWidth="1"/>
    <col min="62" max="294" width="6.875" style="281"/>
    <col min="295" max="295" width="1.875" style="281" customWidth="1"/>
    <col min="296" max="296" width="16.875" style="281" customWidth="1"/>
    <col min="297" max="297" width="1.25" style="281" customWidth="1"/>
    <col min="298" max="300" width="8.5" style="281" customWidth="1"/>
    <col min="301" max="303" width="0" style="281" hidden="1" customWidth="1"/>
    <col min="304" max="304" width="0.375" style="281" customWidth="1"/>
    <col min="305" max="305" width="7.375" style="281" customWidth="1"/>
    <col min="306" max="308" width="9.375" style="281" customWidth="1"/>
    <col min="309" max="309" width="3.5" style="281" customWidth="1"/>
    <col min="310" max="311" width="7.25" style="281" customWidth="1"/>
    <col min="312" max="313" width="11.125" style="281" customWidth="1"/>
    <col min="314" max="314" width="7.25" style="281" customWidth="1"/>
    <col min="315" max="315" width="4.75" style="281" customWidth="1"/>
    <col min="316" max="316" width="7.625" style="281" customWidth="1"/>
    <col min="317" max="317" width="12.375" style="281" customWidth="1"/>
    <col min="318" max="550" width="6.875" style="281"/>
    <col min="551" max="551" width="1.875" style="281" customWidth="1"/>
    <col min="552" max="552" width="16.875" style="281" customWidth="1"/>
    <col min="553" max="553" width="1.25" style="281" customWidth="1"/>
    <col min="554" max="556" width="8.5" style="281" customWidth="1"/>
    <col min="557" max="559" width="0" style="281" hidden="1" customWidth="1"/>
    <col min="560" max="560" width="0.375" style="281" customWidth="1"/>
    <col min="561" max="561" width="7.375" style="281" customWidth="1"/>
    <col min="562" max="564" width="9.375" style="281" customWidth="1"/>
    <col min="565" max="565" width="3.5" style="281" customWidth="1"/>
    <col min="566" max="567" width="7.25" style="281" customWidth="1"/>
    <col min="568" max="569" width="11.125" style="281" customWidth="1"/>
    <col min="570" max="570" width="7.25" style="281" customWidth="1"/>
    <col min="571" max="571" width="4.75" style="281" customWidth="1"/>
    <col min="572" max="572" width="7.625" style="281" customWidth="1"/>
    <col min="573" max="573" width="12.375" style="281" customWidth="1"/>
    <col min="574" max="806" width="6.875" style="281"/>
    <col min="807" max="807" width="1.875" style="281" customWidth="1"/>
    <col min="808" max="808" width="16.875" style="281" customWidth="1"/>
    <col min="809" max="809" width="1.25" style="281" customWidth="1"/>
    <col min="810" max="812" width="8.5" style="281" customWidth="1"/>
    <col min="813" max="815" width="0" style="281" hidden="1" customWidth="1"/>
    <col min="816" max="816" width="0.375" style="281" customWidth="1"/>
    <col min="817" max="817" width="7.375" style="281" customWidth="1"/>
    <col min="818" max="820" width="9.375" style="281" customWidth="1"/>
    <col min="821" max="821" width="3.5" style="281" customWidth="1"/>
    <col min="822" max="823" width="7.25" style="281" customWidth="1"/>
    <col min="824" max="825" width="11.125" style="281" customWidth="1"/>
    <col min="826" max="826" width="7.25" style="281" customWidth="1"/>
    <col min="827" max="827" width="4.75" style="281" customWidth="1"/>
    <col min="828" max="828" width="7.625" style="281" customWidth="1"/>
    <col min="829" max="829" width="12.375" style="281" customWidth="1"/>
    <col min="830" max="1062" width="6.875" style="281"/>
    <col min="1063" max="1063" width="1.875" style="281" customWidth="1"/>
    <col min="1064" max="1064" width="16.875" style="281" customWidth="1"/>
    <col min="1065" max="1065" width="1.25" style="281" customWidth="1"/>
    <col min="1066" max="1068" width="8.5" style="281" customWidth="1"/>
    <col min="1069" max="1071" width="0" style="281" hidden="1" customWidth="1"/>
    <col min="1072" max="1072" width="0.375" style="281" customWidth="1"/>
    <col min="1073" max="1073" width="7.375" style="281" customWidth="1"/>
    <col min="1074" max="1076" width="9.375" style="281" customWidth="1"/>
    <col min="1077" max="1077" width="3.5" style="281" customWidth="1"/>
    <col min="1078" max="1079" width="7.25" style="281" customWidth="1"/>
    <col min="1080" max="1081" width="11.125" style="281" customWidth="1"/>
    <col min="1082" max="1082" width="7.25" style="281" customWidth="1"/>
    <col min="1083" max="1083" width="4.75" style="281" customWidth="1"/>
    <col min="1084" max="1084" width="7.625" style="281" customWidth="1"/>
    <col min="1085" max="1085" width="12.375" style="281" customWidth="1"/>
    <col min="1086" max="1318" width="6.875" style="281"/>
    <col min="1319" max="1319" width="1.875" style="281" customWidth="1"/>
    <col min="1320" max="1320" width="16.875" style="281" customWidth="1"/>
    <col min="1321" max="1321" width="1.25" style="281" customWidth="1"/>
    <col min="1322" max="1324" width="8.5" style="281" customWidth="1"/>
    <col min="1325" max="1327" width="0" style="281" hidden="1" customWidth="1"/>
    <col min="1328" max="1328" width="0.375" style="281" customWidth="1"/>
    <col min="1329" max="1329" width="7.375" style="281" customWidth="1"/>
    <col min="1330" max="1332" width="9.375" style="281" customWidth="1"/>
    <col min="1333" max="1333" width="3.5" style="281" customWidth="1"/>
    <col min="1334" max="1335" width="7.25" style="281" customWidth="1"/>
    <col min="1336" max="1337" width="11.125" style="281" customWidth="1"/>
    <col min="1338" max="1338" width="7.25" style="281" customWidth="1"/>
    <col min="1339" max="1339" width="4.75" style="281" customWidth="1"/>
    <col min="1340" max="1340" width="7.625" style="281" customWidth="1"/>
    <col min="1341" max="1341" width="12.375" style="281" customWidth="1"/>
    <col min="1342" max="1574" width="6.875" style="281"/>
    <col min="1575" max="1575" width="1.875" style="281" customWidth="1"/>
    <col min="1576" max="1576" width="16.875" style="281" customWidth="1"/>
    <col min="1577" max="1577" width="1.25" style="281" customWidth="1"/>
    <col min="1578" max="1580" width="8.5" style="281" customWidth="1"/>
    <col min="1581" max="1583" width="0" style="281" hidden="1" customWidth="1"/>
    <col min="1584" max="1584" width="0.375" style="281" customWidth="1"/>
    <col min="1585" max="1585" width="7.375" style="281" customWidth="1"/>
    <col min="1586" max="1588" width="9.375" style="281" customWidth="1"/>
    <col min="1589" max="1589" width="3.5" style="281" customWidth="1"/>
    <col min="1590" max="1591" width="7.25" style="281" customWidth="1"/>
    <col min="1592" max="1593" width="11.125" style="281" customWidth="1"/>
    <col min="1594" max="1594" width="7.25" style="281" customWidth="1"/>
    <col min="1595" max="1595" width="4.75" style="281" customWidth="1"/>
    <col min="1596" max="1596" width="7.625" style="281" customWidth="1"/>
    <col min="1597" max="1597" width="12.375" style="281" customWidth="1"/>
    <col min="1598" max="1830" width="6.875" style="281"/>
    <col min="1831" max="1831" width="1.875" style="281" customWidth="1"/>
    <col min="1832" max="1832" width="16.875" style="281" customWidth="1"/>
    <col min="1833" max="1833" width="1.25" style="281" customWidth="1"/>
    <col min="1834" max="1836" width="8.5" style="281" customWidth="1"/>
    <col min="1837" max="1839" width="0" style="281" hidden="1" customWidth="1"/>
    <col min="1840" max="1840" width="0.375" style="281" customWidth="1"/>
    <col min="1841" max="1841" width="7.375" style="281" customWidth="1"/>
    <col min="1842" max="1844" width="9.375" style="281" customWidth="1"/>
    <col min="1845" max="1845" width="3.5" style="281" customWidth="1"/>
    <col min="1846" max="1847" width="7.25" style="281" customWidth="1"/>
    <col min="1848" max="1849" width="11.125" style="281" customWidth="1"/>
    <col min="1850" max="1850" width="7.25" style="281" customWidth="1"/>
    <col min="1851" max="1851" width="4.75" style="281" customWidth="1"/>
    <col min="1852" max="1852" width="7.625" style="281" customWidth="1"/>
    <col min="1853" max="1853" width="12.375" style="281" customWidth="1"/>
    <col min="1854" max="2086" width="6.875" style="281"/>
    <col min="2087" max="2087" width="1.875" style="281" customWidth="1"/>
    <col min="2088" max="2088" width="16.875" style="281" customWidth="1"/>
    <col min="2089" max="2089" width="1.25" style="281" customWidth="1"/>
    <col min="2090" max="2092" width="8.5" style="281" customWidth="1"/>
    <col min="2093" max="2095" width="0" style="281" hidden="1" customWidth="1"/>
    <col min="2096" max="2096" width="0.375" style="281" customWidth="1"/>
    <col min="2097" max="2097" width="7.375" style="281" customWidth="1"/>
    <col min="2098" max="2100" width="9.375" style="281" customWidth="1"/>
    <col min="2101" max="2101" width="3.5" style="281" customWidth="1"/>
    <col min="2102" max="2103" width="7.25" style="281" customWidth="1"/>
    <col min="2104" max="2105" width="11.125" style="281" customWidth="1"/>
    <col min="2106" max="2106" width="7.25" style="281" customWidth="1"/>
    <col min="2107" max="2107" width="4.75" style="281" customWidth="1"/>
    <col min="2108" max="2108" width="7.625" style="281" customWidth="1"/>
    <col min="2109" max="2109" width="12.375" style="281" customWidth="1"/>
    <col min="2110" max="2342" width="6.875" style="281"/>
    <col min="2343" max="2343" width="1.875" style="281" customWidth="1"/>
    <col min="2344" max="2344" width="16.875" style="281" customWidth="1"/>
    <col min="2345" max="2345" width="1.25" style="281" customWidth="1"/>
    <col min="2346" max="2348" width="8.5" style="281" customWidth="1"/>
    <col min="2349" max="2351" width="0" style="281" hidden="1" customWidth="1"/>
    <col min="2352" max="2352" width="0.375" style="281" customWidth="1"/>
    <col min="2353" max="2353" width="7.375" style="281" customWidth="1"/>
    <col min="2354" max="2356" width="9.375" style="281" customWidth="1"/>
    <col min="2357" max="2357" width="3.5" style="281" customWidth="1"/>
    <col min="2358" max="2359" width="7.25" style="281" customWidth="1"/>
    <col min="2360" max="2361" width="11.125" style="281" customWidth="1"/>
    <col min="2362" max="2362" width="7.25" style="281" customWidth="1"/>
    <col min="2363" max="2363" width="4.75" style="281" customWidth="1"/>
    <col min="2364" max="2364" width="7.625" style="281" customWidth="1"/>
    <col min="2365" max="2365" width="12.375" style="281" customWidth="1"/>
    <col min="2366" max="2598" width="6.875" style="281"/>
    <col min="2599" max="2599" width="1.875" style="281" customWidth="1"/>
    <col min="2600" max="2600" width="16.875" style="281" customWidth="1"/>
    <col min="2601" max="2601" width="1.25" style="281" customWidth="1"/>
    <col min="2602" max="2604" width="8.5" style="281" customWidth="1"/>
    <col min="2605" max="2607" width="0" style="281" hidden="1" customWidth="1"/>
    <col min="2608" max="2608" width="0.375" style="281" customWidth="1"/>
    <col min="2609" max="2609" width="7.375" style="281" customWidth="1"/>
    <col min="2610" max="2612" width="9.375" style="281" customWidth="1"/>
    <col min="2613" max="2613" width="3.5" style="281" customWidth="1"/>
    <col min="2614" max="2615" width="7.25" style="281" customWidth="1"/>
    <col min="2616" max="2617" width="11.125" style="281" customWidth="1"/>
    <col min="2618" max="2618" width="7.25" style="281" customWidth="1"/>
    <col min="2619" max="2619" width="4.75" style="281" customWidth="1"/>
    <col min="2620" max="2620" width="7.625" style="281" customWidth="1"/>
    <col min="2621" max="2621" width="12.375" style="281" customWidth="1"/>
    <col min="2622" max="2854" width="6.875" style="281"/>
    <col min="2855" max="2855" width="1.875" style="281" customWidth="1"/>
    <col min="2856" max="2856" width="16.875" style="281" customWidth="1"/>
    <col min="2857" max="2857" width="1.25" style="281" customWidth="1"/>
    <col min="2858" max="2860" width="8.5" style="281" customWidth="1"/>
    <col min="2861" max="2863" width="0" style="281" hidden="1" customWidth="1"/>
    <col min="2864" max="2864" width="0.375" style="281" customWidth="1"/>
    <col min="2865" max="2865" width="7.375" style="281" customWidth="1"/>
    <col min="2866" max="2868" width="9.375" style="281" customWidth="1"/>
    <col min="2869" max="2869" width="3.5" style="281" customWidth="1"/>
    <col min="2870" max="2871" width="7.25" style="281" customWidth="1"/>
    <col min="2872" max="2873" width="11.125" style="281" customWidth="1"/>
    <col min="2874" max="2874" width="7.25" style="281" customWidth="1"/>
    <col min="2875" max="2875" width="4.75" style="281" customWidth="1"/>
    <col min="2876" max="2876" width="7.625" style="281" customWidth="1"/>
    <col min="2877" max="2877" width="12.375" style="281" customWidth="1"/>
    <col min="2878" max="3110" width="6.875" style="281"/>
    <col min="3111" max="3111" width="1.875" style="281" customWidth="1"/>
    <col min="3112" max="3112" width="16.875" style="281" customWidth="1"/>
    <col min="3113" max="3113" width="1.25" style="281" customWidth="1"/>
    <col min="3114" max="3116" width="8.5" style="281" customWidth="1"/>
    <col min="3117" max="3119" width="0" style="281" hidden="1" customWidth="1"/>
    <col min="3120" max="3120" width="0.375" style="281" customWidth="1"/>
    <col min="3121" max="3121" width="7.375" style="281" customWidth="1"/>
    <col min="3122" max="3124" width="9.375" style="281" customWidth="1"/>
    <col min="3125" max="3125" width="3.5" style="281" customWidth="1"/>
    <col min="3126" max="3127" width="7.25" style="281" customWidth="1"/>
    <col min="3128" max="3129" width="11.125" style="281" customWidth="1"/>
    <col min="3130" max="3130" width="7.25" style="281" customWidth="1"/>
    <col min="3131" max="3131" width="4.75" style="281" customWidth="1"/>
    <col min="3132" max="3132" width="7.625" style="281" customWidth="1"/>
    <col min="3133" max="3133" width="12.375" style="281" customWidth="1"/>
    <col min="3134" max="3366" width="6.875" style="281"/>
    <col min="3367" max="3367" width="1.875" style="281" customWidth="1"/>
    <col min="3368" max="3368" width="16.875" style="281" customWidth="1"/>
    <col min="3369" max="3369" width="1.25" style="281" customWidth="1"/>
    <col min="3370" max="3372" width="8.5" style="281" customWidth="1"/>
    <col min="3373" max="3375" width="0" style="281" hidden="1" customWidth="1"/>
    <col min="3376" max="3376" width="0.375" style="281" customWidth="1"/>
    <col min="3377" max="3377" width="7.375" style="281" customWidth="1"/>
    <col min="3378" max="3380" width="9.375" style="281" customWidth="1"/>
    <col min="3381" max="3381" width="3.5" style="281" customWidth="1"/>
    <col min="3382" max="3383" width="7.25" style="281" customWidth="1"/>
    <col min="3384" max="3385" width="11.125" style="281" customWidth="1"/>
    <col min="3386" max="3386" width="7.25" style="281" customWidth="1"/>
    <col min="3387" max="3387" width="4.75" style="281" customWidth="1"/>
    <col min="3388" max="3388" width="7.625" style="281" customWidth="1"/>
    <col min="3389" max="3389" width="12.375" style="281" customWidth="1"/>
    <col min="3390" max="3622" width="6.875" style="281"/>
    <col min="3623" max="3623" width="1.875" style="281" customWidth="1"/>
    <col min="3624" max="3624" width="16.875" style="281" customWidth="1"/>
    <col min="3625" max="3625" width="1.25" style="281" customWidth="1"/>
    <col min="3626" max="3628" width="8.5" style="281" customWidth="1"/>
    <col min="3629" max="3631" width="0" style="281" hidden="1" customWidth="1"/>
    <col min="3632" max="3632" width="0.375" style="281" customWidth="1"/>
    <col min="3633" max="3633" width="7.375" style="281" customWidth="1"/>
    <col min="3634" max="3636" width="9.375" style="281" customWidth="1"/>
    <col min="3637" max="3637" width="3.5" style="281" customWidth="1"/>
    <col min="3638" max="3639" width="7.25" style="281" customWidth="1"/>
    <col min="3640" max="3641" width="11.125" style="281" customWidth="1"/>
    <col min="3642" max="3642" width="7.25" style="281" customWidth="1"/>
    <col min="3643" max="3643" width="4.75" style="281" customWidth="1"/>
    <col min="3644" max="3644" width="7.625" style="281" customWidth="1"/>
    <col min="3645" max="3645" width="12.375" style="281" customWidth="1"/>
    <col min="3646" max="3878" width="6.875" style="281"/>
    <col min="3879" max="3879" width="1.875" style="281" customWidth="1"/>
    <col min="3880" max="3880" width="16.875" style="281" customWidth="1"/>
    <col min="3881" max="3881" width="1.25" style="281" customWidth="1"/>
    <col min="3882" max="3884" width="8.5" style="281" customWidth="1"/>
    <col min="3885" max="3887" width="0" style="281" hidden="1" customWidth="1"/>
    <col min="3888" max="3888" width="0.375" style="281" customWidth="1"/>
    <col min="3889" max="3889" width="7.375" style="281" customWidth="1"/>
    <col min="3890" max="3892" width="9.375" style="281" customWidth="1"/>
    <col min="3893" max="3893" width="3.5" style="281" customWidth="1"/>
    <col min="3894" max="3895" width="7.25" style="281" customWidth="1"/>
    <col min="3896" max="3897" width="11.125" style="281" customWidth="1"/>
    <col min="3898" max="3898" width="7.25" style="281" customWidth="1"/>
    <col min="3899" max="3899" width="4.75" style="281" customWidth="1"/>
    <col min="3900" max="3900" width="7.625" style="281" customWidth="1"/>
    <col min="3901" max="3901" width="12.375" style="281" customWidth="1"/>
    <col min="3902" max="4134" width="6.875" style="281"/>
    <col min="4135" max="4135" width="1.875" style="281" customWidth="1"/>
    <col min="4136" max="4136" width="16.875" style="281" customWidth="1"/>
    <col min="4137" max="4137" width="1.25" style="281" customWidth="1"/>
    <col min="4138" max="4140" width="8.5" style="281" customWidth="1"/>
    <col min="4141" max="4143" width="0" style="281" hidden="1" customWidth="1"/>
    <col min="4144" max="4144" width="0.375" style="281" customWidth="1"/>
    <col min="4145" max="4145" width="7.375" style="281" customWidth="1"/>
    <col min="4146" max="4148" width="9.375" style="281" customWidth="1"/>
    <col min="4149" max="4149" width="3.5" style="281" customWidth="1"/>
    <col min="4150" max="4151" width="7.25" style="281" customWidth="1"/>
    <col min="4152" max="4153" width="11.125" style="281" customWidth="1"/>
    <col min="4154" max="4154" width="7.25" style="281" customWidth="1"/>
    <col min="4155" max="4155" width="4.75" style="281" customWidth="1"/>
    <col min="4156" max="4156" width="7.625" style="281" customWidth="1"/>
    <col min="4157" max="4157" width="12.375" style="281" customWidth="1"/>
    <col min="4158" max="4390" width="6.875" style="281"/>
    <col min="4391" max="4391" width="1.875" style="281" customWidth="1"/>
    <col min="4392" max="4392" width="16.875" style="281" customWidth="1"/>
    <col min="4393" max="4393" width="1.25" style="281" customWidth="1"/>
    <col min="4394" max="4396" width="8.5" style="281" customWidth="1"/>
    <col min="4397" max="4399" width="0" style="281" hidden="1" customWidth="1"/>
    <col min="4400" max="4400" width="0.375" style="281" customWidth="1"/>
    <col min="4401" max="4401" width="7.375" style="281" customWidth="1"/>
    <col min="4402" max="4404" width="9.375" style="281" customWidth="1"/>
    <col min="4405" max="4405" width="3.5" style="281" customWidth="1"/>
    <col min="4406" max="4407" width="7.25" style="281" customWidth="1"/>
    <col min="4408" max="4409" width="11.125" style="281" customWidth="1"/>
    <col min="4410" max="4410" width="7.25" style="281" customWidth="1"/>
    <col min="4411" max="4411" width="4.75" style="281" customWidth="1"/>
    <col min="4412" max="4412" width="7.625" style="281" customWidth="1"/>
    <col min="4413" max="4413" width="12.375" style="281" customWidth="1"/>
    <col min="4414" max="4646" width="6.875" style="281"/>
    <col min="4647" max="4647" width="1.875" style="281" customWidth="1"/>
    <col min="4648" max="4648" width="16.875" style="281" customWidth="1"/>
    <col min="4649" max="4649" width="1.25" style="281" customWidth="1"/>
    <col min="4650" max="4652" width="8.5" style="281" customWidth="1"/>
    <col min="4653" max="4655" width="0" style="281" hidden="1" customWidth="1"/>
    <col min="4656" max="4656" width="0.375" style="281" customWidth="1"/>
    <col min="4657" max="4657" width="7.375" style="281" customWidth="1"/>
    <col min="4658" max="4660" width="9.375" style="281" customWidth="1"/>
    <col min="4661" max="4661" width="3.5" style="281" customWidth="1"/>
    <col min="4662" max="4663" width="7.25" style="281" customWidth="1"/>
    <col min="4664" max="4665" width="11.125" style="281" customWidth="1"/>
    <col min="4666" max="4666" width="7.25" style="281" customWidth="1"/>
    <col min="4667" max="4667" width="4.75" style="281" customWidth="1"/>
    <col min="4668" max="4668" width="7.625" style="281" customWidth="1"/>
    <col min="4669" max="4669" width="12.375" style="281" customWidth="1"/>
    <col min="4670" max="4902" width="6.875" style="281"/>
    <col min="4903" max="4903" width="1.875" style="281" customWidth="1"/>
    <col min="4904" max="4904" width="16.875" style="281" customWidth="1"/>
    <col min="4905" max="4905" width="1.25" style="281" customWidth="1"/>
    <col min="4906" max="4908" width="8.5" style="281" customWidth="1"/>
    <col min="4909" max="4911" width="0" style="281" hidden="1" customWidth="1"/>
    <col min="4912" max="4912" width="0.375" style="281" customWidth="1"/>
    <col min="4913" max="4913" width="7.375" style="281" customWidth="1"/>
    <col min="4914" max="4916" width="9.375" style="281" customWidth="1"/>
    <col min="4917" max="4917" width="3.5" style="281" customWidth="1"/>
    <col min="4918" max="4919" width="7.25" style="281" customWidth="1"/>
    <col min="4920" max="4921" width="11.125" style="281" customWidth="1"/>
    <col min="4922" max="4922" width="7.25" style="281" customWidth="1"/>
    <col min="4923" max="4923" width="4.75" style="281" customWidth="1"/>
    <col min="4924" max="4924" width="7.625" style="281" customWidth="1"/>
    <col min="4925" max="4925" width="12.375" style="281" customWidth="1"/>
    <col min="4926" max="5158" width="6.875" style="281"/>
    <col min="5159" max="5159" width="1.875" style="281" customWidth="1"/>
    <col min="5160" max="5160" width="16.875" style="281" customWidth="1"/>
    <col min="5161" max="5161" width="1.25" style="281" customWidth="1"/>
    <col min="5162" max="5164" width="8.5" style="281" customWidth="1"/>
    <col min="5165" max="5167" width="0" style="281" hidden="1" customWidth="1"/>
    <col min="5168" max="5168" width="0.375" style="281" customWidth="1"/>
    <col min="5169" max="5169" width="7.375" style="281" customWidth="1"/>
    <col min="5170" max="5172" width="9.375" style="281" customWidth="1"/>
    <col min="5173" max="5173" width="3.5" style="281" customWidth="1"/>
    <col min="5174" max="5175" width="7.25" style="281" customWidth="1"/>
    <col min="5176" max="5177" width="11.125" style="281" customWidth="1"/>
    <col min="5178" max="5178" width="7.25" style="281" customWidth="1"/>
    <col min="5179" max="5179" width="4.75" style="281" customWidth="1"/>
    <col min="5180" max="5180" width="7.625" style="281" customWidth="1"/>
    <col min="5181" max="5181" width="12.375" style="281" customWidth="1"/>
    <col min="5182" max="5414" width="6.875" style="281"/>
    <col min="5415" max="5415" width="1.875" style="281" customWidth="1"/>
    <col min="5416" max="5416" width="16.875" style="281" customWidth="1"/>
    <col min="5417" max="5417" width="1.25" style="281" customWidth="1"/>
    <col min="5418" max="5420" width="8.5" style="281" customWidth="1"/>
    <col min="5421" max="5423" width="0" style="281" hidden="1" customWidth="1"/>
    <col min="5424" max="5424" width="0.375" style="281" customWidth="1"/>
    <col min="5425" max="5425" width="7.375" style="281" customWidth="1"/>
    <col min="5426" max="5428" width="9.375" style="281" customWidth="1"/>
    <col min="5429" max="5429" width="3.5" style="281" customWidth="1"/>
    <col min="5430" max="5431" width="7.25" style="281" customWidth="1"/>
    <col min="5432" max="5433" width="11.125" style="281" customWidth="1"/>
    <col min="5434" max="5434" width="7.25" style="281" customWidth="1"/>
    <col min="5435" max="5435" width="4.75" style="281" customWidth="1"/>
    <col min="5436" max="5436" width="7.625" style="281" customWidth="1"/>
    <col min="5437" max="5437" width="12.375" style="281" customWidth="1"/>
    <col min="5438" max="5670" width="6.875" style="281"/>
    <col min="5671" max="5671" width="1.875" style="281" customWidth="1"/>
    <col min="5672" max="5672" width="16.875" style="281" customWidth="1"/>
    <col min="5673" max="5673" width="1.25" style="281" customWidth="1"/>
    <col min="5674" max="5676" width="8.5" style="281" customWidth="1"/>
    <col min="5677" max="5679" width="0" style="281" hidden="1" customWidth="1"/>
    <col min="5680" max="5680" width="0.375" style="281" customWidth="1"/>
    <col min="5681" max="5681" width="7.375" style="281" customWidth="1"/>
    <col min="5682" max="5684" width="9.375" style="281" customWidth="1"/>
    <col min="5685" max="5685" width="3.5" style="281" customWidth="1"/>
    <col min="5686" max="5687" width="7.25" style="281" customWidth="1"/>
    <col min="5688" max="5689" width="11.125" style="281" customWidth="1"/>
    <col min="5690" max="5690" width="7.25" style="281" customWidth="1"/>
    <col min="5691" max="5691" width="4.75" style="281" customWidth="1"/>
    <col min="5692" max="5692" width="7.625" style="281" customWidth="1"/>
    <col min="5693" max="5693" width="12.375" style="281" customWidth="1"/>
    <col min="5694" max="5926" width="6.875" style="281"/>
    <col min="5927" max="5927" width="1.875" style="281" customWidth="1"/>
    <col min="5928" max="5928" width="16.875" style="281" customWidth="1"/>
    <col min="5929" max="5929" width="1.25" style="281" customWidth="1"/>
    <col min="5930" max="5932" width="8.5" style="281" customWidth="1"/>
    <col min="5933" max="5935" width="0" style="281" hidden="1" customWidth="1"/>
    <col min="5936" max="5936" width="0.375" style="281" customWidth="1"/>
    <col min="5937" max="5937" width="7.375" style="281" customWidth="1"/>
    <col min="5938" max="5940" width="9.375" style="281" customWidth="1"/>
    <col min="5941" max="5941" width="3.5" style="281" customWidth="1"/>
    <col min="5942" max="5943" width="7.25" style="281" customWidth="1"/>
    <col min="5944" max="5945" width="11.125" style="281" customWidth="1"/>
    <col min="5946" max="5946" width="7.25" style="281" customWidth="1"/>
    <col min="5947" max="5947" width="4.75" style="281" customWidth="1"/>
    <col min="5948" max="5948" width="7.625" style="281" customWidth="1"/>
    <col min="5949" max="5949" width="12.375" style="281" customWidth="1"/>
    <col min="5950" max="6182" width="6.875" style="281"/>
    <col min="6183" max="6183" width="1.875" style="281" customWidth="1"/>
    <col min="6184" max="6184" width="16.875" style="281" customWidth="1"/>
    <col min="6185" max="6185" width="1.25" style="281" customWidth="1"/>
    <col min="6186" max="6188" width="8.5" style="281" customWidth="1"/>
    <col min="6189" max="6191" width="0" style="281" hidden="1" customWidth="1"/>
    <col min="6192" max="6192" width="0.375" style="281" customWidth="1"/>
    <col min="6193" max="6193" width="7.375" style="281" customWidth="1"/>
    <col min="6194" max="6196" width="9.375" style="281" customWidth="1"/>
    <col min="6197" max="6197" width="3.5" style="281" customWidth="1"/>
    <col min="6198" max="6199" width="7.25" style="281" customWidth="1"/>
    <col min="6200" max="6201" width="11.125" style="281" customWidth="1"/>
    <col min="6202" max="6202" width="7.25" style="281" customWidth="1"/>
    <col min="6203" max="6203" width="4.75" style="281" customWidth="1"/>
    <col min="6204" max="6204" width="7.625" style="281" customWidth="1"/>
    <col min="6205" max="6205" width="12.375" style="281" customWidth="1"/>
    <col min="6206" max="6438" width="6.875" style="281"/>
    <col min="6439" max="6439" width="1.875" style="281" customWidth="1"/>
    <col min="6440" max="6440" width="16.875" style="281" customWidth="1"/>
    <col min="6441" max="6441" width="1.25" style="281" customWidth="1"/>
    <col min="6442" max="6444" width="8.5" style="281" customWidth="1"/>
    <col min="6445" max="6447" width="0" style="281" hidden="1" customWidth="1"/>
    <col min="6448" max="6448" width="0.375" style="281" customWidth="1"/>
    <col min="6449" max="6449" width="7.375" style="281" customWidth="1"/>
    <col min="6450" max="6452" width="9.375" style="281" customWidth="1"/>
    <col min="6453" max="6453" width="3.5" style="281" customWidth="1"/>
    <col min="6454" max="6455" width="7.25" style="281" customWidth="1"/>
    <col min="6456" max="6457" width="11.125" style="281" customWidth="1"/>
    <col min="6458" max="6458" width="7.25" style="281" customWidth="1"/>
    <col min="6459" max="6459" width="4.75" style="281" customWidth="1"/>
    <col min="6460" max="6460" width="7.625" style="281" customWidth="1"/>
    <col min="6461" max="6461" width="12.375" style="281" customWidth="1"/>
    <col min="6462" max="6694" width="6.875" style="281"/>
    <col min="6695" max="6695" width="1.875" style="281" customWidth="1"/>
    <col min="6696" max="6696" width="16.875" style="281" customWidth="1"/>
    <col min="6697" max="6697" width="1.25" style="281" customWidth="1"/>
    <col min="6698" max="6700" width="8.5" style="281" customWidth="1"/>
    <col min="6701" max="6703" width="0" style="281" hidden="1" customWidth="1"/>
    <col min="6704" max="6704" width="0.375" style="281" customWidth="1"/>
    <col min="6705" max="6705" width="7.375" style="281" customWidth="1"/>
    <col min="6706" max="6708" width="9.375" style="281" customWidth="1"/>
    <col min="6709" max="6709" width="3.5" style="281" customWidth="1"/>
    <col min="6710" max="6711" width="7.25" style="281" customWidth="1"/>
    <col min="6712" max="6713" width="11.125" style="281" customWidth="1"/>
    <col min="6714" max="6714" width="7.25" style="281" customWidth="1"/>
    <col min="6715" max="6715" width="4.75" style="281" customWidth="1"/>
    <col min="6716" max="6716" width="7.625" style="281" customWidth="1"/>
    <col min="6717" max="6717" width="12.375" style="281" customWidth="1"/>
    <col min="6718" max="6950" width="6.875" style="281"/>
    <col min="6951" max="6951" width="1.875" style="281" customWidth="1"/>
    <col min="6952" max="6952" width="16.875" style="281" customWidth="1"/>
    <col min="6953" max="6953" width="1.25" style="281" customWidth="1"/>
    <col min="6954" max="6956" width="8.5" style="281" customWidth="1"/>
    <col min="6957" max="6959" width="0" style="281" hidden="1" customWidth="1"/>
    <col min="6960" max="6960" width="0.375" style="281" customWidth="1"/>
    <col min="6961" max="6961" width="7.375" style="281" customWidth="1"/>
    <col min="6962" max="6964" width="9.375" style="281" customWidth="1"/>
    <col min="6965" max="6965" width="3.5" style="281" customWidth="1"/>
    <col min="6966" max="6967" width="7.25" style="281" customWidth="1"/>
    <col min="6968" max="6969" width="11.125" style="281" customWidth="1"/>
    <col min="6970" max="6970" width="7.25" style="281" customWidth="1"/>
    <col min="6971" max="6971" width="4.75" style="281" customWidth="1"/>
    <col min="6972" max="6972" width="7.625" style="281" customWidth="1"/>
    <col min="6973" max="6973" width="12.375" style="281" customWidth="1"/>
    <col min="6974" max="7206" width="6.875" style="281"/>
    <col min="7207" max="7207" width="1.875" style="281" customWidth="1"/>
    <col min="7208" max="7208" width="16.875" style="281" customWidth="1"/>
    <col min="7209" max="7209" width="1.25" style="281" customWidth="1"/>
    <col min="7210" max="7212" width="8.5" style="281" customWidth="1"/>
    <col min="7213" max="7215" width="0" style="281" hidden="1" customWidth="1"/>
    <col min="7216" max="7216" width="0.375" style="281" customWidth="1"/>
    <col min="7217" max="7217" width="7.375" style="281" customWidth="1"/>
    <col min="7218" max="7220" width="9.375" style="281" customWidth="1"/>
    <col min="7221" max="7221" width="3.5" style="281" customWidth="1"/>
    <col min="7222" max="7223" width="7.25" style="281" customWidth="1"/>
    <col min="7224" max="7225" width="11.125" style="281" customWidth="1"/>
    <col min="7226" max="7226" width="7.25" style="281" customWidth="1"/>
    <col min="7227" max="7227" width="4.75" style="281" customWidth="1"/>
    <col min="7228" max="7228" width="7.625" style="281" customWidth="1"/>
    <col min="7229" max="7229" width="12.375" style="281" customWidth="1"/>
    <col min="7230" max="7462" width="6.875" style="281"/>
    <col min="7463" max="7463" width="1.875" style="281" customWidth="1"/>
    <col min="7464" max="7464" width="16.875" style="281" customWidth="1"/>
    <col min="7465" max="7465" width="1.25" style="281" customWidth="1"/>
    <col min="7466" max="7468" width="8.5" style="281" customWidth="1"/>
    <col min="7469" max="7471" width="0" style="281" hidden="1" customWidth="1"/>
    <col min="7472" max="7472" width="0.375" style="281" customWidth="1"/>
    <col min="7473" max="7473" width="7.375" style="281" customWidth="1"/>
    <col min="7474" max="7476" width="9.375" style="281" customWidth="1"/>
    <col min="7477" max="7477" width="3.5" style="281" customWidth="1"/>
    <col min="7478" max="7479" width="7.25" style="281" customWidth="1"/>
    <col min="7480" max="7481" width="11.125" style="281" customWidth="1"/>
    <col min="7482" max="7482" width="7.25" style="281" customWidth="1"/>
    <col min="7483" max="7483" width="4.75" style="281" customWidth="1"/>
    <col min="7484" max="7484" width="7.625" style="281" customWidth="1"/>
    <col min="7485" max="7485" width="12.375" style="281" customWidth="1"/>
    <col min="7486" max="7718" width="6.875" style="281"/>
    <col min="7719" max="7719" width="1.875" style="281" customWidth="1"/>
    <col min="7720" max="7720" width="16.875" style="281" customWidth="1"/>
    <col min="7721" max="7721" width="1.25" style="281" customWidth="1"/>
    <col min="7722" max="7724" width="8.5" style="281" customWidth="1"/>
    <col min="7725" max="7727" width="0" style="281" hidden="1" customWidth="1"/>
    <col min="7728" max="7728" width="0.375" style="281" customWidth="1"/>
    <col min="7729" max="7729" width="7.375" style="281" customWidth="1"/>
    <col min="7730" max="7732" width="9.375" style="281" customWidth="1"/>
    <col min="7733" max="7733" width="3.5" style="281" customWidth="1"/>
    <col min="7734" max="7735" width="7.25" style="281" customWidth="1"/>
    <col min="7736" max="7737" width="11.125" style="281" customWidth="1"/>
    <col min="7738" max="7738" width="7.25" style="281" customWidth="1"/>
    <col min="7739" max="7739" width="4.75" style="281" customWidth="1"/>
    <col min="7740" max="7740" width="7.625" style="281" customWidth="1"/>
    <col min="7741" max="7741" width="12.375" style="281" customWidth="1"/>
    <col min="7742" max="7974" width="6.875" style="281"/>
    <col min="7975" max="7975" width="1.875" style="281" customWidth="1"/>
    <col min="7976" max="7976" width="16.875" style="281" customWidth="1"/>
    <col min="7977" max="7977" width="1.25" style="281" customWidth="1"/>
    <col min="7978" max="7980" width="8.5" style="281" customWidth="1"/>
    <col min="7981" max="7983" width="0" style="281" hidden="1" customWidth="1"/>
    <col min="7984" max="7984" width="0.375" style="281" customWidth="1"/>
    <col min="7985" max="7985" width="7.375" style="281" customWidth="1"/>
    <col min="7986" max="7988" width="9.375" style="281" customWidth="1"/>
    <col min="7989" max="7989" width="3.5" style="281" customWidth="1"/>
    <col min="7990" max="7991" width="7.25" style="281" customWidth="1"/>
    <col min="7992" max="7993" width="11.125" style="281" customWidth="1"/>
    <col min="7994" max="7994" width="7.25" style="281" customWidth="1"/>
    <col min="7995" max="7995" width="4.75" style="281" customWidth="1"/>
    <col min="7996" max="7996" width="7.625" style="281" customWidth="1"/>
    <col min="7997" max="7997" width="12.375" style="281" customWidth="1"/>
    <col min="7998" max="8230" width="6.875" style="281"/>
    <col min="8231" max="8231" width="1.875" style="281" customWidth="1"/>
    <col min="8232" max="8232" width="16.875" style="281" customWidth="1"/>
    <col min="8233" max="8233" width="1.25" style="281" customWidth="1"/>
    <col min="8234" max="8236" width="8.5" style="281" customWidth="1"/>
    <col min="8237" max="8239" width="0" style="281" hidden="1" customWidth="1"/>
    <col min="8240" max="8240" width="0.375" style="281" customWidth="1"/>
    <col min="8241" max="8241" width="7.375" style="281" customWidth="1"/>
    <col min="8242" max="8244" width="9.375" style="281" customWidth="1"/>
    <col min="8245" max="8245" width="3.5" style="281" customWidth="1"/>
    <col min="8246" max="8247" width="7.25" style="281" customWidth="1"/>
    <col min="8248" max="8249" width="11.125" style="281" customWidth="1"/>
    <col min="8250" max="8250" width="7.25" style="281" customWidth="1"/>
    <col min="8251" max="8251" width="4.75" style="281" customWidth="1"/>
    <col min="8252" max="8252" width="7.625" style="281" customWidth="1"/>
    <col min="8253" max="8253" width="12.375" style="281" customWidth="1"/>
    <col min="8254" max="8486" width="6.875" style="281"/>
    <col min="8487" max="8487" width="1.875" style="281" customWidth="1"/>
    <col min="8488" max="8488" width="16.875" style="281" customWidth="1"/>
    <col min="8489" max="8489" width="1.25" style="281" customWidth="1"/>
    <col min="8490" max="8492" width="8.5" style="281" customWidth="1"/>
    <col min="8493" max="8495" width="0" style="281" hidden="1" customWidth="1"/>
    <col min="8496" max="8496" width="0.375" style="281" customWidth="1"/>
    <col min="8497" max="8497" width="7.375" style="281" customWidth="1"/>
    <col min="8498" max="8500" width="9.375" style="281" customWidth="1"/>
    <col min="8501" max="8501" width="3.5" style="281" customWidth="1"/>
    <col min="8502" max="8503" width="7.25" style="281" customWidth="1"/>
    <col min="8504" max="8505" width="11.125" style="281" customWidth="1"/>
    <col min="8506" max="8506" width="7.25" style="281" customWidth="1"/>
    <col min="8507" max="8507" width="4.75" style="281" customWidth="1"/>
    <col min="8508" max="8508" width="7.625" style="281" customWidth="1"/>
    <col min="8509" max="8509" width="12.375" style="281" customWidth="1"/>
    <col min="8510" max="8742" width="6.875" style="281"/>
    <col min="8743" max="8743" width="1.875" style="281" customWidth="1"/>
    <col min="8744" max="8744" width="16.875" style="281" customWidth="1"/>
    <col min="8745" max="8745" width="1.25" style="281" customWidth="1"/>
    <col min="8746" max="8748" width="8.5" style="281" customWidth="1"/>
    <col min="8749" max="8751" width="0" style="281" hidden="1" customWidth="1"/>
    <col min="8752" max="8752" width="0.375" style="281" customWidth="1"/>
    <col min="8753" max="8753" width="7.375" style="281" customWidth="1"/>
    <col min="8754" max="8756" width="9.375" style="281" customWidth="1"/>
    <col min="8757" max="8757" width="3.5" style="281" customWidth="1"/>
    <col min="8758" max="8759" width="7.25" style="281" customWidth="1"/>
    <col min="8760" max="8761" width="11.125" style="281" customWidth="1"/>
    <col min="8762" max="8762" width="7.25" style="281" customWidth="1"/>
    <col min="8763" max="8763" width="4.75" style="281" customWidth="1"/>
    <col min="8764" max="8764" width="7.625" style="281" customWidth="1"/>
    <col min="8765" max="8765" width="12.375" style="281" customWidth="1"/>
    <col min="8766" max="8998" width="6.875" style="281"/>
    <col min="8999" max="8999" width="1.875" style="281" customWidth="1"/>
    <col min="9000" max="9000" width="16.875" style="281" customWidth="1"/>
    <col min="9001" max="9001" width="1.25" style="281" customWidth="1"/>
    <col min="9002" max="9004" width="8.5" style="281" customWidth="1"/>
    <col min="9005" max="9007" width="0" style="281" hidden="1" customWidth="1"/>
    <col min="9008" max="9008" width="0.375" style="281" customWidth="1"/>
    <col min="9009" max="9009" width="7.375" style="281" customWidth="1"/>
    <col min="9010" max="9012" width="9.375" style="281" customWidth="1"/>
    <col min="9013" max="9013" width="3.5" style="281" customWidth="1"/>
    <col min="9014" max="9015" width="7.25" style="281" customWidth="1"/>
    <col min="9016" max="9017" width="11.125" style="281" customWidth="1"/>
    <col min="9018" max="9018" width="7.25" style="281" customWidth="1"/>
    <col min="9019" max="9019" width="4.75" style="281" customWidth="1"/>
    <col min="9020" max="9020" width="7.625" style="281" customWidth="1"/>
    <col min="9021" max="9021" width="12.375" style="281" customWidth="1"/>
    <col min="9022" max="9254" width="6.875" style="281"/>
    <col min="9255" max="9255" width="1.875" style="281" customWidth="1"/>
    <col min="9256" max="9256" width="16.875" style="281" customWidth="1"/>
    <col min="9257" max="9257" width="1.25" style="281" customWidth="1"/>
    <col min="9258" max="9260" width="8.5" style="281" customWidth="1"/>
    <col min="9261" max="9263" width="0" style="281" hidden="1" customWidth="1"/>
    <col min="9264" max="9264" width="0.375" style="281" customWidth="1"/>
    <col min="9265" max="9265" width="7.375" style="281" customWidth="1"/>
    <col min="9266" max="9268" width="9.375" style="281" customWidth="1"/>
    <col min="9269" max="9269" width="3.5" style="281" customWidth="1"/>
    <col min="9270" max="9271" width="7.25" style="281" customWidth="1"/>
    <col min="9272" max="9273" width="11.125" style="281" customWidth="1"/>
    <col min="9274" max="9274" width="7.25" style="281" customWidth="1"/>
    <col min="9275" max="9275" width="4.75" style="281" customWidth="1"/>
    <col min="9276" max="9276" width="7.625" style="281" customWidth="1"/>
    <col min="9277" max="9277" width="12.375" style="281" customWidth="1"/>
    <col min="9278" max="9510" width="6.875" style="281"/>
    <col min="9511" max="9511" width="1.875" style="281" customWidth="1"/>
    <col min="9512" max="9512" width="16.875" style="281" customWidth="1"/>
    <col min="9513" max="9513" width="1.25" style="281" customWidth="1"/>
    <col min="9514" max="9516" width="8.5" style="281" customWidth="1"/>
    <col min="9517" max="9519" width="0" style="281" hidden="1" customWidth="1"/>
    <col min="9520" max="9520" width="0.375" style="281" customWidth="1"/>
    <col min="9521" max="9521" width="7.375" style="281" customWidth="1"/>
    <col min="9522" max="9524" width="9.375" style="281" customWidth="1"/>
    <col min="9525" max="9525" width="3.5" style="281" customWidth="1"/>
    <col min="9526" max="9527" width="7.25" style="281" customWidth="1"/>
    <col min="9528" max="9529" width="11.125" style="281" customWidth="1"/>
    <col min="9530" max="9530" width="7.25" style="281" customWidth="1"/>
    <col min="9531" max="9531" width="4.75" style="281" customWidth="1"/>
    <col min="9532" max="9532" width="7.625" style="281" customWidth="1"/>
    <col min="9533" max="9533" width="12.375" style="281" customWidth="1"/>
    <col min="9534" max="9766" width="6.875" style="281"/>
    <col min="9767" max="9767" width="1.875" style="281" customWidth="1"/>
    <col min="9768" max="9768" width="16.875" style="281" customWidth="1"/>
    <col min="9769" max="9769" width="1.25" style="281" customWidth="1"/>
    <col min="9770" max="9772" width="8.5" style="281" customWidth="1"/>
    <col min="9773" max="9775" width="0" style="281" hidden="1" customWidth="1"/>
    <col min="9776" max="9776" width="0.375" style="281" customWidth="1"/>
    <col min="9777" max="9777" width="7.375" style="281" customWidth="1"/>
    <col min="9778" max="9780" width="9.375" style="281" customWidth="1"/>
    <col min="9781" max="9781" width="3.5" style="281" customWidth="1"/>
    <col min="9782" max="9783" width="7.25" style="281" customWidth="1"/>
    <col min="9784" max="9785" width="11.125" style="281" customWidth="1"/>
    <col min="9786" max="9786" width="7.25" style="281" customWidth="1"/>
    <col min="9787" max="9787" width="4.75" style="281" customWidth="1"/>
    <col min="9788" max="9788" width="7.625" style="281" customWidth="1"/>
    <col min="9789" max="9789" width="12.375" style="281" customWidth="1"/>
    <col min="9790" max="10022" width="6.875" style="281"/>
    <col min="10023" max="10023" width="1.875" style="281" customWidth="1"/>
    <col min="10024" max="10024" width="16.875" style="281" customWidth="1"/>
    <col min="10025" max="10025" width="1.25" style="281" customWidth="1"/>
    <col min="10026" max="10028" width="8.5" style="281" customWidth="1"/>
    <col min="10029" max="10031" width="0" style="281" hidden="1" customWidth="1"/>
    <col min="10032" max="10032" width="0.375" style="281" customWidth="1"/>
    <col min="10033" max="10033" width="7.375" style="281" customWidth="1"/>
    <col min="10034" max="10036" width="9.375" style="281" customWidth="1"/>
    <col min="10037" max="10037" width="3.5" style="281" customWidth="1"/>
    <col min="10038" max="10039" width="7.25" style="281" customWidth="1"/>
    <col min="10040" max="10041" width="11.125" style="281" customWidth="1"/>
    <col min="10042" max="10042" width="7.25" style="281" customWidth="1"/>
    <col min="10043" max="10043" width="4.75" style="281" customWidth="1"/>
    <col min="10044" max="10044" width="7.625" style="281" customWidth="1"/>
    <col min="10045" max="10045" width="12.375" style="281" customWidth="1"/>
    <col min="10046" max="10278" width="6.875" style="281"/>
    <col min="10279" max="10279" width="1.875" style="281" customWidth="1"/>
    <col min="10280" max="10280" width="16.875" style="281" customWidth="1"/>
    <col min="10281" max="10281" width="1.25" style="281" customWidth="1"/>
    <col min="10282" max="10284" width="8.5" style="281" customWidth="1"/>
    <col min="10285" max="10287" width="0" style="281" hidden="1" customWidth="1"/>
    <col min="10288" max="10288" width="0.375" style="281" customWidth="1"/>
    <col min="10289" max="10289" width="7.375" style="281" customWidth="1"/>
    <col min="10290" max="10292" width="9.375" style="281" customWidth="1"/>
    <col min="10293" max="10293" width="3.5" style="281" customWidth="1"/>
    <col min="10294" max="10295" width="7.25" style="281" customWidth="1"/>
    <col min="10296" max="10297" width="11.125" style="281" customWidth="1"/>
    <col min="10298" max="10298" width="7.25" style="281" customWidth="1"/>
    <col min="10299" max="10299" width="4.75" style="281" customWidth="1"/>
    <col min="10300" max="10300" width="7.625" style="281" customWidth="1"/>
    <col min="10301" max="10301" width="12.375" style="281" customWidth="1"/>
    <col min="10302" max="10534" width="6.875" style="281"/>
    <col min="10535" max="10535" width="1.875" style="281" customWidth="1"/>
    <col min="10536" max="10536" width="16.875" style="281" customWidth="1"/>
    <col min="10537" max="10537" width="1.25" style="281" customWidth="1"/>
    <col min="10538" max="10540" width="8.5" style="281" customWidth="1"/>
    <col min="10541" max="10543" width="0" style="281" hidden="1" customWidth="1"/>
    <col min="10544" max="10544" width="0.375" style="281" customWidth="1"/>
    <col min="10545" max="10545" width="7.375" style="281" customWidth="1"/>
    <col min="10546" max="10548" width="9.375" style="281" customWidth="1"/>
    <col min="10549" max="10549" width="3.5" style="281" customWidth="1"/>
    <col min="10550" max="10551" width="7.25" style="281" customWidth="1"/>
    <col min="10552" max="10553" width="11.125" style="281" customWidth="1"/>
    <col min="10554" max="10554" width="7.25" style="281" customWidth="1"/>
    <col min="10555" max="10555" width="4.75" style="281" customWidth="1"/>
    <col min="10556" max="10556" width="7.625" style="281" customWidth="1"/>
    <col min="10557" max="10557" width="12.375" style="281" customWidth="1"/>
    <col min="10558" max="10790" width="6.875" style="281"/>
    <col min="10791" max="10791" width="1.875" style="281" customWidth="1"/>
    <col min="10792" max="10792" width="16.875" style="281" customWidth="1"/>
    <col min="10793" max="10793" width="1.25" style="281" customWidth="1"/>
    <col min="10794" max="10796" width="8.5" style="281" customWidth="1"/>
    <col min="10797" max="10799" width="0" style="281" hidden="1" customWidth="1"/>
    <col min="10800" max="10800" width="0.375" style="281" customWidth="1"/>
    <col min="10801" max="10801" width="7.375" style="281" customWidth="1"/>
    <col min="10802" max="10804" width="9.375" style="281" customWidth="1"/>
    <col min="10805" max="10805" width="3.5" style="281" customWidth="1"/>
    <col min="10806" max="10807" width="7.25" style="281" customWidth="1"/>
    <col min="10808" max="10809" width="11.125" style="281" customWidth="1"/>
    <col min="10810" max="10810" width="7.25" style="281" customWidth="1"/>
    <col min="10811" max="10811" width="4.75" style="281" customWidth="1"/>
    <col min="10812" max="10812" width="7.625" style="281" customWidth="1"/>
    <col min="10813" max="10813" width="12.375" style="281" customWidth="1"/>
    <col min="10814" max="11046" width="6.875" style="281"/>
    <col min="11047" max="11047" width="1.875" style="281" customWidth="1"/>
    <col min="11048" max="11048" width="16.875" style="281" customWidth="1"/>
    <col min="11049" max="11049" width="1.25" style="281" customWidth="1"/>
    <col min="11050" max="11052" width="8.5" style="281" customWidth="1"/>
    <col min="11053" max="11055" width="0" style="281" hidden="1" customWidth="1"/>
    <col min="11056" max="11056" width="0.375" style="281" customWidth="1"/>
    <col min="11057" max="11057" width="7.375" style="281" customWidth="1"/>
    <col min="11058" max="11060" width="9.375" style="281" customWidth="1"/>
    <col min="11061" max="11061" width="3.5" style="281" customWidth="1"/>
    <col min="11062" max="11063" width="7.25" style="281" customWidth="1"/>
    <col min="11064" max="11065" width="11.125" style="281" customWidth="1"/>
    <col min="11066" max="11066" width="7.25" style="281" customWidth="1"/>
    <col min="11067" max="11067" width="4.75" style="281" customWidth="1"/>
    <col min="11068" max="11068" width="7.625" style="281" customWidth="1"/>
    <col min="11069" max="11069" width="12.375" style="281" customWidth="1"/>
    <col min="11070" max="11302" width="6.875" style="281"/>
    <col min="11303" max="11303" width="1.875" style="281" customWidth="1"/>
    <col min="11304" max="11304" width="16.875" style="281" customWidth="1"/>
    <col min="11305" max="11305" width="1.25" style="281" customWidth="1"/>
    <col min="11306" max="11308" width="8.5" style="281" customWidth="1"/>
    <col min="11309" max="11311" width="0" style="281" hidden="1" customWidth="1"/>
    <col min="11312" max="11312" width="0.375" style="281" customWidth="1"/>
    <col min="11313" max="11313" width="7.375" style="281" customWidth="1"/>
    <col min="11314" max="11316" width="9.375" style="281" customWidth="1"/>
    <col min="11317" max="11317" width="3.5" style="281" customWidth="1"/>
    <col min="11318" max="11319" width="7.25" style="281" customWidth="1"/>
    <col min="11320" max="11321" width="11.125" style="281" customWidth="1"/>
    <col min="11322" max="11322" width="7.25" style="281" customWidth="1"/>
    <col min="11323" max="11323" width="4.75" style="281" customWidth="1"/>
    <col min="11324" max="11324" width="7.625" style="281" customWidth="1"/>
    <col min="11325" max="11325" width="12.375" style="281" customWidth="1"/>
    <col min="11326" max="11558" width="6.875" style="281"/>
    <col min="11559" max="11559" width="1.875" style="281" customWidth="1"/>
    <col min="11560" max="11560" width="16.875" style="281" customWidth="1"/>
    <col min="11561" max="11561" width="1.25" style="281" customWidth="1"/>
    <col min="11562" max="11564" width="8.5" style="281" customWidth="1"/>
    <col min="11565" max="11567" width="0" style="281" hidden="1" customWidth="1"/>
    <col min="11568" max="11568" width="0.375" style="281" customWidth="1"/>
    <col min="11569" max="11569" width="7.375" style="281" customWidth="1"/>
    <col min="11570" max="11572" width="9.375" style="281" customWidth="1"/>
    <col min="11573" max="11573" width="3.5" style="281" customWidth="1"/>
    <col min="11574" max="11575" width="7.25" style="281" customWidth="1"/>
    <col min="11576" max="11577" width="11.125" style="281" customWidth="1"/>
    <col min="11578" max="11578" width="7.25" style="281" customWidth="1"/>
    <col min="11579" max="11579" width="4.75" style="281" customWidth="1"/>
    <col min="11580" max="11580" width="7.625" style="281" customWidth="1"/>
    <col min="11581" max="11581" width="12.375" style="281" customWidth="1"/>
    <col min="11582" max="11814" width="6.875" style="281"/>
    <col min="11815" max="11815" width="1.875" style="281" customWidth="1"/>
    <col min="11816" max="11816" width="16.875" style="281" customWidth="1"/>
    <col min="11817" max="11817" width="1.25" style="281" customWidth="1"/>
    <col min="11818" max="11820" width="8.5" style="281" customWidth="1"/>
    <col min="11821" max="11823" width="0" style="281" hidden="1" customWidth="1"/>
    <col min="11824" max="11824" width="0.375" style="281" customWidth="1"/>
    <col min="11825" max="11825" width="7.375" style="281" customWidth="1"/>
    <col min="11826" max="11828" width="9.375" style="281" customWidth="1"/>
    <col min="11829" max="11829" width="3.5" style="281" customWidth="1"/>
    <col min="11830" max="11831" width="7.25" style="281" customWidth="1"/>
    <col min="11832" max="11833" width="11.125" style="281" customWidth="1"/>
    <col min="11834" max="11834" width="7.25" style="281" customWidth="1"/>
    <col min="11835" max="11835" width="4.75" style="281" customWidth="1"/>
    <col min="11836" max="11836" width="7.625" style="281" customWidth="1"/>
    <col min="11837" max="11837" width="12.375" style="281" customWidth="1"/>
    <col min="11838" max="12070" width="6.875" style="281"/>
    <col min="12071" max="12071" width="1.875" style="281" customWidth="1"/>
    <col min="12072" max="12072" width="16.875" style="281" customWidth="1"/>
    <col min="12073" max="12073" width="1.25" style="281" customWidth="1"/>
    <col min="12074" max="12076" width="8.5" style="281" customWidth="1"/>
    <col min="12077" max="12079" width="0" style="281" hidden="1" customWidth="1"/>
    <col min="12080" max="12080" width="0.375" style="281" customWidth="1"/>
    <col min="12081" max="12081" width="7.375" style="281" customWidth="1"/>
    <col min="12082" max="12084" width="9.375" style="281" customWidth="1"/>
    <col min="12085" max="12085" width="3.5" style="281" customWidth="1"/>
    <col min="12086" max="12087" width="7.25" style="281" customWidth="1"/>
    <col min="12088" max="12089" width="11.125" style="281" customWidth="1"/>
    <col min="12090" max="12090" width="7.25" style="281" customWidth="1"/>
    <col min="12091" max="12091" width="4.75" style="281" customWidth="1"/>
    <col min="12092" max="12092" width="7.625" style="281" customWidth="1"/>
    <col min="12093" max="12093" width="12.375" style="281" customWidth="1"/>
    <col min="12094" max="12326" width="6.875" style="281"/>
    <col min="12327" max="12327" width="1.875" style="281" customWidth="1"/>
    <col min="12328" max="12328" width="16.875" style="281" customWidth="1"/>
    <col min="12329" max="12329" width="1.25" style="281" customWidth="1"/>
    <col min="12330" max="12332" width="8.5" style="281" customWidth="1"/>
    <col min="12333" max="12335" width="0" style="281" hidden="1" customWidth="1"/>
    <col min="12336" max="12336" width="0.375" style="281" customWidth="1"/>
    <col min="12337" max="12337" width="7.375" style="281" customWidth="1"/>
    <col min="12338" max="12340" width="9.375" style="281" customWidth="1"/>
    <col min="12341" max="12341" width="3.5" style="281" customWidth="1"/>
    <col min="12342" max="12343" width="7.25" style="281" customWidth="1"/>
    <col min="12344" max="12345" width="11.125" style="281" customWidth="1"/>
    <col min="12346" max="12346" width="7.25" style="281" customWidth="1"/>
    <col min="12347" max="12347" width="4.75" style="281" customWidth="1"/>
    <col min="12348" max="12348" width="7.625" style="281" customWidth="1"/>
    <col min="12349" max="12349" width="12.375" style="281" customWidth="1"/>
    <col min="12350" max="12582" width="6.875" style="281"/>
    <col min="12583" max="12583" width="1.875" style="281" customWidth="1"/>
    <col min="12584" max="12584" width="16.875" style="281" customWidth="1"/>
    <col min="12585" max="12585" width="1.25" style="281" customWidth="1"/>
    <col min="12586" max="12588" width="8.5" style="281" customWidth="1"/>
    <col min="12589" max="12591" width="0" style="281" hidden="1" customWidth="1"/>
    <col min="12592" max="12592" width="0.375" style="281" customWidth="1"/>
    <col min="12593" max="12593" width="7.375" style="281" customWidth="1"/>
    <col min="12594" max="12596" width="9.375" style="281" customWidth="1"/>
    <col min="12597" max="12597" width="3.5" style="281" customWidth="1"/>
    <col min="12598" max="12599" width="7.25" style="281" customWidth="1"/>
    <col min="12600" max="12601" width="11.125" style="281" customWidth="1"/>
    <col min="12602" max="12602" width="7.25" style="281" customWidth="1"/>
    <col min="12603" max="12603" width="4.75" style="281" customWidth="1"/>
    <col min="12604" max="12604" width="7.625" style="281" customWidth="1"/>
    <col min="12605" max="12605" width="12.375" style="281" customWidth="1"/>
    <col min="12606" max="12838" width="6.875" style="281"/>
    <col min="12839" max="12839" width="1.875" style="281" customWidth="1"/>
    <col min="12840" max="12840" width="16.875" style="281" customWidth="1"/>
    <col min="12841" max="12841" width="1.25" style="281" customWidth="1"/>
    <col min="12842" max="12844" width="8.5" style="281" customWidth="1"/>
    <col min="12845" max="12847" width="0" style="281" hidden="1" customWidth="1"/>
    <col min="12848" max="12848" width="0.375" style="281" customWidth="1"/>
    <col min="12849" max="12849" width="7.375" style="281" customWidth="1"/>
    <col min="12850" max="12852" width="9.375" style="281" customWidth="1"/>
    <col min="12853" max="12853" width="3.5" style="281" customWidth="1"/>
    <col min="12854" max="12855" width="7.25" style="281" customWidth="1"/>
    <col min="12856" max="12857" width="11.125" style="281" customWidth="1"/>
    <col min="12858" max="12858" width="7.25" style="281" customWidth="1"/>
    <col min="12859" max="12859" width="4.75" style="281" customWidth="1"/>
    <col min="12860" max="12860" width="7.625" style="281" customWidth="1"/>
    <col min="12861" max="12861" width="12.375" style="281" customWidth="1"/>
    <col min="12862" max="13094" width="6.875" style="281"/>
    <col min="13095" max="13095" width="1.875" style="281" customWidth="1"/>
    <col min="13096" max="13096" width="16.875" style="281" customWidth="1"/>
    <col min="13097" max="13097" width="1.25" style="281" customWidth="1"/>
    <col min="13098" max="13100" width="8.5" style="281" customWidth="1"/>
    <col min="13101" max="13103" width="0" style="281" hidden="1" customWidth="1"/>
    <col min="13104" max="13104" width="0.375" style="281" customWidth="1"/>
    <col min="13105" max="13105" width="7.375" style="281" customWidth="1"/>
    <col min="13106" max="13108" width="9.375" style="281" customWidth="1"/>
    <col min="13109" max="13109" width="3.5" style="281" customWidth="1"/>
    <col min="13110" max="13111" width="7.25" style="281" customWidth="1"/>
    <col min="13112" max="13113" width="11.125" style="281" customWidth="1"/>
    <col min="13114" max="13114" width="7.25" style="281" customWidth="1"/>
    <col min="13115" max="13115" width="4.75" style="281" customWidth="1"/>
    <col min="13116" max="13116" width="7.625" style="281" customWidth="1"/>
    <col min="13117" max="13117" width="12.375" style="281" customWidth="1"/>
    <col min="13118" max="13350" width="6.875" style="281"/>
    <col min="13351" max="13351" width="1.875" style="281" customWidth="1"/>
    <col min="13352" max="13352" width="16.875" style="281" customWidth="1"/>
    <col min="13353" max="13353" width="1.25" style="281" customWidth="1"/>
    <col min="13354" max="13356" width="8.5" style="281" customWidth="1"/>
    <col min="13357" max="13359" width="0" style="281" hidden="1" customWidth="1"/>
    <col min="13360" max="13360" width="0.375" style="281" customWidth="1"/>
    <col min="13361" max="13361" width="7.375" style="281" customWidth="1"/>
    <col min="13362" max="13364" width="9.375" style="281" customWidth="1"/>
    <col min="13365" max="13365" width="3.5" style="281" customWidth="1"/>
    <col min="13366" max="13367" width="7.25" style="281" customWidth="1"/>
    <col min="13368" max="13369" width="11.125" style="281" customWidth="1"/>
    <col min="13370" max="13370" width="7.25" style="281" customWidth="1"/>
    <col min="13371" max="13371" width="4.75" style="281" customWidth="1"/>
    <col min="13372" max="13372" width="7.625" style="281" customWidth="1"/>
    <col min="13373" max="13373" width="12.375" style="281" customWidth="1"/>
    <col min="13374" max="13606" width="6.875" style="281"/>
    <col min="13607" max="13607" width="1.875" style="281" customWidth="1"/>
    <col min="13608" max="13608" width="16.875" style="281" customWidth="1"/>
    <col min="13609" max="13609" width="1.25" style="281" customWidth="1"/>
    <col min="13610" max="13612" width="8.5" style="281" customWidth="1"/>
    <col min="13613" max="13615" width="0" style="281" hidden="1" customWidth="1"/>
    <col min="13616" max="13616" width="0.375" style="281" customWidth="1"/>
    <col min="13617" max="13617" width="7.375" style="281" customWidth="1"/>
    <col min="13618" max="13620" width="9.375" style="281" customWidth="1"/>
    <col min="13621" max="13621" width="3.5" style="281" customWidth="1"/>
    <col min="13622" max="13623" width="7.25" style="281" customWidth="1"/>
    <col min="13624" max="13625" width="11.125" style="281" customWidth="1"/>
    <col min="13626" max="13626" width="7.25" style="281" customWidth="1"/>
    <col min="13627" max="13627" width="4.75" style="281" customWidth="1"/>
    <col min="13628" max="13628" width="7.625" style="281" customWidth="1"/>
    <col min="13629" max="13629" width="12.375" style="281" customWidth="1"/>
    <col min="13630" max="13862" width="6.875" style="281"/>
    <col min="13863" max="13863" width="1.875" style="281" customWidth="1"/>
    <col min="13864" max="13864" width="16.875" style="281" customWidth="1"/>
    <col min="13865" max="13865" width="1.25" style="281" customWidth="1"/>
    <col min="13866" max="13868" width="8.5" style="281" customWidth="1"/>
    <col min="13869" max="13871" width="0" style="281" hidden="1" customWidth="1"/>
    <col min="13872" max="13872" width="0.375" style="281" customWidth="1"/>
    <col min="13873" max="13873" width="7.375" style="281" customWidth="1"/>
    <col min="13874" max="13876" width="9.375" style="281" customWidth="1"/>
    <col min="13877" max="13877" width="3.5" style="281" customWidth="1"/>
    <col min="13878" max="13879" width="7.25" style="281" customWidth="1"/>
    <col min="13880" max="13881" width="11.125" style="281" customWidth="1"/>
    <col min="13882" max="13882" width="7.25" style="281" customWidth="1"/>
    <col min="13883" max="13883" width="4.75" style="281" customWidth="1"/>
    <col min="13884" max="13884" width="7.625" style="281" customWidth="1"/>
    <col min="13885" max="13885" width="12.375" style="281" customWidth="1"/>
    <col min="13886" max="14118" width="6.875" style="281"/>
    <col min="14119" max="14119" width="1.875" style="281" customWidth="1"/>
    <col min="14120" max="14120" width="16.875" style="281" customWidth="1"/>
    <col min="14121" max="14121" width="1.25" style="281" customWidth="1"/>
    <col min="14122" max="14124" width="8.5" style="281" customWidth="1"/>
    <col min="14125" max="14127" width="0" style="281" hidden="1" customWidth="1"/>
    <col min="14128" max="14128" width="0.375" style="281" customWidth="1"/>
    <col min="14129" max="14129" width="7.375" style="281" customWidth="1"/>
    <col min="14130" max="14132" width="9.375" style="281" customWidth="1"/>
    <col min="14133" max="14133" width="3.5" style="281" customWidth="1"/>
    <col min="14134" max="14135" width="7.25" style="281" customWidth="1"/>
    <col min="14136" max="14137" width="11.125" style="281" customWidth="1"/>
    <col min="14138" max="14138" width="7.25" style="281" customWidth="1"/>
    <col min="14139" max="14139" width="4.75" style="281" customWidth="1"/>
    <col min="14140" max="14140" width="7.625" style="281" customWidth="1"/>
    <col min="14141" max="14141" width="12.375" style="281" customWidth="1"/>
    <col min="14142" max="14374" width="6.875" style="281"/>
    <col min="14375" max="14375" width="1.875" style="281" customWidth="1"/>
    <col min="14376" max="14376" width="16.875" style="281" customWidth="1"/>
    <col min="14377" max="14377" width="1.25" style="281" customWidth="1"/>
    <col min="14378" max="14380" width="8.5" style="281" customWidth="1"/>
    <col min="14381" max="14383" width="0" style="281" hidden="1" customWidth="1"/>
    <col min="14384" max="14384" width="0.375" style="281" customWidth="1"/>
    <col min="14385" max="14385" width="7.375" style="281" customWidth="1"/>
    <col min="14386" max="14388" width="9.375" style="281" customWidth="1"/>
    <col min="14389" max="14389" width="3.5" style="281" customWidth="1"/>
    <col min="14390" max="14391" width="7.25" style="281" customWidth="1"/>
    <col min="14392" max="14393" width="11.125" style="281" customWidth="1"/>
    <col min="14394" max="14394" width="7.25" style="281" customWidth="1"/>
    <col min="14395" max="14395" width="4.75" style="281" customWidth="1"/>
    <col min="14396" max="14396" width="7.625" style="281" customWidth="1"/>
    <col min="14397" max="14397" width="12.375" style="281" customWidth="1"/>
    <col min="14398" max="14630" width="6.875" style="281"/>
    <col min="14631" max="14631" width="1.875" style="281" customWidth="1"/>
    <col min="14632" max="14632" width="16.875" style="281" customWidth="1"/>
    <col min="14633" max="14633" width="1.25" style="281" customWidth="1"/>
    <col min="14634" max="14636" width="8.5" style="281" customWidth="1"/>
    <col min="14637" max="14639" width="0" style="281" hidden="1" customWidth="1"/>
    <col min="14640" max="14640" width="0.375" style="281" customWidth="1"/>
    <col min="14641" max="14641" width="7.375" style="281" customWidth="1"/>
    <col min="14642" max="14644" width="9.375" style="281" customWidth="1"/>
    <col min="14645" max="14645" width="3.5" style="281" customWidth="1"/>
    <col min="14646" max="14647" width="7.25" style="281" customWidth="1"/>
    <col min="14648" max="14649" width="11.125" style="281" customWidth="1"/>
    <col min="14650" max="14650" width="7.25" style="281" customWidth="1"/>
    <col min="14651" max="14651" width="4.75" style="281" customWidth="1"/>
    <col min="14652" max="14652" width="7.625" style="281" customWidth="1"/>
    <col min="14653" max="14653" width="12.375" style="281" customWidth="1"/>
    <col min="14654" max="14886" width="6.875" style="281"/>
    <col min="14887" max="14887" width="1.875" style="281" customWidth="1"/>
    <col min="14888" max="14888" width="16.875" style="281" customWidth="1"/>
    <col min="14889" max="14889" width="1.25" style="281" customWidth="1"/>
    <col min="14890" max="14892" width="8.5" style="281" customWidth="1"/>
    <col min="14893" max="14895" width="0" style="281" hidden="1" customWidth="1"/>
    <col min="14896" max="14896" width="0.375" style="281" customWidth="1"/>
    <col min="14897" max="14897" width="7.375" style="281" customWidth="1"/>
    <col min="14898" max="14900" width="9.375" style="281" customWidth="1"/>
    <col min="14901" max="14901" width="3.5" style="281" customWidth="1"/>
    <col min="14902" max="14903" width="7.25" style="281" customWidth="1"/>
    <col min="14904" max="14905" width="11.125" style="281" customWidth="1"/>
    <col min="14906" max="14906" width="7.25" style="281" customWidth="1"/>
    <col min="14907" max="14907" width="4.75" style="281" customWidth="1"/>
    <col min="14908" max="14908" width="7.625" style="281" customWidth="1"/>
    <col min="14909" max="14909" width="12.375" style="281" customWidth="1"/>
    <col min="14910" max="15142" width="6.875" style="281"/>
    <col min="15143" max="15143" width="1.875" style="281" customWidth="1"/>
    <col min="15144" max="15144" width="16.875" style="281" customWidth="1"/>
    <col min="15145" max="15145" width="1.25" style="281" customWidth="1"/>
    <col min="15146" max="15148" width="8.5" style="281" customWidth="1"/>
    <col min="15149" max="15151" width="0" style="281" hidden="1" customWidth="1"/>
    <col min="15152" max="15152" width="0.375" style="281" customWidth="1"/>
    <col min="15153" max="15153" width="7.375" style="281" customWidth="1"/>
    <col min="15154" max="15156" width="9.375" style="281" customWidth="1"/>
    <col min="15157" max="15157" width="3.5" style="281" customWidth="1"/>
    <col min="15158" max="15159" width="7.25" style="281" customWidth="1"/>
    <col min="15160" max="15161" width="11.125" style="281" customWidth="1"/>
    <col min="15162" max="15162" width="7.25" style="281" customWidth="1"/>
    <col min="15163" max="15163" width="4.75" style="281" customWidth="1"/>
    <col min="15164" max="15164" width="7.625" style="281" customWidth="1"/>
    <col min="15165" max="15165" width="12.375" style="281" customWidth="1"/>
    <col min="15166" max="15398" width="6.875" style="281"/>
    <col min="15399" max="15399" width="1.875" style="281" customWidth="1"/>
    <col min="15400" max="15400" width="16.875" style="281" customWidth="1"/>
    <col min="15401" max="15401" width="1.25" style="281" customWidth="1"/>
    <col min="15402" max="15404" width="8.5" style="281" customWidth="1"/>
    <col min="15405" max="15407" width="0" style="281" hidden="1" customWidth="1"/>
    <col min="15408" max="15408" width="0.375" style="281" customWidth="1"/>
    <col min="15409" max="15409" width="7.375" style="281" customWidth="1"/>
    <col min="15410" max="15412" width="9.375" style="281" customWidth="1"/>
    <col min="15413" max="15413" width="3.5" style="281" customWidth="1"/>
    <col min="15414" max="15415" width="7.25" style="281" customWidth="1"/>
    <col min="15416" max="15417" width="11.125" style="281" customWidth="1"/>
    <col min="15418" max="15418" width="7.25" style="281" customWidth="1"/>
    <col min="15419" max="15419" width="4.75" style="281" customWidth="1"/>
    <col min="15420" max="15420" width="7.625" style="281" customWidth="1"/>
    <col min="15421" max="15421" width="12.375" style="281" customWidth="1"/>
    <col min="15422" max="15654" width="6.875" style="281"/>
    <col min="15655" max="15655" width="1.875" style="281" customWidth="1"/>
    <col min="15656" max="15656" width="16.875" style="281" customWidth="1"/>
    <col min="15657" max="15657" width="1.25" style="281" customWidth="1"/>
    <col min="15658" max="15660" width="8.5" style="281" customWidth="1"/>
    <col min="15661" max="15663" width="0" style="281" hidden="1" customWidth="1"/>
    <col min="15664" max="15664" width="0.375" style="281" customWidth="1"/>
    <col min="15665" max="15665" width="7.375" style="281" customWidth="1"/>
    <col min="15666" max="15668" width="9.375" style="281" customWidth="1"/>
    <col min="15669" max="15669" width="3.5" style="281" customWidth="1"/>
    <col min="15670" max="15671" width="7.25" style="281" customWidth="1"/>
    <col min="15672" max="15673" width="11.125" style="281" customWidth="1"/>
    <col min="15674" max="15674" width="7.25" style="281" customWidth="1"/>
    <col min="15675" max="15675" width="4.75" style="281" customWidth="1"/>
    <col min="15676" max="15676" width="7.625" style="281" customWidth="1"/>
    <col min="15677" max="15677" width="12.375" style="281" customWidth="1"/>
    <col min="15678" max="15910" width="6.875" style="281"/>
    <col min="15911" max="15911" width="1.875" style="281" customWidth="1"/>
    <col min="15912" max="15912" width="16.875" style="281" customWidth="1"/>
    <col min="15913" max="15913" width="1.25" style="281" customWidth="1"/>
    <col min="15914" max="15916" width="8.5" style="281" customWidth="1"/>
    <col min="15917" max="15919" width="0" style="281" hidden="1" customWidth="1"/>
    <col min="15920" max="15920" width="0.375" style="281" customWidth="1"/>
    <col min="15921" max="15921" width="7.375" style="281" customWidth="1"/>
    <col min="15922" max="15924" width="9.375" style="281" customWidth="1"/>
    <col min="15925" max="15925" width="3.5" style="281" customWidth="1"/>
    <col min="15926" max="15927" width="7.25" style="281" customWidth="1"/>
    <col min="15928" max="15929" width="11.125" style="281" customWidth="1"/>
    <col min="15930" max="15930" width="7.25" style="281" customWidth="1"/>
    <col min="15931" max="15931" width="4.75" style="281" customWidth="1"/>
    <col min="15932" max="15932" width="7.625" style="281" customWidth="1"/>
    <col min="15933" max="15933" width="12.375" style="281" customWidth="1"/>
    <col min="15934" max="16166" width="6.875" style="281"/>
    <col min="16167" max="16167" width="1.875" style="281" customWidth="1"/>
    <col min="16168" max="16168" width="16.875" style="281" customWidth="1"/>
    <col min="16169" max="16169" width="1.25" style="281" customWidth="1"/>
    <col min="16170" max="16172" width="8.5" style="281" customWidth="1"/>
    <col min="16173" max="16175" width="0" style="281" hidden="1" customWidth="1"/>
    <col min="16176" max="16176" width="0.375" style="281" customWidth="1"/>
    <col min="16177" max="16177" width="7.375" style="281" customWidth="1"/>
    <col min="16178" max="16180" width="9.375" style="281" customWidth="1"/>
    <col min="16181" max="16181" width="3.5" style="281" customWidth="1"/>
    <col min="16182" max="16183" width="7.25" style="281" customWidth="1"/>
    <col min="16184" max="16185" width="11.125" style="281" customWidth="1"/>
    <col min="16186" max="16186" width="7.25" style="281" customWidth="1"/>
    <col min="16187" max="16187" width="4.75" style="281" customWidth="1"/>
    <col min="16188" max="16188" width="7.625" style="281" customWidth="1"/>
    <col min="16189" max="16189" width="12.375" style="281" customWidth="1"/>
    <col min="16190" max="16384" width="6.875" style="281"/>
  </cols>
  <sheetData>
    <row r="1" spans="1:58" ht="6.75" customHeight="1">
      <c r="A1" s="2058"/>
      <c r="B1" s="2021"/>
      <c r="C1" s="2021"/>
      <c r="D1" s="2021"/>
      <c r="E1" s="2021"/>
      <c r="F1" s="2021"/>
      <c r="G1" s="2021"/>
      <c r="H1" s="2021"/>
      <c r="I1" s="2021"/>
      <c r="J1" s="2021"/>
      <c r="K1" s="2059"/>
      <c r="L1" s="2059"/>
      <c r="M1" s="2059"/>
      <c r="N1" s="2059"/>
      <c r="O1" s="2021"/>
      <c r="P1" s="2021"/>
      <c r="Q1" s="2021"/>
      <c r="R1" s="2021"/>
      <c r="S1" s="2021"/>
      <c r="T1" s="2021"/>
      <c r="U1" s="2021"/>
      <c r="V1" s="2021"/>
      <c r="W1" s="2021"/>
      <c r="X1" s="2021"/>
    </row>
    <row r="2" spans="1:58" ht="8.25" customHeight="1">
      <c r="A2" s="2021"/>
      <c r="B2" s="2060"/>
      <c r="C2" s="2061"/>
      <c r="D2" s="2061"/>
      <c r="E2" s="2061"/>
      <c r="F2" s="2062"/>
      <c r="G2" s="2063"/>
      <c r="H2" s="2063"/>
      <c r="I2" s="2063"/>
      <c r="J2" s="2063"/>
      <c r="K2" s="2063"/>
      <c r="L2" s="2063"/>
      <c r="M2" s="2063"/>
      <c r="N2" s="2063"/>
      <c r="O2" s="2063"/>
      <c r="P2" s="2063"/>
      <c r="Q2" s="2063"/>
      <c r="R2" s="2063"/>
      <c r="S2" s="2063"/>
      <c r="T2" s="2063"/>
      <c r="U2" s="2063"/>
      <c r="V2" s="2063"/>
      <c r="W2" s="2063"/>
      <c r="X2" s="2063"/>
      <c r="Y2" s="2062"/>
      <c r="Z2" s="2062"/>
      <c r="AA2" s="2062"/>
      <c r="AB2" s="2062"/>
      <c r="AC2" s="2062"/>
      <c r="AD2" s="2062"/>
      <c r="AE2" s="2062"/>
      <c r="AF2" s="2064"/>
      <c r="AM2" s="2065"/>
      <c r="AN2" s="2062"/>
      <c r="AO2" s="2062"/>
      <c r="AP2" s="2062"/>
      <c r="AQ2" s="2062"/>
      <c r="AR2" s="2062"/>
      <c r="AS2" s="2062"/>
      <c r="AT2" s="2062"/>
      <c r="AU2" s="2062"/>
      <c r="AV2" s="2066" t="s">
        <v>206</v>
      </c>
      <c r="AW2" s="2067"/>
      <c r="AX2" s="2068"/>
      <c r="AY2" s="2069"/>
      <c r="AZ2" s="2067"/>
      <c r="BA2" s="2067"/>
      <c r="BB2" s="2067"/>
      <c r="BC2" s="2067"/>
      <c r="BD2" s="2067"/>
      <c r="BE2" s="2067"/>
      <c r="BF2" s="2070"/>
    </row>
    <row r="3" spans="1:58" ht="21.95" customHeight="1">
      <c r="A3" s="2021"/>
      <c r="B3" s="851"/>
      <c r="C3" s="2060"/>
      <c r="D3" s="2061"/>
      <c r="E3" s="2061"/>
      <c r="F3" s="2062"/>
      <c r="G3" s="2063"/>
      <c r="H3" s="4619" t="s">
        <v>821</v>
      </c>
      <c r="I3" s="4620"/>
      <c r="J3" s="4620"/>
      <c r="K3" s="4620"/>
      <c r="L3" s="4620"/>
      <c r="M3" s="4620"/>
      <c r="N3" s="4620"/>
      <c r="O3" s="4620"/>
      <c r="P3" s="4620"/>
      <c r="Q3" s="4620"/>
      <c r="R3" s="4620"/>
      <c r="S3" s="4620"/>
      <c r="T3" s="4620"/>
      <c r="U3" s="4620"/>
      <c r="V3" s="4620"/>
      <c r="W3" s="4620"/>
      <c r="X3" s="4620"/>
      <c r="Y3" s="4620"/>
      <c r="Z3" s="4620"/>
      <c r="AA3" s="4620"/>
      <c r="AB3" s="4620"/>
      <c r="AC3" s="4620"/>
      <c r="AD3" s="4620"/>
      <c r="AE3" s="4621"/>
      <c r="AF3" s="2071"/>
      <c r="AM3" s="2072"/>
      <c r="AV3" s="2073" t="s">
        <v>82</v>
      </c>
      <c r="AW3" s="2074"/>
      <c r="AX3" s="2075"/>
      <c r="AY3" s="2076"/>
      <c r="AZ3" s="2074"/>
      <c r="BA3" s="2074"/>
      <c r="BB3" s="2074"/>
      <c r="BC3" s="2074"/>
      <c r="BD3" s="2074"/>
      <c r="BE3" s="2074"/>
      <c r="BF3" s="2077"/>
    </row>
    <row r="4" spans="1:58" ht="14.1" customHeight="1">
      <c r="A4" s="2021"/>
      <c r="B4" s="851"/>
      <c r="C4" s="851"/>
      <c r="D4" s="850"/>
      <c r="E4" s="850"/>
      <c r="G4" s="850"/>
      <c r="H4" s="4824" t="s">
        <v>819</v>
      </c>
      <c r="I4" s="4623"/>
      <c r="J4" s="4623"/>
      <c r="K4" s="4623"/>
      <c r="L4" s="4623"/>
      <c r="M4" s="4623"/>
      <c r="N4" s="4623"/>
      <c r="O4" s="4623"/>
      <c r="P4" s="4623"/>
      <c r="Q4" s="4623"/>
      <c r="R4" s="4623"/>
      <c r="S4" s="4623"/>
      <c r="T4" s="4623"/>
      <c r="U4" s="4623"/>
      <c r="V4" s="4623"/>
      <c r="W4" s="4623"/>
      <c r="X4" s="4623"/>
      <c r="Y4" s="4623"/>
      <c r="Z4" s="4623"/>
      <c r="AA4" s="4623"/>
      <c r="AB4" s="4623"/>
      <c r="AC4" s="4623"/>
      <c r="AD4" s="4623"/>
      <c r="AE4" s="4624"/>
      <c r="AF4" s="2071"/>
      <c r="AM4" s="2072"/>
      <c r="AV4" s="2073" t="s">
        <v>77</v>
      </c>
      <c r="AW4" s="2074"/>
      <c r="AX4" s="2075"/>
      <c r="AY4" s="2074"/>
      <c r="AZ4" s="2074"/>
      <c r="BA4" s="2074"/>
      <c r="BB4" s="2074"/>
      <c r="BC4" s="2074"/>
      <c r="BD4" s="2078" t="s">
        <v>76</v>
      </c>
      <c r="BE4" s="2074"/>
      <c r="BF4" s="2079"/>
    </row>
    <row r="5" spans="1:58" ht="14.1" customHeight="1">
      <c r="A5" s="2021"/>
      <c r="B5" s="851"/>
      <c r="C5" s="851"/>
      <c r="D5" s="850"/>
      <c r="E5" s="850"/>
      <c r="G5" s="850"/>
      <c r="H5" s="4824" t="s">
        <v>820</v>
      </c>
      <c r="I5" s="4623"/>
      <c r="J5" s="4623"/>
      <c r="K5" s="4623"/>
      <c r="L5" s="4623"/>
      <c r="M5" s="4623"/>
      <c r="N5" s="4623"/>
      <c r="O5" s="4623"/>
      <c r="P5" s="4623"/>
      <c r="Q5" s="4623"/>
      <c r="R5" s="4623"/>
      <c r="S5" s="4623"/>
      <c r="T5" s="4623"/>
      <c r="U5" s="4623"/>
      <c r="V5" s="4623"/>
      <c r="W5" s="4623"/>
      <c r="X5" s="4623"/>
      <c r="Y5" s="4623"/>
      <c r="Z5" s="4623"/>
      <c r="AA5" s="4623"/>
      <c r="AB5" s="4623"/>
      <c r="AC5" s="4623"/>
      <c r="AD5" s="4623"/>
      <c r="AE5" s="4624"/>
      <c r="AF5" s="2071"/>
      <c r="AM5" s="2080"/>
      <c r="AN5" s="287"/>
      <c r="AO5" s="287"/>
      <c r="AP5" s="287"/>
      <c r="AQ5" s="287"/>
      <c r="AR5" s="287"/>
      <c r="AS5" s="287"/>
      <c r="AT5" s="287"/>
      <c r="AU5" s="287"/>
      <c r="AV5" s="2081" t="s">
        <v>75</v>
      </c>
      <c r="AW5" s="2082"/>
      <c r="AX5" s="2083"/>
      <c r="AY5" s="2082"/>
      <c r="AZ5" s="2082"/>
      <c r="BA5" s="2082"/>
      <c r="BB5" s="2082"/>
      <c r="BC5" s="2082"/>
      <c r="BD5" s="2084" t="s">
        <v>1106</v>
      </c>
      <c r="BE5" s="2082"/>
      <c r="BF5" s="2085"/>
    </row>
    <row r="6" spans="1:58" ht="14.1" customHeight="1">
      <c r="A6" s="2021"/>
      <c r="B6" s="851"/>
      <c r="C6" s="851"/>
      <c r="D6" s="850"/>
      <c r="E6" s="850"/>
      <c r="G6" s="850"/>
      <c r="H6" s="4824" t="s">
        <v>830</v>
      </c>
      <c r="I6" s="4623"/>
      <c r="J6" s="4623"/>
      <c r="K6" s="4623"/>
      <c r="L6" s="4623"/>
      <c r="M6" s="4623"/>
      <c r="N6" s="4623"/>
      <c r="O6" s="4623"/>
      <c r="P6" s="4623"/>
      <c r="Q6" s="4623"/>
      <c r="R6" s="4623"/>
      <c r="S6" s="4623"/>
      <c r="T6" s="4623"/>
      <c r="U6" s="4623"/>
      <c r="V6" s="4623"/>
      <c r="W6" s="4623"/>
      <c r="X6" s="4623"/>
      <c r="Y6" s="4623"/>
      <c r="Z6" s="4623"/>
      <c r="AA6" s="4623"/>
      <c r="AB6" s="4623"/>
      <c r="AC6" s="4623"/>
      <c r="AD6" s="4623"/>
      <c r="AE6" s="4624"/>
      <c r="AF6" s="2071"/>
      <c r="AM6" s="2072"/>
      <c r="AW6" s="2086"/>
      <c r="BF6" s="2087"/>
    </row>
    <row r="7" spans="1:58" ht="14.1" customHeight="1">
      <c r="A7" s="2021"/>
      <c r="B7" s="851"/>
      <c r="C7" s="2088"/>
      <c r="D7" s="2089"/>
      <c r="E7" s="2089"/>
      <c r="F7" s="287"/>
      <c r="G7" s="2089"/>
      <c r="H7" s="4625" t="s">
        <v>827</v>
      </c>
      <c r="I7" s="4626"/>
      <c r="J7" s="4626"/>
      <c r="K7" s="4626"/>
      <c r="L7" s="4626"/>
      <c r="M7" s="4626"/>
      <c r="N7" s="4626"/>
      <c r="O7" s="4626"/>
      <c r="P7" s="4626"/>
      <c r="Q7" s="4626"/>
      <c r="R7" s="4626"/>
      <c r="S7" s="4626"/>
      <c r="T7" s="4626"/>
      <c r="U7" s="4626"/>
      <c r="V7" s="4626"/>
      <c r="W7" s="4626"/>
      <c r="X7" s="4626"/>
      <c r="Y7" s="4626"/>
      <c r="Z7" s="4626"/>
      <c r="AA7" s="4626"/>
      <c r="AB7" s="4626"/>
      <c r="AC7" s="4626"/>
      <c r="AD7" s="4626"/>
      <c r="AE7" s="4627"/>
      <c r="AF7" s="2071"/>
      <c r="AM7" s="2090" t="s">
        <v>1122</v>
      </c>
      <c r="AN7" s="2091"/>
      <c r="AO7" s="2091"/>
      <c r="AP7" s="2091"/>
      <c r="AQ7" s="2091"/>
      <c r="AR7" s="2091"/>
      <c r="AS7" s="2091"/>
      <c r="AT7" s="2091"/>
      <c r="AU7" s="2091"/>
      <c r="AV7" s="2091"/>
      <c r="AW7" s="2092"/>
      <c r="AX7" s="2091"/>
      <c r="AY7" s="2091"/>
      <c r="AZ7" s="2091"/>
      <c r="BA7" s="2091"/>
      <c r="BB7" s="2091"/>
      <c r="BC7" s="2091"/>
      <c r="BD7" s="2091"/>
      <c r="BE7" s="2091"/>
      <c r="BF7" s="2093"/>
    </row>
    <row r="8" spans="1:58" ht="8.25" hidden="1" customHeight="1">
      <c r="A8" s="2021"/>
      <c r="B8" s="2094"/>
      <c r="C8" s="1322"/>
      <c r="D8" s="1322"/>
      <c r="E8" s="1322"/>
      <c r="F8" s="1322"/>
      <c r="G8" s="2095"/>
      <c r="H8" s="1322"/>
      <c r="I8" s="1322"/>
      <c r="J8" s="1322"/>
      <c r="K8" s="2096"/>
      <c r="L8" s="2096"/>
      <c r="M8" s="2096"/>
      <c r="N8" s="2096"/>
      <c r="O8" s="2096"/>
      <c r="P8" s="2096"/>
      <c r="Q8" s="2096"/>
      <c r="R8" s="815"/>
      <c r="S8" s="815"/>
      <c r="T8" s="391"/>
      <c r="U8" s="391"/>
      <c r="V8" s="2097"/>
      <c r="W8" s="2097"/>
      <c r="X8" s="2021"/>
      <c r="AF8" s="2071"/>
      <c r="AM8" s="2098"/>
      <c r="AR8" s="2091"/>
      <c r="AS8" s="2091"/>
      <c r="AT8" s="2091"/>
      <c r="AU8" s="2091"/>
      <c r="AV8" s="2091"/>
      <c r="AW8" s="2091"/>
      <c r="AX8" s="2091"/>
      <c r="AY8" s="2091"/>
      <c r="AZ8" s="2091"/>
      <c r="BA8" s="2091"/>
      <c r="BB8" s="2091"/>
      <c r="BC8" s="2091"/>
      <c r="BD8" s="2091"/>
      <c r="BE8" s="2091"/>
      <c r="BF8" s="2099"/>
    </row>
    <row r="9" spans="1:58" ht="6" customHeight="1">
      <c r="A9" s="2021"/>
      <c r="B9" s="2100"/>
      <c r="C9" s="2101"/>
      <c r="D9" s="2101"/>
      <c r="E9" s="2101"/>
      <c r="F9" s="2101"/>
      <c r="G9" s="2101"/>
      <c r="H9" s="2101"/>
      <c r="I9" s="2101"/>
      <c r="J9" s="2101"/>
      <c r="K9" s="2101"/>
      <c r="L9" s="2101"/>
      <c r="M9" s="2101"/>
      <c r="N9" s="2101"/>
      <c r="O9" s="2101"/>
      <c r="P9" s="2101"/>
      <c r="Q9" s="2101"/>
      <c r="R9" s="2101"/>
      <c r="S9" s="2101"/>
      <c r="T9" s="2101"/>
      <c r="U9" s="2101"/>
      <c r="V9" s="2101"/>
      <c r="W9" s="2101"/>
      <c r="X9" s="2101"/>
      <c r="AF9" s="2071"/>
      <c r="AM9" s="2072"/>
      <c r="AN9" s="2102" t="s">
        <v>208</v>
      </c>
      <c r="AO9" s="4" t="s">
        <v>27</v>
      </c>
      <c r="AP9" s="2102"/>
      <c r="AQ9" s="4"/>
      <c r="AS9" s="2103"/>
      <c r="AT9" s="2104"/>
      <c r="AU9" s="2103"/>
      <c r="AZ9" s="281" t="s">
        <v>240</v>
      </c>
      <c r="BB9" s="2103"/>
      <c r="BC9" s="2103" t="s">
        <v>27</v>
      </c>
      <c r="BF9" s="2071"/>
    </row>
    <row r="10" spans="1:58" ht="18" customHeight="1">
      <c r="A10" s="2021"/>
      <c r="B10" s="2105"/>
      <c r="C10" s="4825" t="s">
        <v>1123</v>
      </c>
      <c r="D10" s="4826"/>
      <c r="E10" s="4826"/>
      <c r="F10" s="4826"/>
      <c r="G10" s="4826"/>
      <c r="H10" s="4826"/>
      <c r="I10" s="4826"/>
      <c r="J10" s="4826"/>
      <c r="K10" s="4826"/>
      <c r="L10" s="4826"/>
      <c r="M10" s="4826"/>
      <c r="N10" s="4826"/>
      <c r="O10" s="4826"/>
      <c r="P10" s="4826"/>
      <c r="Q10" s="4826"/>
      <c r="R10" s="4826"/>
      <c r="S10" s="4826"/>
      <c r="T10" s="4826"/>
      <c r="U10" s="4826"/>
      <c r="V10" s="4826"/>
      <c r="W10" s="4826"/>
      <c r="X10" s="4826"/>
      <c r="Y10" s="4826"/>
      <c r="Z10" s="4826"/>
      <c r="AA10" s="4826"/>
      <c r="AB10" s="4826"/>
      <c r="AC10" s="4826"/>
      <c r="AD10" s="4826"/>
      <c r="AE10" s="4827"/>
      <c r="AF10" s="2071"/>
      <c r="AM10" s="2072"/>
      <c r="AN10" s="2102" t="s">
        <v>1124</v>
      </c>
      <c r="AO10" s="4" t="s">
        <v>27</v>
      </c>
      <c r="AP10" s="2102"/>
      <c r="AQ10" s="4"/>
      <c r="AS10" s="2103"/>
      <c r="AT10" s="2104"/>
      <c r="AU10" s="2103"/>
      <c r="AZ10" s="281" t="s">
        <v>234</v>
      </c>
      <c r="BB10" s="2103"/>
      <c r="BC10" s="2103" t="s">
        <v>27</v>
      </c>
      <c r="BF10" s="2071"/>
    </row>
    <row r="11" spans="1:58" ht="15.95" customHeight="1">
      <c r="A11" s="2021"/>
      <c r="B11" s="2106"/>
      <c r="C11" s="4828" t="s">
        <v>1101</v>
      </c>
      <c r="D11" s="4829"/>
      <c r="E11" s="4829"/>
      <c r="F11" s="4829"/>
      <c r="G11" s="4829"/>
      <c r="H11" s="4829"/>
      <c r="I11" s="4829"/>
      <c r="J11" s="4829"/>
      <c r="K11" s="4829"/>
      <c r="L11" s="4829"/>
      <c r="M11" s="4829"/>
      <c r="N11" s="4829"/>
      <c r="O11" s="4829"/>
      <c r="P11" s="4829"/>
      <c r="Q11" s="4829"/>
      <c r="R11" s="4829"/>
      <c r="S11" s="4829"/>
      <c r="T11" s="4829"/>
      <c r="U11" s="4829"/>
      <c r="V11" s="4829"/>
      <c r="W11" s="4829"/>
      <c r="X11" s="4829"/>
      <c r="Y11" s="4829"/>
      <c r="Z11" s="4829"/>
      <c r="AA11" s="4829"/>
      <c r="AB11" s="4829"/>
      <c r="AC11" s="4829"/>
      <c r="AD11" s="4829"/>
      <c r="AE11" s="4830"/>
      <c r="AF11" s="2071"/>
      <c r="AM11" s="2072"/>
      <c r="AN11" s="2102" t="s">
        <v>210</v>
      </c>
      <c r="AO11" s="4" t="s">
        <v>27</v>
      </c>
      <c r="AP11" s="2102"/>
      <c r="AQ11" s="4"/>
      <c r="AS11" s="2103"/>
      <c r="AT11" s="2104"/>
      <c r="AU11" s="2103" t="s">
        <v>68</v>
      </c>
      <c r="AW11" s="281" t="s">
        <v>68</v>
      </c>
      <c r="AZ11" s="281" t="s">
        <v>212</v>
      </c>
      <c r="BC11" s="2107" t="s">
        <v>27</v>
      </c>
      <c r="BF11" s="2071"/>
    </row>
    <row r="12" spans="1:58" ht="6" customHeight="1">
      <c r="A12" s="2108"/>
      <c r="B12" s="2109"/>
      <c r="C12" s="2019"/>
      <c r="D12" s="2020"/>
      <c r="E12" s="2018"/>
      <c r="F12" s="2018"/>
      <c r="G12" s="2020"/>
      <c r="H12" s="2110"/>
      <c r="I12" s="2111"/>
      <c r="J12" s="2112"/>
      <c r="K12" s="2112"/>
      <c r="L12" s="2112"/>
      <c r="M12" s="2113"/>
      <c r="N12" s="2113"/>
      <c r="O12" s="2112"/>
      <c r="P12" s="2112"/>
      <c r="Q12" s="2114"/>
      <c r="R12" s="2114"/>
      <c r="S12" s="2114"/>
      <c r="T12" s="5"/>
      <c r="U12" s="2110"/>
      <c r="V12" s="2110"/>
      <c r="W12" s="2021"/>
      <c r="X12" s="2115"/>
      <c r="AF12" s="2071"/>
      <c r="AM12" s="2072"/>
      <c r="AN12" s="2102"/>
      <c r="AO12" s="2102"/>
      <c r="AP12" s="2102"/>
      <c r="AQ12" s="2102"/>
      <c r="AR12" s="2102"/>
      <c r="AS12" s="2116"/>
      <c r="AT12" s="2117"/>
      <c r="AU12" s="2116"/>
      <c r="AV12" s="2102"/>
      <c r="AW12" s="2102"/>
      <c r="AX12" s="2118"/>
      <c r="AY12" s="2118"/>
      <c r="AZ12" s="2118"/>
      <c r="BA12" s="2118"/>
      <c r="BB12" s="2119"/>
      <c r="BF12" s="2071"/>
    </row>
    <row r="13" spans="1:58" ht="17.45" customHeight="1">
      <c r="A13" s="2108"/>
      <c r="B13" s="2109"/>
      <c r="C13" s="2120" t="s">
        <v>95</v>
      </c>
      <c r="D13" s="2021"/>
      <c r="E13" s="2016"/>
      <c r="F13" s="2016"/>
      <c r="G13" s="2016"/>
      <c r="H13" s="2016"/>
      <c r="I13" s="2016"/>
      <c r="J13" s="2016"/>
      <c r="K13" s="2016"/>
      <c r="L13" s="2016"/>
      <c r="M13" s="2016"/>
      <c r="N13" s="2016"/>
      <c r="O13" s="2016"/>
      <c r="P13" s="2016"/>
      <c r="Q13" s="2016"/>
      <c r="R13" s="2016"/>
      <c r="S13" s="2016"/>
      <c r="T13" s="2016"/>
      <c r="U13" s="2016"/>
      <c r="V13" s="2016"/>
      <c r="W13" s="2016"/>
      <c r="X13" s="2016"/>
      <c r="Y13" s="2016"/>
      <c r="Z13" s="2016"/>
      <c r="AA13" s="2016"/>
      <c r="AB13" s="2016"/>
      <c r="AC13" s="2016"/>
      <c r="AD13" s="2016"/>
      <c r="AF13" s="2071"/>
      <c r="AM13" s="2072"/>
      <c r="AN13" s="2102"/>
      <c r="AO13" s="2102"/>
      <c r="AP13" s="2102"/>
      <c r="AQ13" s="2102"/>
      <c r="AR13" s="2102"/>
      <c r="AS13" s="2102"/>
      <c r="AT13" s="2118"/>
      <c r="AU13" s="2116"/>
      <c r="AX13" s="2118"/>
      <c r="AY13" s="2118"/>
      <c r="AZ13" s="2118"/>
      <c r="BA13" s="2118"/>
      <c r="BB13" s="2121"/>
      <c r="BF13" s="2071"/>
    </row>
    <row r="14" spans="1:58" ht="17.45" customHeight="1">
      <c r="A14" s="2108"/>
      <c r="B14" s="2109"/>
      <c r="C14" s="2018" t="s">
        <v>600</v>
      </c>
      <c r="D14" s="2019"/>
      <c r="E14" s="2016"/>
      <c r="F14" s="2016"/>
      <c r="G14" s="2016"/>
      <c r="H14" s="2016"/>
      <c r="I14" s="2016"/>
      <c r="J14" s="2020" t="s">
        <v>27</v>
      </c>
      <c r="K14" s="4617" t="str">
        <f>'Graph Ds CD'!K14</f>
        <v xml:space="preserve">PT Itamatra Nusantara </v>
      </c>
      <c r="L14" s="4617"/>
      <c r="M14" s="4617"/>
      <c r="N14" s="4617"/>
      <c r="O14" s="4617"/>
      <c r="P14" s="4617"/>
      <c r="Q14" s="4617"/>
      <c r="R14" s="4617"/>
      <c r="S14" s="4617"/>
      <c r="T14" s="4617"/>
      <c r="U14" s="4617"/>
      <c r="V14" s="4617"/>
      <c r="W14" s="4617"/>
      <c r="X14" s="2019" t="s">
        <v>394</v>
      </c>
      <c r="Y14" s="2016"/>
      <c r="Z14" s="2016"/>
      <c r="AA14" s="2016"/>
      <c r="AB14" s="2019" t="s">
        <v>27</v>
      </c>
      <c r="AC14" s="4617" t="s">
        <v>823</v>
      </c>
      <c r="AD14" s="4617"/>
      <c r="AF14" s="2071"/>
      <c r="AM14" s="2072"/>
      <c r="AN14" s="2102"/>
      <c r="AO14" s="2102"/>
      <c r="AP14" s="2102"/>
      <c r="AQ14" s="2102"/>
      <c r="AR14" s="2102"/>
      <c r="AS14" s="2102"/>
      <c r="AT14" s="2118"/>
      <c r="AU14" s="2119"/>
      <c r="AV14" s="2122"/>
      <c r="AW14" s="2123"/>
      <c r="AX14" s="2118"/>
      <c r="AY14" s="2118"/>
      <c r="AZ14" s="2118"/>
      <c r="BA14" s="2118"/>
      <c r="BB14" s="2124"/>
      <c r="BF14" s="2071"/>
    </row>
    <row r="15" spans="1:58" ht="17.45" customHeight="1">
      <c r="A15" s="2108"/>
      <c r="B15" s="2109"/>
      <c r="C15" s="2018" t="s">
        <v>842</v>
      </c>
      <c r="D15" s="2019"/>
      <c r="E15" s="2016"/>
      <c r="F15" s="2016"/>
      <c r="G15" s="2016"/>
      <c r="H15" s="2016"/>
      <c r="I15" s="2016"/>
      <c r="J15" s="2020" t="s">
        <v>27</v>
      </c>
      <c r="K15" s="4618" t="str">
        <f>K90</f>
        <v>hidroplogi</v>
      </c>
      <c r="L15" s="4618"/>
      <c r="M15" s="4618"/>
      <c r="N15" s="4618"/>
      <c r="O15" s="4618"/>
      <c r="P15" s="4618"/>
      <c r="Q15" s="4618"/>
      <c r="R15" s="4618"/>
      <c r="S15" s="4618"/>
      <c r="T15" s="4618"/>
      <c r="U15" s="4618"/>
      <c r="V15" s="4618"/>
      <c r="W15" s="4618"/>
      <c r="X15" s="2019" t="s">
        <v>822</v>
      </c>
      <c r="Y15" s="2016"/>
      <c r="Z15" s="2016"/>
      <c r="AA15" s="2016"/>
      <c r="AB15" s="2019" t="s">
        <v>27</v>
      </c>
      <c r="AC15" s="4618" t="str">
        <f>AC90</f>
        <v>001/PKS GQT-MGS/VIII/2025</v>
      </c>
      <c r="AD15" s="4618"/>
      <c r="AF15" s="2071"/>
      <c r="AM15" s="2072"/>
      <c r="AN15" s="2102"/>
      <c r="AO15" s="2102"/>
      <c r="AP15" s="2102"/>
      <c r="AQ15" s="2102"/>
      <c r="AR15" s="2102"/>
      <c r="AS15" s="2102"/>
      <c r="AT15" s="2118"/>
      <c r="AU15" s="2119"/>
      <c r="AV15" s="4"/>
      <c r="AW15" s="2125"/>
      <c r="AX15" s="2125"/>
      <c r="BF15" s="2071"/>
    </row>
    <row r="16" spans="1:58" ht="17.45" customHeight="1">
      <c r="A16" s="2108"/>
      <c r="B16" s="2109"/>
      <c r="C16" s="2018" t="s">
        <v>1312</v>
      </c>
      <c r="D16" s="2019"/>
      <c r="E16" s="2016"/>
      <c r="F16" s="2016"/>
      <c r="G16" s="2016"/>
      <c r="H16" s="2016"/>
      <c r="I16" s="2016"/>
      <c r="J16" s="2020" t="s">
        <v>27</v>
      </c>
      <c r="K16" s="4618" t="str">
        <f>'Cu_Multi Graph'!H14</f>
        <v>23-GQT--19-UDS-1-BH-05-0,00-0,50-100726-001</v>
      </c>
      <c r="L16" s="4618"/>
      <c r="M16" s="4618"/>
      <c r="N16" s="4618"/>
      <c r="O16" s="4618"/>
      <c r="P16" s="4618"/>
      <c r="Q16" s="4618"/>
      <c r="R16" s="4618"/>
      <c r="S16" s="4618"/>
      <c r="T16" s="4618"/>
      <c r="U16" s="4618"/>
      <c r="V16" s="4618"/>
      <c r="W16" s="4618"/>
      <c r="X16" s="2019" t="s">
        <v>395</v>
      </c>
      <c r="Y16" s="2016"/>
      <c r="Z16" s="2016"/>
      <c r="AA16" s="2016"/>
      <c r="AB16" s="2019" t="s">
        <v>27</v>
      </c>
      <c r="AC16" s="4628">
        <f>Details!B38</f>
        <v>46226</v>
      </c>
      <c r="AD16" s="4628"/>
      <c r="AF16" s="2071"/>
      <c r="AM16" s="2072"/>
      <c r="AT16" s="2091"/>
      <c r="AU16" s="2091"/>
      <c r="AV16" s="2126"/>
      <c r="AW16" s="2127"/>
      <c r="AX16" s="2091"/>
      <c r="AY16" s="2128"/>
      <c r="AZ16" s="2128"/>
      <c r="BA16" s="2128"/>
      <c r="BB16" s="2128"/>
      <c r="BF16" s="2071"/>
    </row>
    <row r="17" spans="1:58" ht="17.45" customHeight="1">
      <c r="A17" s="2108"/>
      <c r="B17" s="2109"/>
      <c r="C17" s="2018" t="s">
        <v>601</v>
      </c>
      <c r="D17" s="2019"/>
      <c r="E17" s="2016"/>
      <c r="F17" s="2016"/>
      <c r="G17" s="2016"/>
      <c r="H17" s="2016"/>
      <c r="I17" s="2016"/>
      <c r="J17" s="2020" t="s">
        <v>27</v>
      </c>
      <c r="K17" s="4617" t="str">
        <f>K92</f>
        <v>BH-05_UDS-01</v>
      </c>
      <c r="L17" s="4617"/>
      <c r="M17" s="4617"/>
      <c r="N17" s="4617"/>
      <c r="O17" s="4617"/>
      <c r="P17" s="4617"/>
      <c r="Q17" s="4617"/>
      <c r="R17" s="4617"/>
      <c r="S17" s="4617"/>
      <c r="T17" s="4617"/>
      <c r="U17" s="4617"/>
      <c r="V17" s="4617"/>
      <c r="W17" s="4617"/>
      <c r="X17" s="2019" t="s">
        <v>396</v>
      </c>
      <c r="Y17" s="2016"/>
      <c r="Z17" s="2016"/>
      <c r="AA17" s="2016"/>
      <c r="AB17" s="2019" t="s">
        <v>27</v>
      </c>
      <c r="AC17" s="4618" t="str">
        <f>AC92</f>
        <v>AS Sumartadji</v>
      </c>
      <c r="AD17" s="4618"/>
      <c r="AF17" s="2071"/>
      <c r="AM17" s="2072"/>
      <c r="AT17" s="2091"/>
      <c r="AU17" s="4"/>
      <c r="AV17" s="2126"/>
      <c r="AW17" s="2129"/>
      <c r="AX17" s="4"/>
      <c r="AY17" s="4"/>
      <c r="AZ17" s="2102"/>
      <c r="BA17" s="2102"/>
      <c r="BB17" s="4"/>
      <c r="BC17" s="2091"/>
      <c r="BD17" s="2091"/>
      <c r="BE17" s="2091"/>
      <c r="BF17" s="2071"/>
    </row>
    <row r="18" spans="1:58" ht="17.45" customHeight="1">
      <c r="A18" s="2108"/>
      <c r="B18" s="2109"/>
      <c r="C18" s="2018" t="s">
        <v>602</v>
      </c>
      <c r="D18" s="2019"/>
      <c r="E18" s="2016"/>
      <c r="F18" s="2016"/>
      <c r="G18" s="2016"/>
      <c r="H18" s="2016"/>
      <c r="I18" s="2016"/>
      <c r="J18" s="2020" t="s">
        <v>27</v>
      </c>
      <c r="K18" s="4618" t="str">
        <f>K93</f>
        <v>0,00-0,50</v>
      </c>
      <c r="L18" s="4618"/>
      <c r="M18" s="4618"/>
      <c r="N18" s="4618"/>
      <c r="O18" s="4618"/>
      <c r="P18" s="4618"/>
      <c r="Q18" s="4618"/>
      <c r="R18" s="4618"/>
      <c r="S18" s="4618"/>
      <c r="T18" s="4618"/>
      <c r="U18" s="4618"/>
      <c r="V18" s="4618"/>
      <c r="W18" s="4618"/>
      <c r="X18" s="2019" t="s">
        <v>186</v>
      </c>
      <c r="Y18" s="2016"/>
      <c r="Z18" s="2016"/>
      <c r="AA18" s="2016"/>
      <c r="AB18" s="2019" t="s">
        <v>27</v>
      </c>
      <c r="AC18" s="4618" t="str">
        <f>AC93</f>
        <v>MGS/02/VI/2026</v>
      </c>
      <c r="AD18" s="4618"/>
      <c r="AF18" s="2071"/>
      <c r="AM18" s="2072"/>
      <c r="AT18" s="2091"/>
      <c r="AU18" s="2091"/>
      <c r="AV18" s="2126"/>
      <c r="AW18" s="4"/>
      <c r="AX18" s="4"/>
      <c r="AY18" s="4"/>
      <c r="AZ18" s="2102"/>
      <c r="BA18" s="2102"/>
      <c r="BB18" s="2102"/>
      <c r="BF18" s="2071"/>
    </row>
    <row r="19" spans="1:58" ht="17.45" customHeight="1">
      <c r="A19" s="2108"/>
      <c r="B19" s="2108"/>
      <c r="C19" s="2018" t="s">
        <v>843</v>
      </c>
      <c r="D19" s="2019"/>
      <c r="E19" s="2016"/>
      <c r="F19" s="2016"/>
      <c r="G19" s="2016"/>
      <c r="H19" s="2016"/>
      <c r="I19" s="2016"/>
      <c r="J19" s="2020" t="s">
        <v>27</v>
      </c>
      <c r="K19" s="4618" t="str">
        <f>K94</f>
        <v>silty CLAY with sand</v>
      </c>
      <c r="L19" s="4618"/>
      <c r="M19" s="4618"/>
      <c r="N19" s="4618"/>
      <c r="O19" s="4618"/>
      <c r="P19" s="4618"/>
      <c r="Q19" s="4618"/>
      <c r="R19" s="4618"/>
      <c r="S19" s="4618"/>
      <c r="T19" s="4618"/>
      <c r="U19" s="4618"/>
      <c r="V19" s="4618"/>
      <c r="W19" s="4618"/>
      <c r="AD19" s="2016"/>
      <c r="AF19" s="2071"/>
      <c r="AM19" s="2072"/>
      <c r="AT19" s="2091"/>
      <c r="AU19" s="2091"/>
      <c r="AV19" s="2126"/>
      <c r="AW19" s="4"/>
      <c r="AX19" s="4"/>
      <c r="AY19" s="4"/>
      <c r="AZ19" s="4"/>
      <c r="BA19" s="4"/>
      <c r="BB19" s="2102"/>
      <c r="BF19" s="2071"/>
    </row>
    <row r="20" spans="1:58" ht="17.45" customHeight="1">
      <c r="A20" s="2108"/>
      <c r="B20" s="2108"/>
      <c r="C20" s="2018" t="s">
        <v>603</v>
      </c>
      <c r="D20" s="2019"/>
      <c r="E20" s="2016"/>
      <c r="F20" s="2016"/>
      <c r="G20" s="2016"/>
      <c r="H20" s="2016"/>
      <c r="I20" s="2016"/>
      <c r="J20" s="2020" t="s">
        <v>27</v>
      </c>
      <c r="K20" s="4618" t="str">
        <f>K95</f>
        <v>Abu-abu / Gray</v>
      </c>
      <c r="L20" s="4618"/>
      <c r="M20" s="4618"/>
      <c r="N20" s="4618"/>
      <c r="O20" s="4618"/>
      <c r="P20" s="4618"/>
      <c r="Q20" s="4618"/>
      <c r="R20" s="4618"/>
      <c r="S20" s="4618"/>
      <c r="T20" s="4618"/>
      <c r="U20" s="4618"/>
      <c r="V20" s="4618"/>
      <c r="W20" s="4618"/>
      <c r="X20" s="2016"/>
      <c r="Y20" s="2016"/>
      <c r="Z20" s="2016"/>
      <c r="AA20" s="2016"/>
      <c r="AB20" s="2016"/>
      <c r="AC20" s="2016"/>
      <c r="AD20" s="2016"/>
      <c r="AF20" s="2071"/>
      <c r="AM20" s="2072"/>
      <c r="AT20" s="2128"/>
      <c r="AU20" s="2130"/>
      <c r="AV20" s="2124"/>
      <c r="AW20" s="2121"/>
      <c r="AX20" s="2131"/>
      <c r="AY20" s="2132"/>
      <c r="AZ20" s="2102"/>
      <c r="BA20" s="2102"/>
      <c r="BB20" s="2102"/>
      <c r="BF20" s="2071"/>
    </row>
    <row r="21" spans="1:58" s="61" customFormat="1" ht="17.45" customHeight="1">
      <c r="A21" s="2133"/>
      <c r="B21" s="2133"/>
      <c r="C21" s="2018" t="s">
        <v>844</v>
      </c>
      <c r="D21" s="2021"/>
      <c r="E21" s="2016"/>
      <c r="F21" s="2016"/>
      <c r="G21" s="2016"/>
      <c r="H21" s="2016"/>
      <c r="I21" s="2016"/>
      <c r="J21" s="2021" t="s">
        <v>27</v>
      </c>
      <c r="K21" s="4618" t="str">
        <f>K96</f>
        <v>Undisturbed Sample / UDS</v>
      </c>
      <c r="L21" s="4618"/>
      <c r="M21" s="4618"/>
      <c r="N21" s="4618"/>
      <c r="O21" s="4618"/>
      <c r="P21" s="4618"/>
      <c r="Q21" s="4618"/>
      <c r="R21" s="4618"/>
      <c r="S21" s="4618"/>
      <c r="T21" s="4618"/>
      <c r="U21" s="4618"/>
      <c r="V21" s="4618"/>
      <c r="W21" s="4618"/>
      <c r="X21" s="2016"/>
      <c r="Y21" s="2016"/>
      <c r="Z21" s="2016"/>
      <c r="AA21" s="2016"/>
      <c r="AB21" s="2016"/>
      <c r="AC21" s="2016"/>
      <c r="AD21" s="2016"/>
      <c r="AE21" s="281"/>
      <c r="AF21" s="2071"/>
      <c r="AM21" s="167"/>
      <c r="AT21" s="1385"/>
      <c r="AU21" s="2134"/>
      <c r="AV21" s="2135"/>
      <c r="AW21" s="2136"/>
      <c r="AX21" s="2134"/>
      <c r="AY21" s="2136"/>
      <c r="AZ21" s="2137"/>
      <c r="BA21" s="2137"/>
      <c r="BB21" s="2137"/>
      <c r="BF21" s="172"/>
    </row>
    <row r="22" spans="1:58" ht="17.45" hidden="1" customHeight="1">
      <c r="A22" s="2108"/>
      <c r="B22" s="2108"/>
      <c r="C22" s="2024"/>
      <c r="D22" s="2024"/>
      <c r="E22" s="2024" t="str">
        <f>E97</f>
        <v>Disclaimer :</v>
      </c>
      <c r="F22" s="2024"/>
      <c r="G22" s="2024"/>
      <c r="H22" s="2024" t="str">
        <f>H97</f>
        <v>The samples were received as Undisturbed Sample / UDS and the validity of the sampling process was not verified by the laboratory.</v>
      </c>
      <c r="I22" s="2024"/>
      <c r="J22" s="2024"/>
      <c r="K22" s="2024"/>
      <c r="L22" s="2024"/>
      <c r="M22" s="2024"/>
      <c r="N22" s="2024"/>
      <c r="O22" s="2024"/>
      <c r="P22" s="2024"/>
      <c r="Q22" s="2024"/>
      <c r="R22" s="2024"/>
      <c r="S22" s="2024"/>
      <c r="T22" s="2024"/>
      <c r="U22" s="2024"/>
      <c r="V22" s="2024"/>
      <c r="W22" s="2024"/>
      <c r="X22" s="2024"/>
      <c r="Y22" s="2024"/>
      <c r="Z22" s="2024"/>
      <c r="AA22" s="2024"/>
      <c r="AB22" s="2024"/>
      <c r="AC22" s="2024"/>
      <c r="AD22" s="2024"/>
      <c r="AE22" s="61"/>
      <c r="AF22" s="172"/>
      <c r="AM22" s="2072"/>
      <c r="AT22" s="2128"/>
      <c r="AU22" s="2131"/>
      <c r="AV22" s="2138"/>
      <c r="AW22" s="2132"/>
      <c r="AX22" s="2131"/>
      <c r="AY22" s="2132"/>
      <c r="AZ22" s="2102"/>
      <c r="BA22" s="2102"/>
      <c r="BB22" s="2102"/>
      <c r="BF22" s="2071"/>
    </row>
    <row r="23" spans="1:58" ht="17.45" hidden="1" customHeight="1">
      <c r="A23" s="2108"/>
      <c r="B23" s="2108"/>
      <c r="C23" s="2015"/>
      <c r="D23" s="2015"/>
      <c r="E23" s="2015"/>
      <c r="F23" s="2015"/>
      <c r="G23" s="2015"/>
      <c r="H23" s="2015"/>
      <c r="I23" s="2015"/>
      <c r="J23" s="2015"/>
      <c r="K23" s="2015"/>
      <c r="L23" s="2015"/>
      <c r="M23" s="2015"/>
      <c r="N23" s="2015"/>
      <c r="O23" s="2015"/>
      <c r="P23" s="2015"/>
      <c r="Q23" s="2015"/>
      <c r="R23" s="2015"/>
      <c r="S23" s="2015"/>
      <c r="T23" s="2015"/>
      <c r="U23" s="2015"/>
      <c r="V23" s="2015"/>
      <c r="W23" s="2015"/>
      <c r="X23" s="2015"/>
      <c r="Y23" s="2015"/>
      <c r="Z23" s="2015"/>
      <c r="AA23" s="2015"/>
      <c r="AB23" s="2015"/>
      <c r="AC23" s="2015"/>
      <c r="AD23" s="2015"/>
      <c r="AF23" s="2071"/>
      <c r="AM23" s="2072"/>
      <c r="AT23" s="2128"/>
      <c r="AU23" s="2131"/>
      <c r="AV23" s="2138"/>
      <c r="AW23" s="2132"/>
      <c r="AX23" s="2131"/>
      <c r="AY23" s="2132"/>
      <c r="AZ23" s="2144"/>
      <c r="BA23" s="2144"/>
      <c r="BB23" s="2144"/>
      <c r="BF23" s="2071"/>
    </row>
    <row r="24" spans="1:58" ht="17.45" customHeight="1">
      <c r="A24" s="2108"/>
      <c r="B24" s="2108"/>
      <c r="C24" s="2021"/>
      <c r="D24" s="2110"/>
      <c r="E24" s="2139"/>
      <c r="F24" s="2139"/>
      <c r="G24" s="2139"/>
      <c r="H24" s="2139"/>
      <c r="I24" s="2139"/>
      <c r="J24" s="2139"/>
      <c r="K24" s="2139"/>
      <c r="L24" s="2140"/>
      <c r="M24" s="2141"/>
      <c r="N24" s="2140"/>
      <c r="O24" s="2141"/>
      <c r="P24" s="1370"/>
      <c r="Q24" s="2142"/>
      <c r="R24" s="2143"/>
      <c r="S24" s="2143"/>
      <c r="T24" s="2143"/>
      <c r="U24" s="2021"/>
      <c r="V24" s="2021"/>
      <c r="W24" s="2021"/>
      <c r="X24" s="2115"/>
      <c r="AF24" s="2071"/>
      <c r="AM24" s="2072"/>
      <c r="AT24" s="2128"/>
      <c r="AU24" s="2131"/>
      <c r="AV24" s="2138"/>
      <c r="AW24" s="2132"/>
      <c r="AX24" s="2131"/>
      <c r="AY24" s="2132"/>
      <c r="AZ24" s="2123"/>
      <c r="BA24" s="2123"/>
      <c r="BB24" s="2123"/>
      <c r="BF24" s="2071"/>
    </row>
    <row r="25" spans="1:58" ht="17.45" customHeight="1">
      <c r="A25" s="2108"/>
      <c r="B25" s="2108"/>
      <c r="C25" s="2021"/>
      <c r="D25" s="2110"/>
      <c r="E25" s="2139"/>
      <c r="F25" s="2139"/>
      <c r="G25" s="2139"/>
      <c r="H25" s="2139"/>
      <c r="I25" s="2139"/>
      <c r="J25" s="2139"/>
      <c r="K25" s="2139"/>
      <c r="L25" s="2140"/>
      <c r="M25" s="2141"/>
      <c r="N25" s="2140"/>
      <c r="O25" s="2141"/>
      <c r="P25" s="1017"/>
      <c r="Q25" s="2142"/>
      <c r="R25" s="2143"/>
      <c r="S25" s="2143"/>
      <c r="T25" s="2143"/>
      <c r="U25" s="2021"/>
      <c r="V25" s="2021"/>
      <c r="W25" s="2021"/>
      <c r="X25" s="2115"/>
      <c r="AF25" s="2071"/>
      <c r="AM25" s="2072"/>
      <c r="AT25" s="2128"/>
      <c r="AU25" s="2131"/>
      <c r="AV25" s="2138"/>
      <c r="AW25" s="2132"/>
      <c r="AX25" s="2131"/>
      <c r="AY25" s="2132"/>
      <c r="BF25" s="2071"/>
    </row>
    <row r="26" spans="1:58" ht="17.45" customHeight="1">
      <c r="A26" s="2108"/>
      <c r="B26" s="2108"/>
      <c r="C26" s="2021"/>
      <c r="D26" s="2110"/>
      <c r="E26" s="2139"/>
      <c r="F26" s="2139"/>
      <c r="G26" s="2139"/>
      <c r="H26" s="2139"/>
      <c r="I26" s="2139"/>
      <c r="J26" s="2139"/>
      <c r="K26" s="2139"/>
      <c r="L26" s="1017"/>
      <c r="M26" s="2141"/>
      <c r="N26" s="2140"/>
      <c r="O26" s="2141"/>
      <c r="P26" s="1017"/>
      <c r="Q26" s="2142"/>
      <c r="R26" s="2021"/>
      <c r="S26" s="2021"/>
      <c r="T26" s="2143"/>
      <c r="U26" s="2021"/>
      <c r="V26" s="2021"/>
      <c r="W26" s="2021"/>
      <c r="X26" s="2115"/>
      <c r="AF26" s="2071"/>
      <c r="AM26" s="2072"/>
      <c r="AT26" s="2128"/>
      <c r="AU26" s="2131"/>
      <c r="AV26" s="2138"/>
      <c r="AW26" s="2132"/>
      <c r="AX26" s="2131"/>
      <c r="AY26" s="2132"/>
      <c r="BF26" s="2071"/>
    </row>
    <row r="27" spans="1:58" ht="17.45" customHeight="1">
      <c r="A27" s="2108"/>
      <c r="B27" s="2108"/>
      <c r="C27" s="2021"/>
      <c r="D27" s="2110"/>
      <c r="E27" s="2139"/>
      <c r="F27" s="2139"/>
      <c r="G27" s="2139"/>
      <c r="H27" s="2139"/>
      <c r="I27" s="2139"/>
      <c r="J27" s="2139"/>
      <c r="K27" s="2139"/>
      <c r="L27" s="2145"/>
      <c r="M27" s="2141"/>
      <c r="N27" s="2140"/>
      <c r="O27" s="2141"/>
      <c r="P27" s="1017"/>
      <c r="Q27" s="2142"/>
      <c r="R27" s="2021"/>
      <c r="S27" s="2143"/>
      <c r="T27" s="2143"/>
      <c r="U27" s="2021"/>
      <c r="V27" s="2021"/>
      <c r="W27" s="2021"/>
      <c r="X27" s="2115"/>
      <c r="AF27" s="2071"/>
      <c r="AM27" s="2072"/>
      <c r="AT27" s="2128"/>
      <c r="AU27" s="2131"/>
      <c r="AV27" s="2138"/>
      <c r="AW27" s="2132"/>
      <c r="AX27" s="2131"/>
      <c r="AY27" s="2132"/>
      <c r="BF27" s="2071"/>
    </row>
    <row r="28" spans="1:58" ht="17.45" customHeight="1">
      <c r="A28" s="2108"/>
      <c r="B28" s="2108"/>
      <c r="C28" s="2021"/>
      <c r="D28" s="2110"/>
      <c r="E28" s="2139"/>
      <c r="F28" s="2139"/>
      <c r="G28" s="2139"/>
      <c r="H28" s="2139"/>
      <c r="I28" s="2139"/>
      <c r="J28" s="2139"/>
      <c r="K28" s="2139"/>
      <c r="L28" s="2140"/>
      <c r="M28" s="2140"/>
      <c r="N28" s="2140"/>
      <c r="O28" s="2140"/>
      <c r="P28" s="2140"/>
      <c r="Q28" s="2140"/>
      <c r="R28" s="2021"/>
      <c r="S28" s="2021"/>
      <c r="T28" s="2021"/>
      <c r="U28" s="2021"/>
      <c r="V28" s="2021"/>
      <c r="W28" s="2021"/>
      <c r="X28" s="2115"/>
      <c r="AF28" s="2071"/>
      <c r="AM28" s="2072"/>
      <c r="AT28" s="2128"/>
      <c r="AU28" s="2131"/>
      <c r="AV28" s="2138"/>
      <c r="AW28" s="2132"/>
      <c r="AX28" s="2131"/>
      <c r="AY28" s="2132"/>
      <c r="BF28" s="2071"/>
    </row>
    <row r="29" spans="1:58" ht="17.45" customHeight="1">
      <c r="A29" s="2108"/>
      <c r="B29" s="2108"/>
      <c r="C29" s="2021"/>
      <c r="D29" s="2110"/>
      <c r="E29" s="2139"/>
      <c r="F29" s="2139"/>
      <c r="G29" s="2139"/>
      <c r="H29" s="2139"/>
      <c r="I29" s="2139"/>
      <c r="J29" s="2139"/>
      <c r="K29" s="2139"/>
      <c r="L29" s="2140"/>
      <c r="M29" s="2141"/>
      <c r="N29" s="2140"/>
      <c r="O29" s="2141"/>
      <c r="P29" s="1017"/>
      <c r="Q29" s="2141"/>
      <c r="R29" s="2021"/>
      <c r="S29" s="2143"/>
      <c r="T29" s="960"/>
      <c r="U29" s="960"/>
      <c r="V29" s="2021"/>
      <c r="W29" s="2021"/>
      <c r="X29" s="2021"/>
      <c r="AF29" s="2071"/>
      <c r="AM29" s="2072"/>
      <c r="AT29" s="2128"/>
      <c r="AU29" s="2131"/>
      <c r="AV29" s="2138"/>
      <c r="AW29" s="2132"/>
      <c r="AX29" s="2131"/>
      <c r="AY29" s="2132"/>
      <c r="BF29" s="2071"/>
    </row>
    <row r="30" spans="1:58" ht="17.45" customHeight="1">
      <c r="A30" s="2108"/>
      <c r="B30" s="2108"/>
      <c r="C30" s="2021"/>
      <c r="D30" s="2110"/>
      <c r="E30" s="2139"/>
      <c r="F30" s="2139"/>
      <c r="G30" s="2139"/>
      <c r="H30" s="2139"/>
      <c r="I30" s="2139"/>
      <c r="J30" s="2139"/>
      <c r="K30" s="2139"/>
      <c r="L30" s="1017"/>
      <c r="M30" s="2141"/>
      <c r="N30" s="2140"/>
      <c r="O30" s="2141"/>
      <c r="P30" s="1017"/>
      <c r="Q30" s="2141"/>
      <c r="R30" s="2021"/>
      <c r="S30" s="2021"/>
      <c r="T30" s="960"/>
      <c r="U30" s="960"/>
      <c r="V30" s="2021"/>
      <c r="W30" s="2021"/>
      <c r="X30" s="2021"/>
      <c r="AF30" s="2071"/>
      <c r="AM30" s="2072"/>
      <c r="AT30" s="2128"/>
      <c r="AU30" s="2131"/>
      <c r="AV30" s="2138"/>
      <c r="AW30" s="2132"/>
      <c r="AX30" s="2131"/>
      <c r="AY30" s="2132"/>
      <c r="BF30" s="2071"/>
    </row>
    <row r="31" spans="1:58" ht="17.45" customHeight="1">
      <c r="A31" s="2108"/>
      <c r="B31" s="2108"/>
      <c r="C31" s="2021"/>
      <c r="D31" s="2110"/>
      <c r="E31" s="2139"/>
      <c r="F31" s="2139"/>
      <c r="G31" s="2139"/>
      <c r="H31" s="2139"/>
      <c r="I31" s="2139"/>
      <c r="J31" s="2146"/>
      <c r="K31" s="2139"/>
      <c r="L31" s="1017"/>
      <c r="M31" s="2141"/>
      <c r="N31" s="2140"/>
      <c r="O31" s="2141"/>
      <c r="P31" s="1017"/>
      <c r="Q31" s="2141"/>
      <c r="R31" s="2021"/>
      <c r="S31" s="2021"/>
      <c r="T31" s="960"/>
      <c r="U31" s="960"/>
      <c r="V31" s="2021"/>
      <c r="W31" s="2021"/>
      <c r="X31" s="2021"/>
      <c r="AF31" s="2071"/>
      <c r="AM31" s="2072"/>
      <c r="AT31" s="2128"/>
      <c r="AU31" s="2131"/>
      <c r="AV31" s="2138"/>
      <c r="AW31" s="2132"/>
      <c r="AX31" s="2131"/>
      <c r="AY31" s="2132"/>
      <c r="BF31" s="2071"/>
    </row>
    <row r="32" spans="1:58" ht="17.45" customHeight="1">
      <c r="A32" s="2108"/>
      <c r="B32" s="2108"/>
      <c r="C32" s="2021"/>
      <c r="D32" s="2110"/>
      <c r="E32" s="2139"/>
      <c r="F32" s="2139"/>
      <c r="G32" s="2139"/>
      <c r="H32" s="2139"/>
      <c r="I32" s="2139"/>
      <c r="J32" s="2139"/>
      <c r="K32" s="2139"/>
      <c r="L32" s="1017"/>
      <c r="M32" s="1017"/>
      <c r="N32" s="2140"/>
      <c r="O32" s="2140"/>
      <c r="P32" s="1017"/>
      <c r="Q32" s="1017"/>
      <c r="R32" s="2021"/>
      <c r="S32" s="2021"/>
      <c r="T32" s="960"/>
      <c r="U32" s="960"/>
      <c r="V32" s="2021"/>
      <c r="W32" s="2021"/>
      <c r="X32" s="2021"/>
      <c r="AF32" s="2071"/>
      <c r="AM32" s="2072"/>
      <c r="AT32" s="2128"/>
      <c r="AU32" s="2131"/>
      <c r="AV32" s="2138"/>
      <c r="AW32" s="2132"/>
      <c r="AX32" s="2131"/>
      <c r="AY32" s="2132"/>
      <c r="BF32" s="2071"/>
    </row>
    <row r="33" spans="1:67" ht="17.45" customHeight="1">
      <c r="A33" s="2108"/>
      <c r="B33" s="2108"/>
      <c r="C33" s="2021"/>
      <c r="D33" s="2110"/>
      <c r="E33" s="2139"/>
      <c r="F33" s="2139"/>
      <c r="G33" s="2139"/>
      <c r="H33" s="2139"/>
      <c r="I33" s="2139"/>
      <c r="J33" s="2139"/>
      <c r="K33" s="2139"/>
      <c r="L33" s="1017"/>
      <c r="M33" s="2141"/>
      <c r="N33" s="2140"/>
      <c r="O33" s="2141"/>
      <c r="P33" s="1017"/>
      <c r="Q33" s="2141"/>
      <c r="R33" s="2021"/>
      <c r="S33" s="2021"/>
      <c r="T33" s="960"/>
      <c r="U33" s="960"/>
      <c r="V33" s="2021"/>
      <c r="W33" s="2021"/>
      <c r="X33" s="2021"/>
      <c r="AF33" s="2071"/>
      <c r="AM33" s="2072"/>
      <c r="AT33" s="2128"/>
      <c r="AU33" s="2131"/>
      <c r="AV33" s="2138"/>
      <c r="AW33" s="2132"/>
      <c r="AX33" s="2131"/>
      <c r="AY33" s="2132"/>
      <c r="BF33" s="2071"/>
    </row>
    <row r="34" spans="1:67" ht="17.45" customHeight="1">
      <c r="A34" s="2108"/>
      <c r="B34" s="2108"/>
      <c r="C34" s="2021"/>
      <c r="D34" s="2110"/>
      <c r="E34" s="2139"/>
      <c r="F34" s="2139"/>
      <c r="G34" s="2139"/>
      <c r="H34" s="2139"/>
      <c r="I34" s="2139"/>
      <c r="J34" s="2147"/>
      <c r="K34" s="2139"/>
      <c r="L34" s="1370"/>
      <c r="M34" s="2141"/>
      <c r="N34" s="2140"/>
      <c r="O34" s="2141"/>
      <c r="P34" s="1370"/>
      <c r="Q34" s="2141"/>
      <c r="R34" s="2021"/>
      <c r="S34" s="2021"/>
      <c r="T34" s="960"/>
      <c r="U34" s="960"/>
      <c r="V34" s="2021"/>
      <c r="W34" s="2021"/>
      <c r="X34" s="2021"/>
      <c r="AF34" s="2071"/>
      <c r="AM34" s="2072"/>
      <c r="AT34" s="2128"/>
      <c r="AU34" s="2131"/>
      <c r="AV34" s="2138"/>
      <c r="AW34" s="2132"/>
      <c r="AX34" s="2131"/>
      <c r="AY34" s="2132"/>
      <c r="BF34" s="2071"/>
    </row>
    <row r="35" spans="1:67" ht="17.45" customHeight="1">
      <c r="A35" s="2108"/>
      <c r="B35" s="2108"/>
      <c r="C35" s="2021"/>
      <c r="D35" s="2110"/>
      <c r="E35" s="2139"/>
      <c r="F35" s="2139"/>
      <c r="G35" s="2139"/>
      <c r="H35" s="2139"/>
      <c r="I35" s="2139"/>
      <c r="J35" s="2139"/>
      <c r="K35" s="2139"/>
      <c r="L35" s="1370"/>
      <c r="M35" s="1370"/>
      <c r="N35" s="2140"/>
      <c r="O35" s="2140"/>
      <c r="P35" s="1370"/>
      <c r="Q35" s="1370"/>
      <c r="R35" s="2021"/>
      <c r="S35" s="2021"/>
      <c r="T35" s="967"/>
      <c r="U35" s="967"/>
      <c r="V35" s="2021"/>
      <c r="W35" s="2021"/>
      <c r="X35" s="2021"/>
      <c r="AF35" s="2071"/>
      <c r="AM35" s="2072"/>
      <c r="AT35" s="2128"/>
      <c r="AU35" s="2131"/>
      <c r="AV35" s="2138"/>
      <c r="AW35" s="2132"/>
      <c r="AX35" s="2131"/>
      <c r="AY35" s="2132"/>
      <c r="BC35" s="2125"/>
      <c r="BD35" s="2125"/>
      <c r="BE35" s="2125"/>
      <c r="BF35" s="2071"/>
    </row>
    <row r="36" spans="1:67" ht="17.45" customHeight="1">
      <c r="A36" s="2108"/>
      <c r="B36" s="2108"/>
      <c r="C36" s="2021"/>
      <c r="D36" s="2110"/>
      <c r="E36" s="2139"/>
      <c r="F36" s="2139"/>
      <c r="G36" s="2139"/>
      <c r="H36" s="2139"/>
      <c r="I36" s="2139"/>
      <c r="J36" s="2139"/>
      <c r="K36" s="2148"/>
      <c r="L36" s="1370"/>
      <c r="M36" s="2141"/>
      <c r="N36" s="2140"/>
      <c r="O36" s="2141"/>
      <c r="P36" s="1370"/>
      <c r="Q36" s="2141"/>
      <c r="R36" s="2021"/>
      <c r="S36" s="2021"/>
      <c r="T36" s="960"/>
      <c r="U36" s="960"/>
      <c r="V36" s="2021"/>
      <c r="W36" s="2021"/>
      <c r="X36" s="2021"/>
      <c r="AF36" s="2071"/>
      <c r="AM36" s="2072"/>
      <c r="AT36" s="2149"/>
      <c r="AU36" s="2131"/>
      <c r="AV36" s="2138"/>
      <c r="AW36" s="2132"/>
      <c r="AX36" s="2131"/>
      <c r="AY36" s="2132"/>
      <c r="BF36" s="2071"/>
    </row>
    <row r="37" spans="1:67" ht="17.45" customHeight="1">
      <c r="A37" s="2108"/>
      <c r="B37" s="2108"/>
      <c r="C37" s="2021"/>
      <c r="D37" s="2110"/>
      <c r="E37" s="2139"/>
      <c r="F37" s="2139"/>
      <c r="G37" s="2139"/>
      <c r="H37" s="2139"/>
      <c r="I37" s="2139"/>
      <c r="J37" s="2139"/>
      <c r="K37" s="2139"/>
      <c r="L37" s="1370"/>
      <c r="M37" s="2141"/>
      <c r="N37" s="1370"/>
      <c r="O37" s="2141"/>
      <c r="P37" s="1370"/>
      <c r="Q37" s="2141"/>
      <c r="R37" s="2021"/>
      <c r="S37" s="2021"/>
      <c r="T37" s="960"/>
      <c r="U37" s="973"/>
      <c r="V37" s="2021"/>
      <c r="W37" s="2021"/>
      <c r="X37" s="2021"/>
      <c r="AF37" s="2071"/>
      <c r="AM37" s="2072"/>
      <c r="AT37" s="2128"/>
      <c r="AU37" s="2131"/>
      <c r="AV37" s="2138"/>
      <c r="AW37" s="2132"/>
      <c r="AX37" s="2131"/>
      <c r="AY37" s="2132"/>
      <c r="BF37" s="2071"/>
    </row>
    <row r="38" spans="1:67" ht="17.45" customHeight="1">
      <c r="A38" s="2108"/>
      <c r="B38" s="2108"/>
      <c r="C38" s="2021"/>
      <c r="D38" s="2110"/>
      <c r="E38" s="2139"/>
      <c r="F38" s="2139"/>
      <c r="G38" s="2139"/>
      <c r="H38" s="2139"/>
      <c r="I38" s="2139"/>
      <c r="J38" s="2139"/>
      <c r="K38" s="2139"/>
      <c r="L38" s="1370"/>
      <c r="M38" s="2141"/>
      <c r="N38" s="1370"/>
      <c r="O38" s="2141"/>
      <c r="P38" s="1370"/>
      <c r="Q38" s="2141"/>
      <c r="R38" s="2021"/>
      <c r="S38" s="2021"/>
      <c r="T38" s="960"/>
      <c r="U38" s="975"/>
      <c r="V38" s="2021"/>
      <c r="W38" s="2021"/>
      <c r="X38" s="2021"/>
      <c r="AF38" s="2071"/>
      <c r="AM38" s="2072"/>
      <c r="AT38" s="2128"/>
      <c r="AU38" s="2131"/>
      <c r="AV38" s="2138"/>
      <c r="AW38" s="2132"/>
      <c r="AX38" s="2131"/>
      <c r="AY38" s="2132"/>
      <c r="BF38" s="2071"/>
    </row>
    <row r="39" spans="1:67" ht="17.45" customHeight="1">
      <c r="A39" s="2108"/>
      <c r="B39" s="2108"/>
      <c r="C39" s="2021"/>
      <c r="D39" s="2139"/>
      <c r="E39" s="2139"/>
      <c r="F39" s="2139"/>
      <c r="G39" s="2139"/>
      <c r="H39" s="2139"/>
      <c r="I39" s="2139"/>
      <c r="J39" s="2139"/>
      <c r="K39" s="2139"/>
      <c r="L39" s="1370"/>
      <c r="M39" s="2141"/>
      <c r="N39" s="1370"/>
      <c r="O39" s="2141"/>
      <c r="P39" s="1370"/>
      <c r="Q39" s="2141"/>
      <c r="R39" s="2021"/>
      <c r="S39" s="2021"/>
      <c r="T39" s="960"/>
      <c r="U39" s="960"/>
      <c r="V39" s="2021"/>
      <c r="W39" s="2021"/>
      <c r="X39" s="2021"/>
      <c r="AF39" s="2071"/>
      <c r="AM39" s="2072"/>
      <c r="AT39" s="2128"/>
      <c r="AU39" s="2131"/>
      <c r="AV39" s="2138"/>
      <c r="AW39" s="2132"/>
      <c r="AX39" s="2131"/>
      <c r="AY39" s="2132"/>
      <c r="BF39" s="2071"/>
    </row>
    <row r="40" spans="1:67" ht="17.45" customHeight="1">
      <c r="A40" s="2108"/>
      <c r="B40" s="2108"/>
      <c r="C40" s="2021"/>
      <c r="D40" s="2021"/>
      <c r="E40" s="2021"/>
      <c r="F40" s="2021"/>
      <c r="G40" s="2021"/>
      <c r="H40" s="2143"/>
      <c r="I40" s="2021"/>
      <c r="J40" s="2021"/>
      <c r="K40" s="2059"/>
      <c r="L40" s="2059"/>
      <c r="M40" s="2059"/>
      <c r="N40" s="2059"/>
      <c r="O40" s="2021"/>
      <c r="P40" s="2021"/>
      <c r="Q40" s="2021"/>
      <c r="R40" s="2021"/>
      <c r="S40" s="2021"/>
      <c r="T40" s="967"/>
      <c r="U40" s="960"/>
      <c r="V40" s="2021"/>
      <c r="W40" s="2021"/>
      <c r="X40" s="2021"/>
      <c r="AF40" s="2071"/>
      <c r="AM40" s="2072"/>
      <c r="AT40" s="2128"/>
      <c r="AU40" s="2131"/>
      <c r="AV40" s="2138"/>
      <c r="AW40" s="2132"/>
      <c r="AX40" s="2150"/>
      <c r="AY40" s="2132"/>
      <c r="BF40" s="2071"/>
    </row>
    <row r="41" spans="1:67" ht="17.45" customHeight="1">
      <c r="A41" s="2108"/>
      <c r="B41" s="2108"/>
      <c r="C41" s="2021"/>
      <c r="D41" s="2021"/>
      <c r="E41" s="2021"/>
      <c r="F41" s="2021"/>
      <c r="G41" s="2021"/>
      <c r="H41" s="2143"/>
      <c r="I41" s="2021"/>
      <c r="J41" s="2021"/>
      <c r="K41" s="2059"/>
      <c r="L41" s="2059"/>
      <c r="M41" s="2059"/>
      <c r="N41" s="2059"/>
      <c r="O41" s="2021"/>
      <c r="P41" s="2021"/>
      <c r="Q41" s="2021"/>
      <c r="R41" s="2021"/>
      <c r="S41" s="2021"/>
      <c r="T41" s="967"/>
      <c r="U41" s="960"/>
      <c r="V41" s="2021"/>
      <c r="W41" s="2021"/>
      <c r="X41" s="2021"/>
      <c r="AF41" s="2071"/>
      <c r="AM41" s="2072"/>
      <c r="AT41" s="2128"/>
      <c r="AU41" s="2131"/>
      <c r="AV41" s="2138"/>
      <c r="AW41" s="2132"/>
      <c r="AX41" s="2150"/>
      <c r="AY41" s="2132"/>
      <c r="BF41" s="2071"/>
      <c r="BH41" s="2091" t="s">
        <v>1125</v>
      </c>
      <c r="BI41" s="2091"/>
      <c r="BJ41" s="4810" t="s">
        <v>1126</v>
      </c>
      <c r="BK41" s="4810"/>
      <c r="BL41" s="2128"/>
      <c r="BM41" s="2131"/>
      <c r="BN41" s="2131"/>
      <c r="BO41" s="2103"/>
    </row>
    <row r="42" spans="1:67" ht="17.45" customHeight="1">
      <c r="A42" s="2108"/>
      <c r="B42" s="2108"/>
      <c r="C42" s="2021"/>
      <c r="D42" s="2021"/>
      <c r="E42" s="2021"/>
      <c r="F42" s="2021"/>
      <c r="G42" s="2021"/>
      <c r="H42" s="2143"/>
      <c r="I42" s="2021"/>
      <c r="J42" s="2021"/>
      <c r="K42" s="2059"/>
      <c r="L42" s="2059"/>
      <c r="M42" s="2059"/>
      <c r="N42" s="2059"/>
      <c r="O42" s="2021"/>
      <c r="P42" s="2021"/>
      <c r="Q42" s="2021"/>
      <c r="R42" s="2021"/>
      <c r="S42" s="2021"/>
      <c r="T42" s="977"/>
      <c r="U42" s="967"/>
      <c r="V42" s="967"/>
      <c r="W42" s="2021"/>
      <c r="X42" s="2021"/>
      <c r="AF42" s="2071"/>
      <c r="AM42" s="2072"/>
      <c r="AT42" s="2128"/>
      <c r="AU42" s="2131"/>
      <c r="AV42" s="2138"/>
      <c r="AW42" s="2132"/>
      <c r="AX42" s="2150"/>
      <c r="AY42" s="2132"/>
      <c r="BF42" s="2071"/>
      <c r="BH42" s="2151">
        <v>14</v>
      </c>
      <c r="BI42" s="4">
        <v>0</v>
      </c>
      <c r="BJ42" s="2152">
        <v>4</v>
      </c>
      <c r="BK42" s="2153">
        <v>0</v>
      </c>
      <c r="BL42" s="2128"/>
      <c r="BM42" s="2131"/>
      <c r="BO42" s="2103"/>
    </row>
    <row r="43" spans="1:67" ht="17.45" customHeight="1">
      <c r="A43" s="2108"/>
      <c r="B43" s="2108"/>
      <c r="C43" s="2021"/>
      <c r="D43" s="2021"/>
      <c r="E43" s="2021"/>
      <c r="F43" s="2021"/>
      <c r="G43" s="2021"/>
      <c r="H43" s="2143"/>
      <c r="I43" s="2021"/>
      <c r="J43" s="2021"/>
      <c r="K43" s="2059"/>
      <c r="L43" s="2059"/>
      <c r="M43" s="2059"/>
      <c r="N43" s="2059"/>
      <c r="O43" s="2021"/>
      <c r="P43" s="2021"/>
      <c r="Q43" s="2021"/>
      <c r="R43" s="2021"/>
      <c r="S43" s="2021"/>
      <c r="T43" s="977"/>
      <c r="U43" s="967"/>
      <c r="V43" s="967"/>
      <c r="W43" s="2021"/>
      <c r="X43" s="2021"/>
      <c r="AF43" s="2071"/>
      <c r="AM43" s="2072"/>
      <c r="AT43" s="2128"/>
      <c r="AU43" s="2131"/>
      <c r="AV43" s="2138"/>
      <c r="AW43" s="2132"/>
      <c r="AX43" s="2150"/>
      <c r="AY43" s="2132"/>
      <c r="BF43" s="2071"/>
      <c r="BH43" s="2151">
        <v>125</v>
      </c>
      <c r="BI43" s="2153">
        <f>BI53+50</f>
        <v>289.46586002739338</v>
      </c>
      <c r="BJ43" s="2152">
        <v>110</v>
      </c>
      <c r="BK43" s="2153">
        <f>BI43</f>
        <v>289.46586002739338</v>
      </c>
      <c r="BL43" s="2128"/>
      <c r="BM43" s="2154"/>
    </row>
    <row r="44" spans="1:67" ht="17.45" customHeight="1">
      <c r="A44" s="2108"/>
      <c r="B44" s="2108"/>
      <c r="C44" s="2021"/>
      <c r="D44" s="2021"/>
      <c r="E44" s="2021"/>
      <c r="F44" s="2021"/>
      <c r="G44" s="2021"/>
      <c r="H44" s="2143"/>
      <c r="I44" s="2021"/>
      <c r="J44" s="2021"/>
      <c r="K44" s="2059"/>
      <c r="L44" s="2059"/>
      <c r="M44" s="2059"/>
      <c r="N44" s="2059"/>
      <c r="O44" s="2021"/>
      <c r="P44" s="2021"/>
      <c r="Q44" s="2021"/>
      <c r="R44" s="2021"/>
      <c r="S44" s="2021"/>
      <c r="T44" s="977"/>
      <c r="U44" s="967"/>
      <c r="V44" s="967"/>
      <c r="W44" s="2021"/>
      <c r="X44" s="2021"/>
      <c r="AF44" s="2071"/>
      <c r="AM44" s="2072"/>
      <c r="AT44" s="2128"/>
      <c r="AU44" s="2131"/>
      <c r="AV44" s="2138"/>
      <c r="AW44" s="2132"/>
      <c r="AX44" s="2150"/>
      <c r="AY44" s="2132"/>
      <c r="BF44" s="2071"/>
    </row>
    <row r="45" spans="1:67" ht="17.45" customHeight="1">
      <c r="A45" s="2108"/>
      <c r="B45" s="2108"/>
      <c r="C45" s="2021"/>
      <c r="D45" s="2021"/>
      <c r="E45" s="2021"/>
      <c r="F45" s="2021"/>
      <c r="G45" s="2021"/>
      <c r="H45" s="2143"/>
      <c r="I45" s="2021"/>
      <c r="J45" s="2021"/>
      <c r="K45" s="2059"/>
      <c r="L45" s="2059"/>
      <c r="M45" s="2059"/>
      <c r="N45" s="2059"/>
      <c r="O45" s="2021"/>
      <c r="P45" s="2021"/>
      <c r="Q45" s="2021"/>
      <c r="R45" s="2021"/>
      <c r="S45" s="2021"/>
      <c r="T45" s="2021"/>
      <c r="U45" s="2021"/>
      <c r="V45" s="2021"/>
      <c r="W45" s="2021"/>
      <c r="X45" s="2021"/>
      <c r="AF45" s="2071"/>
      <c r="AM45" s="2072"/>
      <c r="AT45" s="2128"/>
      <c r="AU45" s="2131"/>
      <c r="AV45" s="2138"/>
      <c r="AW45" s="2132"/>
      <c r="AX45" s="2150"/>
      <c r="AY45" s="2132"/>
      <c r="BF45" s="2071"/>
    </row>
    <row r="46" spans="1:67" ht="17.45" customHeight="1">
      <c r="A46" s="2108"/>
      <c r="B46" s="2108"/>
      <c r="C46" s="2021"/>
      <c r="D46" s="2021"/>
      <c r="E46" s="2021"/>
      <c r="F46" s="2021"/>
      <c r="G46" s="2021"/>
      <c r="H46" s="2143"/>
      <c r="I46" s="2021"/>
      <c r="J46" s="2021"/>
      <c r="K46" s="2059"/>
      <c r="L46" s="2059"/>
      <c r="M46" s="2059"/>
      <c r="N46" s="2059"/>
      <c r="O46" s="2021"/>
      <c r="P46" s="2021"/>
      <c r="Q46" s="2021"/>
      <c r="R46" s="2021"/>
      <c r="S46" s="2021"/>
      <c r="T46" s="2021"/>
      <c r="U46" s="2021"/>
      <c r="V46" s="2021"/>
      <c r="W46" s="2021"/>
      <c r="X46" s="2021"/>
      <c r="AF46" s="2071"/>
      <c r="AM46" s="2072"/>
      <c r="AT46" s="2128"/>
      <c r="AU46" s="2131"/>
      <c r="AV46" s="2131"/>
      <c r="AW46" s="2132"/>
      <c r="AX46" s="2150"/>
      <c r="AY46" s="2132"/>
      <c r="BF46" s="2071"/>
    </row>
    <row r="47" spans="1:67" ht="17.45" customHeight="1">
      <c r="A47" s="2108"/>
      <c r="B47" s="2108"/>
      <c r="C47" s="2021"/>
      <c r="D47" s="2021"/>
      <c r="E47" s="2021"/>
      <c r="F47" s="2021"/>
      <c r="G47" s="2021"/>
      <c r="H47" s="2143"/>
      <c r="I47" s="2021"/>
      <c r="J47" s="2021"/>
      <c r="K47" s="2059"/>
      <c r="L47" s="2059"/>
      <c r="M47" s="2059"/>
      <c r="N47" s="2059"/>
      <c r="O47" s="2021"/>
      <c r="P47" s="2021"/>
      <c r="Q47" s="2021"/>
      <c r="R47" s="2021"/>
      <c r="S47" s="2021"/>
      <c r="T47" s="2021"/>
      <c r="U47" s="2021"/>
      <c r="V47" s="2021"/>
      <c r="W47" s="2021"/>
      <c r="X47" s="2021"/>
      <c r="AF47" s="2071"/>
      <c r="AM47" s="2072"/>
      <c r="AT47" s="2128"/>
      <c r="AU47" s="2131"/>
      <c r="AV47" s="2131"/>
      <c r="AW47" s="2132"/>
      <c r="AX47" s="2150"/>
      <c r="AY47" s="2132"/>
      <c r="BF47" s="2099"/>
    </row>
    <row r="48" spans="1:67" ht="17.45" customHeight="1">
      <c r="A48" s="2108"/>
      <c r="B48" s="2108"/>
      <c r="C48" s="2021"/>
      <c r="D48" s="2021"/>
      <c r="E48" s="2021"/>
      <c r="F48" s="2021"/>
      <c r="G48" s="2021"/>
      <c r="H48" s="2143"/>
      <c r="I48" s="2021"/>
      <c r="J48" s="2021"/>
      <c r="K48" s="2059"/>
      <c r="L48" s="2059"/>
      <c r="M48" s="2059"/>
      <c r="N48" s="2059"/>
      <c r="O48" s="2021"/>
      <c r="P48" s="2021"/>
      <c r="Q48" s="2021"/>
      <c r="R48" s="2021"/>
      <c r="S48" s="2021"/>
      <c r="T48" s="2021"/>
      <c r="U48" s="2021"/>
      <c r="V48" s="2021"/>
      <c r="W48" s="2021"/>
      <c r="X48" s="2021"/>
      <c r="AF48" s="2071"/>
      <c r="AM48" s="2072"/>
      <c r="AT48" s="2128"/>
      <c r="AU48" s="2131"/>
      <c r="AV48" s="2131"/>
      <c r="AW48" s="2132"/>
      <c r="AX48" s="2150"/>
      <c r="AY48" s="2132"/>
      <c r="BF48" s="2099"/>
    </row>
    <row r="49" spans="1:65" ht="17.45" customHeight="1">
      <c r="A49" s="2108"/>
      <c r="B49" s="2108"/>
      <c r="C49" s="2021"/>
      <c r="D49" s="2021"/>
      <c r="E49" s="2021"/>
      <c r="F49" s="2021"/>
      <c r="G49" s="2021"/>
      <c r="H49" s="2143"/>
      <c r="I49" s="2143"/>
      <c r="J49" s="2143"/>
      <c r="K49" s="2155"/>
      <c r="L49" s="2155"/>
      <c r="M49" s="2155"/>
      <c r="N49" s="2155"/>
      <c r="O49" s="2143"/>
      <c r="P49" s="2143"/>
      <c r="Q49" s="2143"/>
      <c r="R49" s="2143"/>
      <c r="S49" s="2143"/>
      <c r="T49" s="2143"/>
      <c r="U49" s="2021"/>
      <c r="V49" s="2021"/>
      <c r="W49" s="2021"/>
      <c r="X49" s="2021"/>
      <c r="AF49" s="2071"/>
      <c r="AM49" s="2072"/>
      <c r="AT49" s="2128"/>
      <c r="AU49" s="2131"/>
      <c r="AV49" s="2131"/>
      <c r="AW49" s="2132"/>
      <c r="AX49" s="2150"/>
      <c r="AY49" s="2132"/>
      <c r="BF49" s="2071"/>
    </row>
    <row r="50" spans="1:65" ht="17.45" customHeight="1">
      <c r="A50" s="2108"/>
      <c r="B50" s="2108"/>
      <c r="C50" s="2021"/>
      <c r="D50" s="2021"/>
      <c r="E50" s="2021"/>
      <c r="F50" s="2021"/>
      <c r="G50" s="2021"/>
      <c r="H50" s="2143"/>
      <c r="I50" s="2143"/>
      <c r="J50" s="2143"/>
      <c r="K50" s="2155"/>
      <c r="L50" s="2155"/>
      <c r="M50" s="2155"/>
      <c r="N50" s="2155"/>
      <c r="O50" s="2143"/>
      <c r="X50" s="2021"/>
      <c r="AF50" s="2071"/>
      <c r="AM50" s="2072"/>
      <c r="AT50" s="2128"/>
      <c r="AU50" s="2131"/>
      <c r="AV50" s="2131"/>
      <c r="AW50" s="2132"/>
      <c r="AX50" s="2150"/>
      <c r="AY50" s="2132"/>
      <c r="BF50" s="2071"/>
      <c r="BI50" s="2157" t="s">
        <v>1127</v>
      </c>
      <c r="BJ50" s="2126" t="s">
        <v>1128</v>
      </c>
      <c r="BK50" s="4" t="s">
        <v>1126</v>
      </c>
    </row>
    <row r="51" spans="1:65" ht="17.45" customHeight="1">
      <c r="A51" s="2108"/>
      <c r="B51" s="2108"/>
      <c r="C51" s="2021"/>
      <c r="D51" s="2021"/>
      <c r="E51" s="2021"/>
      <c r="F51" s="2021"/>
      <c r="G51" s="2021"/>
      <c r="H51" s="2143"/>
      <c r="I51" s="2143"/>
      <c r="J51" s="2143"/>
      <c r="K51" s="2155"/>
      <c r="L51" s="2155"/>
      <c r="M51" s="2155"/>
      <c r="N51" s="2155"/>
      <c r="O51" s="2143"/>
      <c r="X51" s="2156"/>
      <c r="Y51" s="2156"/>
      <c r="AF51" s="2071"/>
      <c r="AM51" s="2072"/>
      <c r="AT51" s="2128"/>
      <c r="AU51" s="2131"/>
      <c r="AV51" s="2131"/>
      <c r="AW51" s="2132"/>
      <c r="AX51" s="2150"/>
      <c r="AY51" s="2132"/>
      <c r="BF51" s="2071"/>
      <c r="BH51" s="281">
        <v>1</v>
      </c>
      <c r="BI51" s="2153">
        <f>'DS RS(1)'!F21</f>
        <v>59.902550880872987</v>
      </c>
      <c r="BJ51" s="2159">
        <f>MAX('DS RS(1)'!H31:H67)</f>
        <v>0</v>
      </c>
      <c r="BK51" s="2159">
        <f>'DS RS(1)'!AL58</f>
        <v>0</v>
      </c>
    </row>
    <row r="52" spans="1:65" ht="17.45" customHeight="1">
      <c r="A52" s="2108"/>
      <c r="B52" s="2108"/>
      <c r="C52" s="2021"/>
      <c r="D52" s="2021"/>
      <c r="E52" s="2021"/>
      <c r="F52" s="2021"/>
      <c r="G52" s="2021"/>
      <c r="H52" s="2143"/>
      <c r="I52" s="2143"/>
      <c r="J52" s="2143"/>
      <c r="K52" s="2155"/>
      <c r="L52" s="2155"/>
      <c r="M52" s="2155"/>
      <c r="N52" s="2155"/>
      <c r="O52" s="2143"/>
      <c r="X52" s="2158"/>
      <c r="Y52" s="2158"/>
      <c r="AF52" s="2071"/>
      <c r="AM52" s="2072"/>
      <c r="AT52" s="2128"/>
      <c r="AU52" s="2131"/>
      <c r="AV52" s="2131"/>
      <c r="AW52" s="2132"/>
      <c r="AX52" s="2150"/>
      <c r="AY52" s="2132"/>
      <c r="BF52" s="2071"/>
      <c r="BH52" s="281">
        <v>2</v>
      </c>
      <c r="BI52" s="2153">
        <f>'DS RS(2)'!F21</f>
        <v>99.378241781570395</v>
      </c>
      <c r="BJ52" s="2159">
        <f>MAX('DS RS(2)'!H30:H62)</f>
        <v>0</v>
      </c>
      <c r="BK52" s="2159">
        <f>'DS RS(2)'!AL58</f>
        <v>0</v>
      </c>
    </row>
    <row r="53" spans="1:65" ht="17.45" customHeight="1">
      <c r="A53" s="2108"/>
      <c r="B53" s="2108"/>
      <c r="C53" s="2021"/>
      <c r="D53" s="2021"/>
      <c r="E53" s="2021"/>
      <c r="F53" s="2021"/>
      <c r="G53" s="2021"/>
      <c r="H53" s="2143"/>
      <c r="I53" s="2143"/>
      <c r="J53" s="2143"/>
      <c r="K53" s="2155"/>
      <c r="L53" s="2155"/>
      <c r="M53" s="2155"/>
      <c r="N53" s="2155"/>
      <c r="O53" s="2143"/>
      <c r="X53" s="2156"/>
      <c r="Y53" s="2156"/>
      <c r="AF53" s="2071"/>
      <c r="AM53" s="2072"/>
      <c r="AT53" s="2128"/>
      <c r="AU53" s="2131"/>
      <c r="AV53" s="2131"/>
      <c r="AW53" s="2132"/>
      <c r="AX53" s="2150"/>
      <c r="AY53" s="2132"/>
      <c r="BF53" s="2071"/>
      <c r="BH53" s="281">
        <v>3</v>
      </c>
      <c r="BI53" s="2153">
        <f>'DS RS(3)'!F21</f>
        <v>239.46586002739338</v>
      </c>
      <c r="BJ53" s="2159">
        <f>MAX('DS RS(3)'!H30:H62)</f>
        <v>0</v>
      </c>
      <c r="BK53" s="2159">
        <f>'DS RS(3)'!AL58</f>
        <v>0</v>
      </c>
    </row>
    <row r="54" spans="1:65" ht="17.45" customHeight="1">
      <c r="A54" s="2108"/>
      <c r="B54" s="2108"/>
      <c r="C54" s="2021"/>
      <c r="D54" s="2021"/>
      <c r="E54" s="2021"/>
      <c r="F54" s="2021"/>
      <c r="G54" s="2021"/>
      <c r="H54" s="2143"/>
      <c r="I54" s="2143"/>
      <c r="J54" s="2143"/>
      <c r="K54" s="2155"/>
      <c r="L54" s="2155"/>
      <c r="M54" s="2155"/>
      <c r="N54" s="2155"/>
      <c r="O54" s="2143"/>
      <c r="X54" s="815"/>
      <c r="Y54" s="815"/>
      <c r="AF54" s="2071"/>
      <c r="AM54" s="2072"/>
      <c r="AT54" s="2128"/>
      <c r="AU54" s="2131"/>
      <c r="AV54" s="2131"/>
      <c r="AW54" s="2132"/>
      <c r="AX54" s="2150"/>
      <c r="AY54" s="2132"/>
      <c r="BF54" s="2071"/>
    </row>
    <row r="55" spans="1:65" ht="17.45" customHeight="1">
      <c r="A55" s="2108"/>
      <c r="B55" s="2108"/>
      <c r="C55" s="2021"/>
      <c r="D55" s="2021"/>
      <c r="E55" s="2021"/>
      <c r="F55" s="2021"/>
      <c r="G55" s="2021"/>
      <c r="H55" s="2143"/>
      <c r="I55" s="2143"/>
      <c r="J55" s="2143"/>
      <c r="K55" s="2155"/>
      <c r="L55" s="2155"/>
      <c r="M55" s="2155"/>
      <c r="N55" s="2155"/>
      <c r="O55" s="2143"/>
      <c r="X55" s="815"/>
      <c r="Y55" s="815"/>
      <c r="AF55" s="2071"/>
      <c r="AM55" s="2072"/>
      <c r="AT55" s="2128"/>
      <c r="AU55" s="2131"/>
      <c r="AV55" s="2131"/>
      <c r="AW55" s="2132"/>
      <c r="AX55" s="2150"/>
      <c r="AY55" s="2132"/>
      <c r="BF55" s="2071"/>
    </row>
    <row r="56" spans="1:65" ht="17.45" customHeight="1">
      <c r="A56" s="2108"/>
      <c r="B56" s="2108"/>
      <c r="C56" s="2021"/>
      <c r="D56" s="2021"/>
      <c r="E56" s="2021"/>
      <c r="F56" s="2021"/>
      <c r="G56" s="2021"/>
      <c r="H56" s="2143"/>
      <c r="I56" s="2143"/>
      <c r="J56" s="2143"/>
      <c r="K56" s="2155"/>
      <c r="L56" s="2155"/>
      <c r="M56" s="2155"/>
      <c r="N56" s="2155"/>
      <c r="O56" s="2143"/>
      <c r="Y56" s="2160"/>
      <c r="AF56" s="2071"/>
      <c r="AM56" s="2072"/>
      <c r="AT56" s="2128"/>
      <c r="AU56" s="2131"/>
      <c r="AV56" s="2131"/>
      <c r="AW56" s="2132"/>
      <c r="AX56" s="2150"/>
      <c r="AY56" s="2132"/>
      <c r="BF56" s="2071"/>
    </row>
    <row r="57" spans="1:65" ht="17.45" customHeight="1">
      <c r="A57" s="2108"/>
      <c r="B57" s="2108"/>
      <c r="C57" s="2021"/>
      <c r="D57" s="2021"/>
      <c r="E57" s="2021"/>
      <c r="F57" s="2021"/>
      <c r="G57" s="2021"/>
      <c r="H57" s="2143"/>
      <c r="I57" s="2143"/>
      <c r="J57" s="2143"/>
      <c r="K57" s="2155"/>
      <c r="L57" s="2155"/>
      <c r="M57" s="2155"/>
      <c r="N57" s="2155"/>
      <c r="O57" s="2143"/>
      <c r="Y57" s="2160"/>
      <c r="AF57" s="2071"/>
      <c r="AM57" s="2072"/>
      <c r="AT57" s="2128"/>
      <c r="AU57" s="2131"/>
      <c r="AV57" s="2131"/>
      <c r="AW57" s="2132"/>
      <c r="AX57" s="2150"/>
      <c r="AY57" s="2132"/>
      <c r="BF57" s="2071"/>
      <c r="BI57" s="281" t="s">
        <v>1129</v>
      </c>
      <c r="BJ57" s="281">
        <f>ATAN((BJ51-AC102)/(BI51))</f>
        <v>-0.22959188908612252</v>
      </c>
      <c r="BK57" s="2161">
        <f>DEGREES(BJ57)</f>
        <v>-13.154646255070528</v>
      </c>
      <c r="BM57" s="2162">
        <f>ATAN((BH43-BH42)/(BI43-BI42))</f>
        <v>0.36617123021476505</v>
      </c>
    </row>
    <row r="58" spans="1:65" ht="17.45" customHeight="1">
      <c r="A58" s="2108"/>
      <c r="B58" s="2108"/>
      <c r="C58" s="2021"/>
      <c r="D58" s="2021"/>
      <c r="E58" s="2021"/>
      <c r="F58" s="2021"/>
      <c r="G58" s="2021"/>
      <c r="H58" s="2143"/>
      <c r="I58" s="2143"/>
      <c r="J58" s="2143"/>
      <c r="K58" s="2155"/>
      <c r="L58" s="2155"/>
      <c r="M58" s="2155"/>
      <c r="N58" s="2155"/>
      <c r="O58" s="2143"/>
      <c r="X58" s="2021"/>
      <c r="AF58" s="2071"/>
      <c r="AM58" s="2072"/>
      <c r="BF58" s="2071"/>
      <c r="BJ58" s="2117"/>
      <c r="BM58" s="2162">
        <f>ATAN((BJ43-BJ42)/(BK43-BK42))</f>
        <v>0.35102606606516107</v>
      </c>
    </row>
    <row r="59" spans="1:65" ht="20.100000000000001" customHeight="1">
      <c r="A59" s="2108"/>
      <c r="B59" s="2108"/>
      <c r="C59" s="2021"/>
      <c r="D59" s="2021"/>
      <c r="E59" s="2021"/>
      <c r="F59" s="2021"/>
      <c r="G59" s="2021"/>
      <c r="H59" s="2143"/>
      <c r="I59" s="2143"/>
      <c r="J59" s="2143"/>
      <c r="K59" s="2155"/>
      <c r="L59" s="2155"/>
      <c r="M59" s="2155"/>
      <c r="N59" s="2155"/>
      <c r="O59" s="2143"/>
      <c r="P59" s="2143"/>
      <c r="Q59" s="2143"/>
      <c r="R59" s="2143"/>
      <c r="S59" s="2143"/>
      <c r="T59" s="2143"/>
      <c r="U59" s="2021"/>
      <c r="V59" s="2021"/>
      <c r="W59" s="2021"/>
      <c r="X59" s="2021"/>
      <c r="AF59" s="2071"/>
      <c r="AM59" s="2072"/>
      <c r="AN59" s="2163" t="s">
        <v>1130</v>
      </c>
      <c r="AO59" s="2074"/>
      <c r="AP59" s="2074"/>
      <c r="AQ59" s="2074"/>
      <c r="AR59" s="2074"/>
      <c r="AS59" s="2074"/>
      <c r="AT59" s="2164"/>
      <c r="AU59" s="2165"/>
      <c r="AV59" s="2165"/>
      <c r="AW59" s="2166"/>
      <c r="BF59" s="2071"/>
      <c r="BJ59" s="2167"/>
    </row>
    <row r="60" spans="1:65" ht="20.100000000000001" customHeight="1">
      <c r="A60" s="2108"/>
      <c r="B60" s="2108"/>
      <c r="C60" s="2021"/>
      <c r="D60" s="2021"/>
      <c r="E60" s="2021"/>
      <c r="F60" s="2021"/>
      <c r="G60" s="2021"/>
      <c r="H60" s="2143"/>
      <c r="I60" s="2143"/>
      <c r="J60" s="2143"/>
      <c r="K60" s="2155"/>
      <c r="L60" s="2155"/>
      <c r="M60" s="2155"/>
      <c r="N60" s="2155"/>
      <c r="O60" s="2143"/>
      <c r="P60" s="2143"/>
      <c r="Q60" s="2143"/>
      <c r="R60" s="2143"/>
      <c r="S60" s="2143"/>
      <c r="T60" s="2143"/>
      <c r="U60" s="2021"/>
      <c r="V60" s="2021"/>
      <c r="W60" s="2021"/>
      <c r="X60" s="2021"/>
      <c r="AF60" s="2071"/>
      <c r="AM60" s="2072"/>
      <c r="AN60" s="2163" t="s">
        <v>1131</v>
      </c>
      <c r="AO60" s="2074"/>
      <c r="AP60" s="2074"/>
      <c r="AQ60" s="2074"/>
      <c r="AR60" s="2074"/>
      <c r="AS60" s="2074"/>
      <c r="AT60" s="2164"/>
      <c r="AU60" s="2165"/>
      <c r="AV60" s="2165"/>
      <c r="AW60" s="2168" t="s">
        <v>908</v>
      </c>
      <c r="BF60" s="2071"/>
      <c r="BI60" s="2169" t="s">
        <v>37</v>
      </c>
      <c r="BJ60" s="2170">
        <f>AVERAGE(P105:T105)</f>
        <v>1.8631510653085102</v>
      </c>
    </row>
    <row r="61" spans="1:65" ht="20.100000000000001" customHeight="1">
      <c r="A61" s="2108"/>
      <c r="B61" s="2108"/>
      <c r="C61" s="2021"/>
      <c r="D61" s="2021"/>
      <c r="E61" s="2021"/>
      <c r="F61" s="2021"/>
      <c r="G61" s="2021"/>
      <c r="H61" s="2143"/>
      <c r="I61" s="2143"/>
      <c r="J61" s="2143"/>
      <c r="K61" s="2155"/>
      <c r="L61" s="2155"/>
      <c r="M61" s="2155"/>
      <c r="N61" s="2155"/>
      <c r="O61" s="2143"/>
      <c r="P61" s="2143"/>
      <c r="Q61" s="2143"/>
      <c r="R61" s="2143"/>
      <c r="S61" s="2143"/>
      <c r="T61" s="2143"/>
      <c r="U61" s="2021"/>
      <c r="V61" s="2021"/>
      <c r="W61" s="2021"/>
      <c r="X61" s="2021"/>
      <c r="AF61" s="2071"/>
      <c r="AM61" s="2072"/>
      <c r="AN61" s="2171" t="s">
        <v>1132</v>
      </c>
      <c r="AO61" s="2172"/>
      <c r="AP61" s="2173" t="s">
        <v>1133</v>
      </c>
      <c r="AQ61" s="2173"/>
      <c r="AR61" s="2173"/>
      <c r="AS61" s="2173"/>
      <c r="AT61" s="2174"/>
      <c r="AU61" s="2175"/>
      <c r="AV61" s="2175"/>
      <c r="AW61" s="2168" t="s">
        <v>908</v>
      </c>
      <c r="BF61" s="2071"/>
      <c r="BI61" s="2176" t="s">
        <v>1134</v>
      </c>
      <c r="BJ61" s="2177">
        <v>2</v>
      </c>
    </row>
    <row r="62" spans="1:65" ht="20.100000000000001" customHeight="1">
      <c r="A62" s="2108"/>
      <c r="B62" s="2108"/>
      <c r="C62" s="2021"/>
      <c r="D62" s="2021"/>
      <c r="E62" s="2021"/>
      <c r="F62" s="2021"/>
      <c r="G62" s="2021"/>
      <c r="H62" s="2143"/>
      <c r="I62" s="2143"/>
      <c r="J62" s="2143"/>
      <c r="K62" s="2155"/>
      <c r="L62" s="2155"/>
      <c r="M62" s="2155"/>
      <c r="N62" s="2155"/>
      <c r="O62" s="2143"/>
      <c r="P62" s="2143"/>
      <c r="Q62" s="2143"/>
      <c r="R62" s="2143"/>
      <c r="S62" s="2143"/>
      <c r="T62" s="2143"/>
      <c r="U62" s="2021"/>
      <c r="V62" s="2021"/>
      <c r="W62" s="2021"/>
      <c r="X62" s="2021"/>
      <c r="AF62" s="2071"/>
      <c r="AM62" s="2072"/>
      <c r="AN62" s="2178"/>
      <c r="AO62" s="2163"/>
      <c r="AP62" s="2074" t="s">
        <v>1135</v>
      </c>
      <c r="AQ62" s="2074"/>
      <c r="AR62" s="2074"/>
      <c r="AS62" s="2074"/>
      <c r="AT62" s="2164"/>
      <c r="AU62" s="2165"/>
      <c r="AV62" s="2165"/>
      <c r="AW62" s="2168" t="s">
        <v>908</v>
      </c>
      <c r="BF62" s="2071"/>
      <c r="BI62" s="2176" t="s">
        <v>1004</v>
      </c>
      <c r="BJ62" s="2179">
        <f>BJ60*BJ61*10</f>
        <v>37.263021306170202</v>
      </c>
    </row>
    <row r="63" spans="1:65" ht="20.100000000000001" customHeight="1">
      <c r="A63" s="2108"/>
      <c r="B63" s="2108"/>
      <c r="C63" s="2021"/>
      <c r="D63" s="2021"/>
      <c r="E63" s="2021"/>
      <c r="F63" s="2021"/>
      <c r="G63" s="2021"/>
      <c r="H63" s="2143"/>
      <c r="I63" s="2143"/>
      <c r="J63" s="2143"/>
      <c r="K63" s="2155"/>
      <c r="L63" s="2155"/>
      <c r="M63" s="2155"/>
      <c r="N63" s="2155"/>
      <c r="O63" s="2143"/>
      <c r="P63" s="2143"/>
      <c r="Q63" s="2143"/>
      <c r="R63" s="2143"/>
      <c r="S63" s="2143"/>
      <c r="T63" s="2143"/>
      <c r="U63" s="2021"/>
      <c r="V63" s="2021"/>
      <c r="W63" s="2021"/>
      <c r="X63" s="2021"/>
      <c r="AF63" s="2071"/>
      <c r="AM63" s="2072"/>
      <c r="AN63" s="2171" t="s">
        <v>1136</v>
      </c>
      <c r="AO63" s="2180"/>
      <c r="AP63" s="2174" t="s">
        <v>920</v>
      </c>
      <c r="AQ63" s="2074"/>
      <c r="AR63" s="2074"/>
      <c r="AS63" s="2074"/>
      <c r="AT63" s="2164"/>
      <c r="AU63" s="2165"/>
      <c r="AV63" s="2165"/>
      <c r="AW63" s="2168" t="s">
        <v>597</v>
      </c>
      <c r="BF63" s="2071"/>
      <c r="BI63" s="2181" t="s">
        <v>1137</v>
      </c>
      <c r="BJ63" s="2182">
        <f>AC102+BJ62*TAN(BM57)</f>
        <v>28.289061116200251</v>
      </c>
    </row>
    <row r="64" spans="1:65" ht="20.100000000000001" customHeight="1">
      <c r="A64" s="2108"/>
      <c r="B64" s="2108"/>
      <c r="C64" s="2021"/>
      <c r="D64" s="2021"/>
      <c r="E64" s="2021"/>
      <c r="F64" s="2021"/>
      <c r="G64" s="2021"/>
      <c r="H64" s="2143"/>
      <c r="I64" s="2143"/>
      <c r="J64" s="2143"/>
      <c r="K64" s="2155"/>
      <c r="L64" s="2155"/>
      <c r="M64" s="2155"/>
      <c r="N64" s="2155"/>
      <c r="O64" s="2143"/>
      <c r="P64" s="2143"/>
      <c r="Q64" s="2143"/>
      <c r="R64" s="2143"/>
      <c r="S64" s="2143"/>
      <c r="T64" s="2143"/>
      <c r="U64" s="2021"/>
      <c r="V64" s="2021"/>
      <c r="W64" s="2021"/>
      <c r="X64" s="2021"/>
      <c r="AF64" s="2071"/>
      <c r="AM64" s="2072"/>
      <c r="AN64" s="2183"/>
      <c r="AO64" s="2172"/>
      <c r="AP64" s="2173" t="s">
        <v>919</v>
      </c>
      <c r="AQ64" s="2074"/>
      <c r="AR64" s="2074"/>
      <c r="AS64" s="2074"/>
      <c r="AT64" s="2164"/>
      <c r="AU64" s="2165"/>
      <c r="AV64" s="2165"/>
      <c r="AW64" s="2168" t="s">
        <v>1</v>
      </c>
      <c r="BF64" s="2071"/>
      <c r="BI64" s="2181" t="s">
        <v>1138</v>
      </c>
      <c r="BJ64" s="2182">
        <f>BE616+BJ62*TAN(BM58)</f>
        <v>13.645409714569611</v>
      </c>
    </row>
    <row r="65" spans="1:66" ht="20.100000000000001" customHeight="1">
      <c r="A65" s="2108"/>
      <c r="B65" s="2108"/>
      <c r="C65" s="2021"/>
      <c r="D65" s="2021"/>
      <c r="E65" s="2021"/>
      <c r="F65" s="2021"/>
      <c r="G65" s="2021"/>
      <c r="H65" s="2143"/>
      <c r="I65" s="2143"/>
      <c r="J65" s="2143"/>
      <c r="K65" s="2155"/>
      <c r="L65" s="2155"/>
      <c r="M65" s="2155"/>
      <c r="N65" s="2155"/>
      <c r="O65" s="2143"/>
      <c r="P65" s="2143"/>
      <c r="Q65" s="2143"/>
      <c r="R65" s="2143"/>
      <c r="S65" s="2143"/>
      <c r="T65" s="2143"/>
      <c r="U65" s="2021"/>
      <c r="V65" s="2021"/>
      <c r="W65" s="2021"/>
      <c r="X65" s="2021"/>
      <c r="AF65" s="2071"/>
      <c r="AM65" s="2072"/>
      <c r="AN65" s="2183"/>
      <c r="AO65" s="2163"/>
      <c r="AP65" s="2074" t="s">
        <v>918</v>
      </c>
      <c r="AQ65" s="2074"/>
      <c r="AR65" s="2074"/>
      <c r="AS65" s="2074"/>
      <c r="AT65" s="2164"/>
      <c r="AU65" s="2165"/>
      <c r="AV65" s="2165"/>
      <c r="AW65" s="2168" t="s">
        <v>597</v>
      </c>
      <c r="BF65" s="2071"/>
    </row>
    <row r="66" spans="1:66" ht="20.100000000000001" customHeight="1">
      <c r="A66" s="2108"/>
      <c r="B66" s="2108"/>
      <c r="C66" s="2021"/>
      <c r="D66" s="2021"/>
      <c r="E66" s="2021"/>
      <c r="F66" s="2021"/>
      <c r="G66" s="2021"/>
      <c r="H66" s="2143"/>
      <c r="I66" s="2143"/>
      <c r="J66" s="2143"/>
      <c r="K66" s="2155"/>
      <c r="L66" s="2155"/>
      <c r="M66" s="2155"/>
      <c r="N66" s="2155"/>
      <c r="O66" s="2143"/>
      <c r="P66" s="2143"/>
      <c r="Q66" s="2143"/>
      <c r="R66" s="2143"/>
      <c r="S66" s="2143"/>
      <c r="T66" s="2143"/>
      <c r="U66" s="2021"/>
      <c r="V66" s="2021"/>
      <c r="W66" s="2021"/>
      <c r="X66" s="2021"/>
      <c r="AF66" s="2071"/>
      <c r="AM66" s="2072"/>
      <c r="AN66" s="2178"/>
      <c r="AO66" s="2163"/>
      <c r="AP66" s="2074" t="s">
        <v>1139</v>
      </c>
      <c r="AQ66" s="2074"/>
      <c r="AR66" s="2074"/>
      <c r="AS66" s="2074"/>
      <c r="AT66" s="2164"/>
      <c r="AU66" s="2165"/>
      <c r="AV66" s="2165"/>
      <c r="AW66" s="2168"/>
      <c r="BA66" s="2091"/>
      <c r="BD66" s="2091"/>
      <c r="BE66" s="2091"/>
      <c r="BF66" s="2071"/>
    </row>
    <row r="67" spans="1:66" ht="17.45" customHeight="1">
      <c r="A67" s="2108"/>
      <c r="B67" s="2108"/>
      <c r="C67" s="2021"/>
      <c r="D67" s="2021"/>
      <c r="E67" s="2021"/>
      <c r="F67" s="2021"/>
      <c r="G67" s="2021"/>
      <c r="H67" s="2143"/>
      <c r="I67" s="2143"/>
      <c r="J67" s="2143"/>
      <c r="K67" s="2155"/>
      <c r="L67" s="2155"/>
      <c r="M67" s="2155"/>
      <c r="N67" s="2155"/>
      <c r="O67" s="2143"/>
      <c r="P67" s="2143"/>
      <c r="Q67" s="2143"/>
      <c r="R67" s="2143"/>
      <c r="S67" s="2143"/>
      <c r="T67" s="2143"/>
      <c r="U67" s="2021"/>
      <c r="V67" s="2021"/>
      <c r="W67" s="2021"/>
      <c r="X67" s="2021"/>
      <c r="AF67" s="2071"/>
      <c r="AM67" s="2080"/>
      <c r="AN67" s="287"/>
      <c r="AO67" s="287"/>
      <c r="AP67" s="287"/>
      <c r="AQ67" s="287"/>
      <c r="AR67" s="287"/>
      <c r="AS67" s="287"/>
      <c r="AT67" s="287"/>
      <c r="AU67" s="287"/>
      <c r="AV67" s="287"/>
      <c r="AW67" s="287"/>
      <c r="AX67" s="287"/>
      <c r="AY67" s="287"/>
      <c r="AZ67" s="287"/>
      <c r="BA67" s="2184"/>
      <c r="BB67" s="287"/>
      <c r="BC67" s="287"/>
      <c r="BD67" s="287"/>
      <c r="BE67" s="287"/>
      <c r="BF67" s="2185"/>
      <c r="BI67" s="2186"/>
      <c r="BJ67" s="2102"/>
      <c r="BK67" s="4"/>
      <c r="BL67" s="2187"/>
      <c r="BM67" s="2187"/>
    </row>
    <row r="68" spans="1:66" ht="17.45" customHeight="1">
      <c r="A68" s="2108"/>
      <c r="B68" s="2108"/>
      <c r="C68" s="2021"/>
      <c r="D68" s="2021"/>
      <c r="E68" s="2021"/>
      <c r="F68" s="2021"/>
      <c r="G68" s="2021"/>
      <c r="H68" s="2143"/>
      <c r="I68" s="2143"/>
      <c r="J68" s="2143"/>
      <c r="K68" s="2155"/>
      <c r="L68" s="2155"/>
      <c r="M68" s="2155"/>
      <c r="N68" s="2155"/>
      <c r="O68" s="2143"/>
      <c r="P68" s="2143"/>
      <c r="Q68" s="2143"/>
      <c r="R68" s="2143"/>
      <c r="S68" s="2143"/>
      <c r="T68" s="2143"/>
      <c r="U68" s="2021"/>
      <c r="V68" s="2021"/>
      <c r="W68" s="2021"/>
      <c r="X68" s="2021"/>
      <c r="AF68" s="2071"/>
      <c r="AR68" s="281" t="s">
        <v>55</v>
      </c>
      <c r="AT68" s="2128"/>
      <c r="AU68" s="2131"/>
      <c r="AV68" s="2131"/>
      <c r="AW68" s="2132"/>
      <c r="AX68" s="2150"/>
      <c r="AY68" s="2132"/>
      <c r="AZ68" s="2091"/>
      <c r="BA68" s="2091"/>
      <c r="BB68" s="2091"/>
      <c r="BF68" s="2188"/>
    </row>
    <row r="69" spans="1:66" ht="17.100000000000001" hidden="1" customHeight="1">
      <c r="A69" s="2108"/>
      <c r="B69" s="2108"/>
      <c r="C69" s="2021"/>
      <c r="D69" s="2021"/>
      <c r="E69" s="2021"/>
      <c r="F69" s="2021"/>
      <c r="G69" s="2021"/>
      <c r="H69" s="2143"/>
      <c r="I69" s="2143"/>
      <c r="J69" s="2143"/>
      <c r="K69" s="2155"/>
      <c r="L69" s="2155"/>
      <c r="M69" s="2155"/>
      <c r="N69" s="2155"/>
      <c r="O69" s="2143"/>
      <c r="P69" s="2143"/>
      <c r="Q69" s="2143"/>
      <c r="R69" s="2143"/>
      <c r="S69" s="2143"/>
      <c r="T69" s="2143"/>
      <c r="U69" s="2021"/>
      <c r="V69" s="2021"/>
      <c r="W69" s="2021"/>
      <c r="X69" s="2021"/>
      <c r="AF69" s="2071"/>
      <c r="AT69" s="2128"/>
      <c r="AU69" s="2131"/>
      <c r="AV69" s="2131"/>
      <c r="AW69" s="2132"/>
      <c r="AX69" s="2150"/>
      <c r="AY69" s="2132"/>
      <c r="AZ69" s="2091"/>
      <c r="BA69" s="2091"/>
      <c r="BB69" s="2091"/>
      <c r="BF69" s="2188"/>
    </row>
    <row r="70" spans="1:66" ht="24.95" customHeight="1">
      <c r="A70" s="2108"/>
      <c r="B70" s="2809"/>
      <c r="C70" s="2021"/>
      <c r="D70" s="2021"/>
      <c r="E70" s="2021"/>
      <c r="F70" s="2021"/>
      <c r="G70" s="2021"/>
      <c r="H70" s="2143"/>
      <c r="I70" s="2143"/>
      <c r="J70" s="2143"/>
      <c r="K70" s="2155"/>
      <c r="L70" s="2155"/>
      <c r="M70" s="2155"/>
      <c r="N70" s="2155"/>
      <c r="O70" s="2143"/>
      <c r="P70" s="2143"/>
      <c r="Q70" s="2143"/>
      <c r="R70" s="2143"/>
      <c r="S70" s="2143"/>
      <c r="T70" s="2143"/>
      <c r="U70" s="2021"/>
      <c r="V70" s="2021"/>
      <c r="W70" s="2021"/>
      <c r="X70" s="2021"/>
      <c r="AF70" s="2071"/>
      <c r="AZ70" s="2091"/>
      <c r="BA70" s="2091"/>
      <c r="BB70" s="2091"/>
    </row>
    <row r="71" spans="1:66" ht="24.95" customHeight="1">
      <c r="A71" s="2021"/>
      <c r="B71" s="2108"/>
      <c r="C71" s="4426" t="s">
        <v>1140</v>
      </c>
      <c r="D71" s="4426"/>
      <c r="E71" s="4426"/>
      <c r="F71" s="4426"/>
      <c r="G71" s="4426"/>
      <c r="AF71" s="2071"/>
      <c r="BC71" s="2102"/>
      <c r="BD71" s="2102"/>
      <c r="BE71" s="2102"/>
      <c r="BH71" s="193"/>
      <c r="BI71" s="193"/>
      <c r="BJ71" s="193"/>
      <c r="BK71" s="855"/>
      <c r="BL71" s="2189"/>
      <c r="BM71" s="2190"/>
      <c r="BN71" s="2190"/>
    </row>
    <row r="72" spans="1:66" ht="24.95" customHeight="1">
      <c r="B72" s="2108"/>
      <c r="C72" s="4811" t="s">
        <v>1141</v>
      </c>
      <c r="D72" s="4811"/>
      <c r="E72" s="4811"/>
      <c r="F72" s="4811"/>
      <c r="G72" s="4811"/>
      <c r="H72" s="4811"/>
      <c r="I72" s="4811"/>
      <c r="J72" s="4811"/>
      <c r="K72" s="4811"/>
      <c r="L72" s="4811"/>
      <c r="M72" s="4811"/>
      <c r="N72" s="4811"/>
      <c r="O72" s="4811"/>
      <c r="P72" s="4811"/>
      <c r="Q72" s="4811"/>
      <c r="R72" s="4811"/>
      <c r="S72" s="4811"/>
      <c r="T72" s="4811"/>
      <c r="U72" s="4811"/>
      <c r="V72" s="4811"/>
      <c r="W72" s="4811"/>
      <c r="X72" s="4811"/>
      <c r="Y72" s="4811"/>
      <c r="Z72" s="4811"/>
      <c r="AA72" s="4811"/>
      <c r="AB72" s="4811"/>
      <c r="AC72" s="4811"/>
      <c r="AD72" s="4811"/>
      <c r="AF72" s="2071"/>
      <c r="AZ72" s="2186"/>
      <c r="BA72" s="2186"/>
      <c r="BB72" s="2186"/>
      <c r="BH72" s="193"/>
      <c r="BI72" s="193"/>
      <c r="BJ72" s="2191"/>
      <c r="BM72" s="2190"/>
    </row>
    <row r="73" spans="1:66" ht="24.95" customHeight="1">
      <c r="B73" s="2080"/>
      <c r="C73" s="4812"/>
      <c r="D73" s="4812"/>
      <c r="E73" s="4812"/>
      <c r="F73" s="4812"/>
      <c r="G73" s="4812"/>
      <c r="H73" s="4812"/>
      <c r="I73" s="4812"/>
      <c r="J73" s="4812"/>
      <c r="K73" s="4812"/>
      <c r="L73" s="4812"/>
      <c r="M73" s="4812"/>
      <c r="N73" s="4812"/>
      <c r="O73" s="4812"/>
      <c r="P73" s="4812"/>
      <c r="Q73" s="4812"/>
      <c r="R73" s="4812"/>
      <c r="S73" s="4812"/>
      <c r="T73" s="4812"/>
      <c r="U73" s="4812"/>
      <c r="V73" s="4812"/>
      <c r="W73" s="4812"/>
      <c r="X73" s="4812"/>
      <c r="Y73" s="4812"/>
      <c r="Z73" s="4812"/>
      <c r="AA73" s="4812"/>
      <c r="AB73" s="4812"/>
      <c r="AC73" s="4812"/>
      <c r="AD73" s="4812"/>
      <c r="AE73" s="287"/>
      <c r="AF73" s="2185"/>
      <c r="AT73" s="4"/>
      <c r="AU73" s="2192"/>
      <c r="AV73" s="2144"/>
      <c r="BH73" s="2091"/>
      <c r="BI73" s="2053"/>
      <c r="BJ73" s="2193"/>
      <c r="BM73" s="2194"/>
    </row>
    <row r="74" spans="1:66" ht="24.95" customHeight="1">
      <c r="AT74" s="4"/>
      <c r="AU74" s="2144"/>
      <c r="AV74" s="2144"/>
      <c r="BH74" s="2091"/>
      <c r="BI74" s="2053"/>
      <c r="BJ74" s="2193"/>
      <c r="BM74" s="2194"/>
    </row>
    <row r="75" spans="1:66" ht="6.75" customHeight="1">
      <c r="AT75" s="4"/>
      <c r="AU75" s="2144"/>
      <c r="AV75" s="2144"/>
      <c r="BH75" s="2091"/>
      <c r="BI75" s="2053"/>
      <c r="BJ75" s="2193"/>
      <c r="BM75" s="2194"/>
    </row>
    <row r="76" spans="1:66" ht="8.25" customHeight="1">
      <c r="B76" s="2065"/>
      <c r="C76" s="2062"/>
      <c r="D76" s="2062"/>
      <c r="E76" s="2062"/>
      <c r="F76" s="2062"/>
      <c r="G76" s="2062"/>
      <c r="H76" s="2062"/>
      <c r="I76" s="2062"/>
      <c r="J76" s="2062"/>
      <c r="K76" s="2062"/>
      <c r="L76" s="2062"/>
      <c r="M76" s="2062"/>
      <c r="N76" s="2062"/>
      <c r="O76" s="2062"/>
      <c r="P76" s="2062"/>
      <c r="Q76" s="2062"/>
      <c r="R76" s="2062"/>
      <c r="S76" s="2062"/>
      <c r="T76" s="2062"/>
      <c r="U76" s="2062"/>
      <c r="V76" s="2062"/>
      <c r="W76" s="2062"/>
      <c r="X76" s="2062"/>
      <c r="Y76" s="2062"/>
      <c r="Z76" s="2062"/>
      <c r="AA76" s="2062"/>
      <c r="AB76" s="2062"/>
      <c r="AC76" s="2062"/>
      <c r="AD76" s="2062"/>
      <c r="AE76" s="2062"/>
      <c r="AF76" s="2064"/>
      <c r="AT76" s="4"/>
      <c r="AU76" s="2144"/>
      <c r="AV76" s="2144"/>
      <c r="BI76" s="2102"/>
      <c r="BJ76" s="2144"/>
      <c r="BM76" s="2195"/>
    </row>
    <row r="77" spans="1:66" ht="21.95" customHeight="1">
      <c r="B77" s="2861"/>
      <c r="C77" s="2065"/>
      <c r="D77" s="2062"/>
      <c r="E77" s="2062"/>
      <c r="F77" s="2062"/>
      <c r="G77" s="2062"/>
      <c r="H77" s="4813" t="s">
        <v>821</v>
      </c>
      <c r="I77" s="4814"/>
      <c r="J77" s="4814"/>
      <c r="K77" s="4814"/>
      <c r="L77" s="4814"/>
      <c r="M77" s="4814"/>
      <c r="N77" s="4814"/>
      <c r="O77" s="4814"/>
      <c r="P77" s="4814"/>
      <c r="Q77" s="4814"/>
      <c r="R77" s="4814"/>
      <c r="S77" s="4814"/>
      <c r="T77" s="4814"/>
      <c r="U77" s="4814"/>
      <c r="V77" s="4814"/>
      <c r="W77" s="4814"/>
      <c r="X77" s="4814"/>
      <c r="Y77" s="4814"/>
      <c r="Z77" s="4814"/>
      <c r="AA77" s="4814"/>
      <c r="AB77" s="4814"/>
      <c r="AC77" s="4814"/>
      <c r="AD77" s="4815"/>
      <c r="AF77" s="2071"/>
      <c r="AT77" s="4"/>
      <c r="AU77" s="2144"/>
      <c r="AV77" s="2144"/>
    </row>
    <row r="78" spans="1:66" ht="14.1" customHeight="1">
      <c r="B78" s="2861"/>
      <c r="C78" s="2861"/>
      <c r="H78" s="4622" t="s">
        <v>819</v>
      </c>
      <c r="I78" s="4623"/>
      <c r="J78" s="4623"/>
      <c r="K78" s="4623"/>
      <c r="L78" s="4623"/>
      <c r="M78" s="4623"/>
      <c r="N78" s="4623"/>
      <c r="O78" s="4623"/>
      <c r="P78" s="4623"/>
      <c r="Q78" s="4623"/>
      <c r="R78" s="4623"/>
      <c r="S78" s="4623"/>
      <c r="T78" s="4623"/>
      <c r="U78" s="4623"/>
      <c r="V78" s="4623"/>
      <c r="W78" s="4623"/>
      <c r="X78" s="4623"/>
      <c r="Y78" s="4623"/>
      <c r="Z78" s="4623"/>
      <c r="AA78" s="4623"/>
      <c r="AB78" s="4623"/>
      <c r="AC78" s="4623"/>
      <c r="AD78" s="4624"/>
      <c r="AF78" s="2071"/>
      <c r="AT78" s="4"/>
      <c r="AU78" s="2144"/>
      <c r="AV78" s="2144"/>
    </row>
    <row r="79" spans="1:66" ht="14.1" customHeight="1">
      <c r="B79" s="2861"/>
      <c r="C79" s="2861"/>
      <c r="H79" s="4622" t="s">
        <v>820</v>
      </c>
      <c r="I79" s="4623"/>
      <c r="J79" s="4623"/>
      <c r="K79" s="4623"/>
      <c r="L79" s="4623"/>
      <c r="M79" s="4623"/>
      <c r="N79" s="4623"/>
      <c r="O79" s="4623"/>
      <c r="P79" s="4623"/>
      <c r="Q79" s="4623"/>
      <c r="R79" s="4623"/>
      <c r="S79" s="4623"/>
      <c r="T79" s="4623"/>
      <c r="U79" s="4623"/>
      <c r="V79" s="4623"/>
      <c r="W79" s="4623"/>
      <c r="X79" s="4623"/>
      <c r="Y79" s="4623"/>
      <c r="Z79" s="4623"/>
      <c r="AA79" s="4623"/>
      <c r="AB79" s="4623"/>
      <c r="AC79" s="4623"/>
      <c r="AD79" s="4624"/>
      <c r="AF79" s="2071"/>
      <c r="AT79" s="4"/>
      <c r="AU79" s="2144"/>
      <c r="AV79" s="2144"/>
    </row>
    <row r="80" spans="1:66" ht="14.1" customHeight="1">
      <c r="B80" s="2861"/>
      <c r="C80" s="2861"/>
      <c r="H80" s="4622" t="s">
        <v>830</v>
      </c>
      <c r="I80" s="4623"/>
      <c r="J80" s="4623"/>
      <c r="K80" s="4623"/>
      <c r="L80" s="4623"/>
      <c r="M80" s="4623"/>
      <c r="N80" s="4623"/>
      <c r="O80" s="4623"/>
      <c r="P80" s="4623"/>
      <c r="Q80" s="4623"/>
      <c r="R80" s="4623"/>
      <c r="S80" s="4623"/>
      <c r="T80" s="4623"/>
      <c r="U80" s="4623"/>
      <c r="V80" s="4623"/>
      <c r="W80" s="4623"/>
      <c r="X80" s="4623"/>
      <c r="Y80" s="4623"/>
      <c r="Z80" s="4623"/>
      <c r="AA80" s="4623"/>
      <c r="AB80" s="4623"/>
      <c r="AC80" s="4623"/>
      <c r="AD80" s="4624"/>
      <c r="AF80" s="2071"/>
      <c r="AT80" s="4"/>
      <c r="AU80" s="2144"/>
      <c r="AV80" s="2144"/>
    </row>
    <row r="81" spans="2:48" ht="14.1" customHeight="1">
      <c r="B81" s="2861"/>
      <c r="C81" s="2080"/>
      <c r="D81" s="287"/>
      <c r="E81" s="287"/>
      <c r="F81" s="287"/>
      <c r="G81" s="287"/>
      <c r="H81" s="4625" t="s">
        <v>827</v>
      </c>
      <c r="I81" s="4626"/>
      <c r="J81" s="4626"/>
      <c r="K81" s="4626"/>
      <c r="L81" s="4626"/>
      <c r="M81" s="4626"/>
      <c r="N81" s="4626"/>
      <c r="O81" s="4626"/>
      <c r="P81" s="4626"/>
      <c r="Q81" s="4626"/>
      <c r="R81" s="4626"/>
      <c r="S81" s="4626"/>
      <c r="T81" s="4626"/>
      <c r="U81" s="4626"/>
      <c r="V81" s="4626"/>
      <c r="W81" s="4626"/>
      <c r="X81" s="4626"/>
      <c r="Y81" s="4626"/>
      <c r="Z81" s="4626"/>
      <c r="AA81" s="4626"/>
      <c r="AB81" s="4626"/>
      <c r="AC81" s="4626"/>
      <c r="AD81" s="4627"/>
      <c r="AF81" s="2071"/>
      <c r="AT81" s="4"/>
      <c r="AU81" s="2144"/>
      <c r="AV81" s="2144"/>
    </row>
    <row r="82" spans="2:48" ht="8.25" customHeight="1">
      <c r="B82" s="2861"/>
      <c r="AF82" s="2071"/>
      <c r="AT82" s="4"/>
      <c r="AU82" s="2144"/>
      <c r="AV82" s="2144"/>
    </row>
    <row r="83" spans="2:48" ht="6" customHeight="1">
      <c r="B83" s="2861"/>
      <c r="AF83" s="2071"/>
      <c r="AT83" s="4"/>
      <c r="AU83" s="2144"/>
      <c r="AV83" s="2144"/>
    </row>
    <row r="84" spans="2:48" ht="21.95" customHeight="1">
      <c r="B84" s="2861"/>
      <c r="C84" s="4817" t="s">
        <v>1123</v>
      </c>
      <c r="D84" s="4818"/>
      <c r="E84" s="4818"/>
      <c r="F84" s="4818"/>
      <c r="G84" s="4818"/>
      <c r="H84" s="4818"/>
      <c r="I84" s="4818"/>
      <c r="J84" s="4818"/>
      <c r="K84" s="4818"/>
      <c r="L84" s="4818"/>
      <c r="M84" s="4818"/>
      <c r="N84" s="4818"/>
      <c r="O84" s="4818"/>
      <c r="P84" s="4818"/>
      <c r="Q84" s="4818"/>
      <c r="R84" s="4818"/>
      <c r="S84" s="4818"/>
      <c r="T84" s="4818"/>
      <c r="U84" s="4818"/>
      <c r="V84" s="4818"/>
      <c r="W84" s="4818"/>
      <c r="X84" s="4818"/>
      <c r="Y84" s="4818"/>
      <c r="Z84" s="4818"/>
      <c r="AA84" s="4818"/>
      <c r="AB84" s="4818"/>
      <c r="AC84" s="4818"/>
      <c r="AD84" s="4819"/>
      <c r="AE84" s="2862"/>
      <c r="AF84" s="2196"/>
      <c r="AT84" s="4"/>
      <c r="AU84" s="2144"/>
      <c r="AV84" s="2144"/>
    </row>
    <row r="85" spans="2:48" ht="18.95" customHeight="1">
      <c r="B85" s="2861"/>
      <c r="C85" s="4608" t="s">
        <v>1101</v>
      </c>
      <c r="D85" s="4609"/>
      <c r="E85" s="4609"/>
      <c r="F85" s="4609"/>
      <c r="G85" s="4609"/>
      <c r="H85" s="4609"/>
      <c r="I85" s="4609"/>
      <c r="J85" s="4609"/>
      <c r="K85" s="4609"/>
      <c r="L85" s="4609"/>
      <c r="M85" s="4609"/>
      <c r="N85" s="4609"/>
      <c r="O85" s="4609"/>
      <c r="P85" s="4609"/>
      <c r="Q85" s="4609"/>
      <c r="R85" s="4609"/>
      <c r="S85" s="4609"/>
      <c r="T85" s="4609"/>
      <c r="U85" s="4609"/>
      <c r="V85" s="4609"/>
      <c r="W85" s="4609"/>
      <c r="X85" s="4609"/>
      <c r="Y85" s="4609"/>
      <c r="Z85" s="4609"/>
      <c r="AA85" s="4609"/>
      <c r="AB85" s="4609"/>
      <c r="AC85" s="4609"/>
      <c r="AD85" s="4610"/>
      <c r="AE85" s="2863"/>
      <c r="AF85" s="2197"/>
      <c r="AT85" s="4"/>
      <c r="AU85" s="2144"/>
      <c r="AV85" s="2144"/>
    </row>
    <row r="86" spans="2:48" ht="6" customHeight="1">
      <c r="B86" s="2861"/>
      <c r="AF86" s="2071"/>
      <c r="AT86" s="4"/>
      <c r="AU86" s="2144"/>
      <c r="AV86" s="2144"/>
    </row>
    <row r="87" spans="2:48">
      <c r="B87" s="2861"/>
      <c r="AF87" s="2071"/>
      <c r="AT87" s="4"/>
      <c r="AU87" s="2144"/>
      <c r="AV87" s="2144"/>
    </row>
    <row r="88" spans="2:48" ht="15.75">
      <c r="B88" s="2861"/>
      <c r="C88" s="2853" t="s">
        <v>95</v>
      </c>
      <c r="D88" s="2854"/>
      <c r="E88" s="2015"/>
      <c r="F88" s="2015"/>
      <c r="G88" s="2015"/>
      <c r="H88" s="2015"/>
      <c r="I88" s="2015"/>
      <c r="J88" s="2015"/>
      <c r="K88" s="2015"/>
      <c r="L88" s="2015"/>
      <c r="M88" s="2015"/>
      <c r="N88" s="2015"/>
      <c r="O88" s="2015"/>
      <c r="P88" s="2015"/>
      <c r="Q88" s="2015"/>
      <c r="R88" s="2015"/>
      <c r="S88" s="2015"/>
      <c r="T88" s="2015"/>
      <c r="U88" s="2015"/>
      <c r="V88" s="2015"/>
      <c r="W88" s="2015"/>
      <c r="X88" s="2015"/>
      <c r="Y88" s="2015"/>
      <c r="Z88" s="2015"/>
      <c r="AA88" s="2015"/>
      <c r="AB88" s="2015"/>
      <c r="AC88" s="2015"/>
      <c r="AD88" s="2015"/>
      <c r="AF88" s="2071"/>
      <c r="AT88" s="4"/>
      <c r="AU88" s="2144"/>
      <c r="AV88" s="2144"/>
    </row>
    <row r="89" spans="2:48" s="193" customFormat="1" ht="21" customHeight="1">
      <c r="B89" s="2864"/>
      <c r="C89" s="2018" t="s">
        <v>600</v>
      </c>
      <c r="D89" s="2019"/>
      <c r="E89" s="2016"/>
      <c r="F89" s="2016"/>
      <c r="G89" s="2016"/>
      <c r="H89" s="2016"/>
      <c r="I89" s="2016"/>
      <c r="J89" s="2020" t="s">
        <v>27</v>
      </c>
      <c r="K89" s="4618" t="str">
        <f>'Graph Ds CD'!K14</f>
        <v xml:space="preserve">PT Itamatra Nusantara </v>
      </c>
      <c r="L89" s="4618"/>
      <c r="M89" s="4618"/>
      <c r="N89" s="4618"/>
      <c r="O89" s="4618"/>
      <c r="P89" s="4618"/>
      <c r="Q89" s="4618"/>
      <c r="R89" s="4618"/>
      <c r="S89" s="4618"/>
      <c r="T89" s="4618"/>
      <c r="U89" s="4618"/>
      <c r="V89" s="4618"/>
      <c r="W89" s="4618"/>
      <c r="X89" s="2019" t="s">
        <v>394</v>
      </c>
      <c r="Y89" s="2016"/>
      <c r="Z89" s="2016"/>
      <c r="AA89" s="2016"/>
      <c r="AB89" s="2019" t="s">
        <v>27</v>
      </c>
      <c r="AC89" s="4617" t="str">
        <f>AC14</f>
        <v>PT. MGS</v>
      </c>
      <c r="AD89" s="4617"/>
      <c r="AF89" s="2198"/>
      <c r="AT89" s="855"/>
      <c r="AU89" s="2199"/>
      <c r="AV89" s="2199"/>
    </row>
    <row r="90" spans="2:48" s="193" customFormat="1" ht="21" customHeight="1">
      <c r="B90" s="2864"/>
      <c r="C90" s="2018" t="s">
        <v>842</v>
      </c>
      <c r="D90" s="2019"/>
      <c r="E90" s="2016"/>
      <c r="F90" s="2016"/>
      <c r="G90" s="2016"/>
      <c r="H90" s="2016"/>
      <c r="I90" s="2016"/>
      <c r="J90" s="2020" t="s">
        <v>27</v>
      </c>
      <c r="K90" s="4618" t="str">
        <f>'Graph Ds CD'!K15</f>
        <v>hidroplogi</v>
      </c>
      <c r="L90" s="4618"/>
      <c r="M90" s="4618"/>
      <c r="N90" s="4618"/>
      <c r="O90" s="4618"/>
      <c r="P90" s="4618"/>
      <c r="Q90" s="4618"/>
      <c r="R90" s="4618"/>
      <c r="S90" s="4618"/>
      <c r="T90" s="4618"/>
      <c r="U90" s="4618"/>
      <c r="V90" s="4618"/>
      <c r="W90" s="4618"/>
      <c r="X90" s="2019" t="s">
        <v>822</v>
      </c>
      <c r="Y90" s="2016"/>
      <c r="Z90" s="2016"/>
      <c r="AA90" s="2016"/>
      <c r="AB90" s="2019" t="s">
        <v>27</v>
      </c>
      <c r="AC90" s="4618" t="str">
        <f>'Graph Ds CD'!AC15</f>
        <v>001/PKS GQT-MGS/VIII/2025</v>
      </c>
      <c r="AD90" s="4618"/>
      <c r="AF90" s="2198"/>
      <c r="AT90" s="855"/>
      <c r="AU90" s="2199"/>
      <c r="AV90" s="2199"/>
    </row>
    <row r="91" spans="2:48" s="193" customFormat="1" ht="21" customHeight="1">
      <c r="B91" s="2864"/>
      <c r="C91" s="2018" t="s">
        <v>1312</v>
      </c>
      <c r="D91" s="2019"/>
      <c r="E91" s="2016"/>
      <c r="F91" s="2016"/>
      <c r="G91" s="2016"/>
      <c r="H91" s="2016"/>
      <c r="I91" s="2016"/>
      <c r="J91" s="2020" t="s">
        <v>27</v>
      </c>
      <c r="K91" s="4618" t="str">
        <f>K16</f>
        <v>23-GQT--19-UDS-1-BH-05-0,00-0,50-100726-001</v>
      </c>
      <c r="L91" s="4618"/>
      <c r="M91" s="4618"/>
      <c r="N91" s="4618"/>
      <c r="O91" s="4618"/>
      <c r="P91" s="4618"/>
      <c r="Q91" s="4618"/>
      <c r="R91" s="4618"/>
      <c r="S91" s="4618"/>
      <c r="T91" s="4618"/>
      <c r="U91" s="4618"/>
      <c r="V91" s="4618"/>
      <c r="W91" s="4618"/>
      <c r="X91" s="2019" t="s">
        <v>395</v>
      </c>
      <c r="Y91" s="2016"/>
      <c r="Z91" s="2016"/>
      <c r="AA91" s="2016"/>
      <c r="AB91" s="2019" t="s">
        <v>27</v>
      </c>
      <c r="AC91" s="4628">
        <f>Details!B38</f>
        <v>46226</v>
      </c>
      <c r="AD91" s="4628"/>
      <c r="AF91" s="2198"/>
      <c r="AT91" s="855"/>
      <c r="AU91" s="2199"/>
      <c r="AV91" s="2199"/>
    </row>
    <row r="92" spans="2:48" s="193" customFormat="1" ht="21" customHeight="1">
      <c r="B92" s="2864"/>
      <c r="C92" s="2018" t="s">
        <v>601</v>
      </c>
      <c r="D92" s="2019"/>
      <c r="E92" s="2016"/>
      <c r="F92" s="2016"/>
      <c r="G92" s="2016"/>
      <c r="H92" s="2016"/>
      <c r="I92" s="2016"/>
      <c r="J92" s="2020" t="s">
        <v>27</v>
      </c>
      <c r="K92" s="4617" t="str">
        <f>'Graph Ds CD'!K17</f>
        <v>BH-05_UDS-01</v>
      </c>
      <c r="L92" s="4617"/>
      <c r="M92" s="4617"/>
      <c r="N92" s="4617"/>
      <c r="O92" s="4617"/>
      <c r="P92" s="4617"/>
      <c r="Q92" s="4617"/>
      <c r="R92" s="4617"/>
      <c r="S92" s="4617"/>
      <c r="T92" s="4617"/>
      <c r="U92" s="4617"/>
      <c r="V92" s="4617"/>
      <c r="W92" s="4617"/>
      <c r="X92" s="2019" t="s">
        <v>396</v>
      </c>
      <c r="Y92" s="2016"/>
      <c r="Z92" s="2016"/>
      <c r="AA92" s="2016"/>
      <c r="AB92" s="2019" t="s">
        <v>27</v>
      </c>
      <c r="AC92" s="4618" t="str">
        <f>'Graph Ds CD'!AC17</f>
        <v>AS Sumartadji</v>
      </c>
      <c r="AD92" s="4618"/>
      <c r="AF92" s="2198"/>
      <c r="AT92" s="855"/>
      <c r="AU92" s="2199"/>
      <c r="AV92" s="2199"/>
    </row>
    <row r="93" spans="2:48" s="193" customFormat="1" ht="21" customHeight="1">
      <c r="B93" s="2864"/>
      <c r="C93" s="2018" t="s">
        <v>602</v>
      </c>
      <c r="D93" s="2019"/>
      <c r="E93" s="2016"/>
      <c r="F93" s="2016"/>
      <c r="G93" s="2016"/>
      <c r="H93" s="2016"/>
      <c r="I93" s="2016"/>
      <c r="J93" s="2020" t="s">
        <v>27</v>
      </c>
      <c r="K93" s="4618" t="str">
        <f>'Graph Ds CD'!K18</f>
        <v>0,00-0,50</v>
      </c>
      <c r="L93" s="4618"/>
      <c r="M93" s="4618"/>
      <c r="N93" s="4618"/>
      <c r="O93" s="4618"/>
      <c r="P93" s="4618"/>
      <c r="Q93" s="4618"/>
      <c r="R93" s="4618"/>
      <c r="S93" s="4618"/>
      <c r="T93" s="4618"/>
      <c r="U93" s="4618"/>
      <c r="V93" s="4618"/>
      <c r="W93" s="4618"/>
      <c r="X93" s="2019" t="s">
        <v>186</v>
      </c>
      <c r="Y93" s="2016"/>
      <c r="Z93" s="2016"/>
      <c r="AA93" s="2016"/>
      <c r="AB93" s="2019" t="s">
        <v>27</v>
      </c>
      <c r="AC93" s="4618" t="str">
        <f>'Graph Ds CD'!AC18</f>
        <v>MGS/02/VI/2026</v>
      </c>
      <c r="AD93" s="4618"/>
      <c r="AF93" s="2198"/>
      <c r="AT93" s="855"/>
      <c r="AU93" s="2199"/>
      <c r="AV93" s="2199"/>
    </row>
    <row r="94" spans="2:48" s="193" customFormat="1" ht="21" customHeight="1">
      <c r="B94" s="2864"/>
      <c r="C94" s="2018" t="s">
        <v>843</v>
      </c>
      <c r="D94" s="2019"/>
      <c r="E94" s="2016"/>
      <c r="F94" s="2016"/>
      <c r="G94" s="2016"/>
      <c r="H94" s="2016"/>
      <c r="I94" s="2016"/>
      <c r="J94" s="2020" t="s">
        <v>27</v>
      </c>
      <c r="K94" s="4618" t="str">
        <f>'Graph Ds CD'!K19</f>
        <v>silty CLAY with sand</v>
      </c>
      <c r="L94" s="4618"/>
      <c r="M94" s="4618"/>
      <c r="N94" s="4618"/>
      <c r="O94" s="4618"/>
      <c r="P94" s="4618"/>
      <c r="Q94" s="4618"/>
      <c r="R94" s="4618"/>
      <c r="S94" s="4618"/>
      <c r="T94" s="4618"/>
      <c r="U94" s="4618"/>
      <c r="V94" s="4618"/>
      <c r="W94" s="4618"/>
      <c r="AD94" s="2016"/>
      <c r="AF94" s="2198"/>
      <c r="AT94" s="855"/>
      <c r="AU94" s="2199"/>
      <c r="AV94" s="2199"/>
    </row>
    <row r="95" spans="2:48" s="193" customFormat="1" ht="21" customHeight="1">
      <c r="B95" s="2864"/>
      <c r="C95" s="2018" t="s">
        <v>603</v>
      </c>
      <c r="D95" s="2019"/>
      <c r="E95" s="2016"/>
      <c r="F95" s="2016"/>
      <c r="G95" s="2016"/>
      <c r="H95" s="2016"/>
      <c r="I95" s="2016"/>
      <c r="J95" s="2020" t="s">
        <v>27</v>
      </c>
      <c r="K95" s="4618" t="str">
        <f>'Graph Ds CD'!K20</f>
        <v>Abu-abu / Gray</v>
      </c>
      <c r="L95" s="4618"/>
      <c r="M95" s="4618"/>
      <c r="N95" s="4618"/>
      <c r="O95" s="4618"/>
      <c r="P95" s="4618"/>
      <c r="Q95" s="4618"/>
      <c r="R95" s="4618"/>
      <c r="S95" s="4618"/>
      <c r="T95" s="4618"/>
      <c r="U95" s="4618"/>
      <c r="V95" s="4618"/>
      <c r="W95" s="4618"/>
      <c r="X95" s="2016"/>
      <c r="Y95" s="2016"/>
      <c r="Z95" s="2016"/>
      <c r="AA95" s="2016"/>
      <c r="AB95" s="2016"/>
      <c r="AC95" s="2016"/>
      <c r="AD95" s="2016"/>
      <c r="AF95" s="2198"/>
      <c r="AT95" s="855"/>
      <c r="AU95" s="2199"/>
      <c r="AV95" s="2199"/>
    </row>
    <row r="96" spans="2:48" s="61" customFormat="1" ht="21" customHeight="1">
      <c r="B96" s="2865"/>
      <c r="C96" s="2018" t="s">
        <v>844</v>
      </c>
      <c r="D96" s="2021"/>
      <c r="E96" s="2016"/>
      <c r="F96" s="2016"/>
      <c r="G96" s="2016"/>
      <c r="H96" s="2016"/>
      <c r="I96" s="2016"/>
      <c r="J96" s="2021" t="s">
        <v>27</v>
      </c>
      <c r="K96" s="4618" t="str">
        <f>'Graph Ds CD'!K21</f>
        <v>Undisturbed Sample / UDS</v>
      </c>
      <c r="L96" s="4618"/>
      <c r="M96" s="4618"/>
      <c r="N96" s="4618"/>
      <c r="O96" s="4618"/>
      <c r="P96" s="4618"/>
      <c r="Q96" s="4618"/>
      <c r="R96" s="4618"/>
      <c r="S96" s="4618"/>
      <c r="T96" s="4618"/>
      <c r="U96" s="4618"/>
      <c r="V96" s="4618"/>
      <c r="W96" s="4618"/>
      <c r="X96" s="2016"/>
      <c r="Y96" s="2016"/>
      <c r="Z96" s="2016"/>
      <c r="AA96" s="2016"/>
      <c r="AB96" s="2016"/>
      <c r="AC96" s="2016"/>
      <c r="AD96" s="2016"/>
      <c r="AE96" s="193"/>
      <c r="AF96" s="2198"/>
      <c r="AT96" s="2200"/>
      <c r="AU96" s="426"/>
      <c r="AV96" s="426"/>
    </row>
    <row r="97" spans="2:48">
      <c r="B97" s="2861"/>
      <c r="C97" s="2024"/>
      <c r="D97" s="2024"/>
      <c r="E97" s="2024" t="str">
        <f>'Graph Ds CD'!E22</f>
        <v>Disclaimer :</v>
      </c>
      <c r="F97" s="2024"/>
      <c r="G97" s="2024"/>
      <c r="H97" s="2024" t="str">
        <f>'Graph Ds CD'!H22</f>
        <v>The samples were received as Undisturbed Sample / UDS and the validity of the sampling process was not verified by the laboratory.</v>
      </c>
      <c r="I97" s="2024"/>
      <c r="J97" s="2024"/>
      <c r="K97" s="2024"/>
      <c r="L97" s="2024"/>
      <c r="M97" s="2024"/>
      <c r="N97" s="2024"/>
      <c r="O97" s="2024"/>
      <c r="P97" s="2024"/>
      <c r="Q97" s="2024"/>
      <c r="R97" s="2024"/>
      <c r="S97" s="2024"/>
      <c r="T97" s="2024"/>
      <c r="U97" s="2024"/>
      <c r="V97" s="2024"/>
      <c r="W97" s="2024"/>
      <c r="X97" s="2024"/>
      <c r="Y97" s="2024"/>
      <c r="Z97" s="2024"/>
      <c r="AA97" s="2024"/>
      <c r="AB97" s="2024"/>
      <c r="AC97" s="2024"/>
      <c r="AD97" s="2024"/>
      <c r="AE97" s="61"/>
      <c r="AF97" s="172"/>
      <c r="AT97" s="4"/>
      <c r="AU97" s="2144"/>
      <c r="AV97" s="2144"/>
    </row>
    <row r="98" spans="2:48">
      <c r="B98" s="2861"/>
      <c r="AF98" s="2071"/>
      <c r="AT98" s="4"/>
      <c r="AU98" s="2144"/>
      <c r="AV98" s="2144"/>
    </row>
    <row r="99" spans="2:48">
      <c r="B99" s="2861"/>
      <c r="AF99" s="2071"/>
      <c r="AT99" s="4"/>
      <c r="AU99" s="2144"/>
      <c r="AV99" s="2144"/>
    </row>
    <row r="100" spans="2:48">
      <c r="B100" s="2861"/>
      <c r="AF100" s="2071"/>
      <c r="AT100" s="4"/>
      <c r="AU100" s="2144"/>
      <c r="AV100" s="2144"/>
    </row>
    <row r="101" spans="2:48" ht="28.5" customHeight="1">
      <c r="B101" s="2861"/>
      <c r="C101" s="4820" t="s">
        <v>1130</v>
      </c>
      <c r="D101" s="4820"/>
      <c r="E101" s="4820"/>
      <c r="F101" s="4820"/>
      <c r="G101" s="4820"/>
      <c r="H101" s="4820"/>
      <c r="I101" s="4820"/>
      <c r="J101" s="4820"/>
      <c r="K101" s="4820"/>
      <c r="L101" s="4820"/>
      <c r="M101" s="4820"/>
      <c r="N101" s="4820"/>
      <c r="O101" s="4820"/>
      <c r="P101" s="4821">
        <v>1</v>
      </c>
      <c r="Q101" s="4821"/>
      <c r="R101" s="4822">
        <v>2</v>
      </c>
      <c r="S101" s="4822"/>
      <c r="T101" s="4822">
        <v>3</v>
      </c>
      <c r="U101" s="4822"/>
      <c r="V101" s="193"/>
      <c r="W101" s="193"/>
      <c r="X101" s="193"/>
      <c r="Y101" s="4823" t="s">
        <v>1142</v>
      </c>
      <c r="Z101" s="4823"/>
      <c r="AA101" s="4823"/>
      <c r="AB101" s="4823"/>
      <c r="AC101" s="2918" t="s">
        <v>1125</v>
      </c>
      <c r="AD101" s="2918" t="s">
        <v>1126</v>
      </c>
      <c r="AF101" s="2071"/>
      <c r="AT101" s="4"/>
      <c r="AU101" s="2144"/>
      <c r="AV101" s="2144"/>
    </row>
    <row r="102" spans="2:48" ht="28.5" customHeight="1">
      <c r="B102" s="2861"/>
      <c r="C102" s="4801" t="s">
        <v>1131</v>
      </c>
      <c r="D102" s="4801"/>
      <c r="E102" s="4801"/>
      <c r="F102" s="4801"/>
      <c r="G102" s="4801"/>
      <c r="H102" s="4801"/>
      <c r="I102" s="4801"/>
      <c r="J102" s="4801"/>
      <c r="K102" s="4801"/>
      <c r="L102" s="4801"/>
      <c r="M102" s="4801"/>
      <c r="N102" s="4801"/>
      <c r="O102" s="2201" t="s">
        <v>1143</v>
      </c>
      <c r="P102" s="4831">
        <f>BI51</f>
        <v>59.902550880872987</v>
      </c>
      <c r="Q102" s="4831"/>
      <c r="R102" s="4832">
        <f>BI52</f>
        <v>99.378241781570395</v>
      </c>
      <c r="S102" s="4832"/>
      <c r="T102" s="4800">
        <f>BI53</f>
        <v>239.46586002739338</v>
      </c>
      <c r="U102" s="4800"/>
      <c r="V102" s="193"/>
      <c r="W102" s="193"/>
      <c r="X102" s="193"/>
      <c r="Y102" s="4808" t="s">
        <v>1144</v>
      </c>
      <c r="Z102" s="4809"/>
      <c r="AA102" s="4816" t="s">
        <v>1145</v>
      </c>
      <c r="AB102" s="4816"/>
      <c r="AC102" s="891">
        <f>BH42</f>
        <v>14</v>
      </c>
      <c r="AD102" s="1349">
        <f>BJ42</f>
        <v>4</v>
      </c>
      <c r="AF102" s="2071"/>
      <c r="AT102" s="4"/>
      <c r="AU102" s="2144"/>
      <c r="AV102" s="2144"/>
    </row>
    <row r="103" spans="2:48" ht="28.5" customHeight="1">
      <c r="B103" s="2861"/>
      <c r="C103" s="4801" t="s">
        <v>1132</v>
      </c>
      <c r="D103" s="4801"/>
      <c r="E103" s="4801"/>
      <c r="F103" s="4801"/>
      <c r="G103" s="4796" t="s">
        <v>1133</v>
      </c>
      <c r="H103" s="4797"/>
      <c r="I103" s="4797"/>
      <c r="J103" s="4797"/>
      <c r="K103" s="4797"/>
      <c r="L103" s="4797"/>
      <c r="M103" s="4797"/>
      <c r="N103" s="4798"/>
      <c r="O103" s="2201" t="s">
        <v>1143</v>
      </c>
      <c r="P103" s="4800">
        <f>BJ51</f>
        <v>0</v>
      </c>
      <c r="Q103" s="4800"/>
      <c r="R103" s="4800">
        <f>BJ52</f>
        <v>0</v>
      </c>
      <c r="S103" s="4800"/>
      <c r="T103" s="4800">
        <f>BJ53</f>
        <v>0</v>
      </c>
      <c r="U103" s="4800"/>
      <c r="V103" s="193"/>
      <c r="W103" s="193"/>
      <c r="X103" s="193"/>
      <c r="Y103" s="4806" t="s">
        <v>1146</v>
      </c>
      <c r="Z103" s="4807"/>
      <c r="AA103" s="4805" t="s">
        <v>188</v>
      </c>
      <c r="AB103" s="4805"/>
      <c r="AC103" s="891">
        <f>DEGREES(BM57)</f>
        <v>20.980066070419287</v>
      </c>
      <c r="AD103" s="1349">
        <f>DEGREES(BM58)</f>
        <v>20.112312084614139</v>
      </c>
      <c r="AF103" s="2071"/>
      <c r="AT103" s="4"/>
      <c r="AU103" s="2144"/>
      <c r="AV103" s="2144"/>
    </row>
    <row r="104" spans="2:48" ht="28.5" customHeight="1">
      <c r="B104" s="2861"/>
      <c r="C104" s="4801"/>
      <c r="D104" s="4801"/>
      <c r="E104" s="4801"/>
      <c r="F104" s="4801"/>
      <c r="G104" s="4796" t="s">
        <v>1135</v>
      </c>
      <c r="H104" s="4797"/>
      <c r="I104" s="4797"/>
      <c r="J104" s="4797"/>
      <c r="K104" s="4797"/>
      <c r="L104" s="4797"/>
      <c r="M104" s="4797"/>
      <c r="N104" s="4798"/>
      <c r="O104" s="2201" t="s">
        <v>1143</v>
      </c>
      <c r="P104" s="4800">
        <f>BK51</f>
        <v>0</v>
      </c>
      <c r="Q104" s="4800"/>
      <c r="R104" s="4800">
        <f>BK52</f>
        <v>0</v>
      </c>
      <c r="S104" s="4800"/>
      <c r="T104" s="4800">
        <f>BK53</f>
        <v>0</v>
      </c>
      <c r="U104" s="4800"/>
      <c r="V104" s="193"/>
      <c r="W104" s="193"/>
      <c r="X104" s="193"/>
      <c r="Y104" s="193"/>
      <c r="Z104" s="193"/>
      <c r="AA104" s="193"/>
      <c r="AB104" s="193"/>
      <c r="AC104" s="193"/>
      <c r="AD104" s="193"/>
      <c r="AF104" s="2071"/>
      <c r="AT104" s="4"/>
      <c r="AU104" s="2144"/>
      <c r="AV104" s="2144"/>
    </row>
    <row r="105" spans="2:48" ht="28.5" customHeight="1">
      <c r="B105" s="2861"/>
      <c r="C105" s="4801" t="s">
        <v>1136</v>
      </c>
      <c r="D105" s="4801"/>
      <c r="E105" s="4801"/>
      <c r="F105" s="4801"/>
      <c r="G105" s="4802" t="s">
        <v>920</v>
      </c>
      <c r="H105" s="4803"/>
      <c r="I105" s="4803"/>
      <c r="J105" s="4803"/>
      <c r="K105" s="4803"/>
      <c r="L105" s="4803"/>
      <c r="M105" s="4803"/>
      <c r="N105" s="4804"/>
      <c r="O105" s="397" t="s">
        <v>616</v>
      </c>
      <c r="P105" s="4800">
        <f>'DS RS(1)'!L20</f>
        <v>1.8568718341473098</v>
      </c>
      <c r="Q105" s="4800"/>
      <c r="R105" s="4800">
        <f>'DS RS(2)'!L20</f>
        <v>1.9055347198970451</v>
      </c>
      <c r="S105" s="4800"/>
      <c r="T105" s="4800">
        <f>'DS RS(3)'!L20</f>
        <v>1.8270466418811764</v>
      </c>
      <c r="U105" s="4800"/>
      <c r="V105" s="193"/>
      <c r="W105" s="193"/>
      <c r="X105" s="193"/>
      <c r="Y105" s="193"/>
      <c r="Z105" s="193"/>
      <c r="AA105" s="193"/>
      <c r="AB105" s="193"/>
      <c r="AC105" s="193"/>
      <c r="AD105" s="193"/>
      <c r="AF105" s="2071"/>
      <c r="AU105" s="2144"/>
      <c r="AV105" s="2144"/>
    </row>
    <row r="106" spans="2:48" ht="28.5" customHeight="1">
      <c r="B106" s="2861"/>
      <c r="C106" s="4801"/>
      <c r="D106" s="4801"/>
      <c r="E106" s="4801"/>
      <c r="F106" s="4801"/>
      <c r="G106" s="4796" t="s">
        <v>919</v>
      </c>
      <c r="H106" s="4797"/>
      <c r="I106" s="4797"/>
      <c r="J106" s="4797"/>
      <c r="K106" s="4797"/>
      <c r="L106" s="4797"/>
      <c r="M106" s="4797"/>
      <c r="N106" s="4798"/>
      <c r="O106" s="397" t="s">
        <v>1</v>
      </c>
      <c r="P106" s="4800">
        <f>'DS RS(1)'!L19</f>
        <v>32.459423136565682</v>
      </c>
      <c r="Q106" s="4800"/>
      <c r="R106" s="4800">
        <f>'DS RS(2)'!L19</f>
        <v>16.801112656467321</v>
      </c>
      <c r="S106" s="4800"/>
      <c r="T106" s="4800">
        <f>'DS RS(3)'!L19</f>
        <v>30.927406791982559</v>
      </c>
      <c r="U106" s="4800"/>
      <c r="V106" s="193"/>
      <c r="W106" s="193"/>
      <c r="X106" s="193"/>
      <c r="Y106" s="193"/>
      <c r="Z106" s="193"/>
      <c r="AA106" s="193"/>
      <c r="AB106" s="193"/>
      <c r="AC106" s="193"/>
      <c r="AD106" s="193"/>
      <c r="AF106" s="2071"/>
      <c r="AU106" s="2144"/>
      <c r="AV106" s="2144"/>
    </row>
    <row r="107" spans="2:48" ht="28.5" customHeight="1">
      <c r="B107" s="2861"/>
      <c r="C107" s="4801"/>
      <c r="D107" s="4801"/>
      <c r="E107" s="4801"/>
      <c r="F107" s="4801"/>
      <c r="G107" s="4796" t="s">
        <v>918</v>
      </c>
      <c r="H107" s="4797"/>
      <c r="I107" s="4797"/>
      <c r="J107" s="4797"/>
      <c r="K107" s="4797"/>
      <c r="L107" s="4797"/>
      <c r="M107" s="4797"/>
      <c r="N107" s="4798"/>
      <c r="O107" s="397" t="s">
        <v>616</v>
      </c>
      <c r="P107" s="4800">
        <f>'DS RS(1)'!L21</f>
        <v>1.4018420057838201</v>
      </c>
      <c r="Q107" s="4800"/>
      <c r="R107" s="4800">
        <f>'DS RS(2)'!L21</f>
        <v>1.6314354174874677</v>
      </c>
      <c r="S107" s="4800"/>
      <c r="T107" s="4800">
        <f>'DS RS(3)'!L21</f>
        <v>1.3954653854742483</v>
      </c>
      <c r="U107" s="4800"/>
      <c r="V107" s="193"/>
      <c r="W107" s="193"/>
      <c r="X107" s="193"/>
      <c r="Y107" s="193"/>
      <c r="Z107" s="193"/>
      <c r="AA107" s="193"/>
      <c r="AB107" s="193"/>
      <c r="AC107" s="193"/>
      <c r="AD107" s="193"/>
      <c r="AF107" s="2071"/>
      <c r="AU107" s="2144"/>
      <c r="AV107" s="2144"/>
    </row>
    <row r="108" spans="2:48" ht="28.5" customHeight="1">
      <c r="B108" s="2861"/>
      <c r="C108" s="4801"/>
      <c r="D108" s="4801"/>
      <c r="E108" s="4801"/>
      <c r="F108" s="4801"/>
      <c r="G108" s="4796" t="s">
        <v>1139</v>
      </c>
      <c r="H108" s="4797"/>
      <c r="I108" s="4797"/>
      <c r="J108" s="4797"/>
      <c r="K108" s="4797"/>
      <c r="L108" s="4797"/>
      <c r="M108" s="4797"/>
      <c r="N108" s="4798"/>
      <c r="O108" s="397"/>
      <c r="P108" s="4799">
        <f>'DS RS(1)'!L23</f>
        <v>0.87610300529514573</v>
      </c>
      <c r="Q108" s="4799"/>
      <c r="R108" s="4800">
        <f>'DS RS(2)'!L23</f>
        <v>0.61207729819326606</v>
      </c>
      <c r="S108" s="4800"/>
      <c r="T108" s="4800">
        <f>'DS RS(3)'!L23</f>
        <v>0.88467591340948637</v>
      </c>
      <c r="U108" s="4800"/>
      <c r="V108" s="193"/>
      <c r="W108" s="193"/>
      <c r="X108" s="193"/>
      <c r="Y108" s="193"/>
      <c r="Z108" s="193"/>
      <c r="AA108" s="193"/>
      <c r="AB108" s="193"/>
      <c r="AC108" s="193"/>
      <c r="AD108" s="193"/>
      <c r="AF108" s="2071"/>
      <c r="AU108" s="2144"/>
      <c r="AV108" s="2144"/>
    </row>
    <row r="109" spans="2:48">
      <c r="B109" s="2861"/>
      <c r="AF109" s="2071"/>
      <c r="AU109" s="2144"/>
      <c r="AV109" s="2144"/>
    </row>
    <row r="110" spans="2:48">
      <c r="B110" s="2861"/>
      <c r="AF110" s="2071"/>
      <c r="AU110" s="2144"/>
      <c r="AV110" s="2144"/>
    </row>
    <row r="111" spans="2:48">
      <c r="B111" s="2861"/>
      <c r="AF111" s="2071"/>
      <c r="AU111" s="2144"/>
      <c r="AV111" s="2144"/>
    </row>
    <row r="112" spans="2:48">
      <c r="B112" s="2861"/>
      <c r="E112" s="4795" t="s">
        <v>1147</v>
      </c>
      <c r="F112" s="4795"/>
      <c r="G112" s="4795"/>
      <c r="H112" s="4795"/>
      <c r="I112" s="4795"/>
      <c r="J112" s="4795"/>
      <c r="K112" s="4795"/>
      <c r="L112" s="4795"/>
      <c r="M112" s="4795"/>
      <c r="N112" s="4795"/>
      <c r="O112" s="4795"/>
      <c r="P112" s="4795" t="s">
        <v>1148</v>
      </c>
      <c r="Q112" s="4795"/>
      <c r="R112" s="4795"/>
      <c r="S112" s="4795"/>
      <c r="T112" s="4795"/>
      <c r="U112" s="4795"/>
      <c r="V112" s="4795"/>
      <c r="W112" s="4795" t="s">
        <v>1149</v>
      </c>
      <c r="X112" s="4795"/>
      <c r="Y112" s="4795"/>
      <c r="Z112" s="4795"/>
      <c r="AA112" s="4795"/>
      <c r="AB112" s="4795"/>
      <c r="AC112" s="4795"/>
      <c r="AF112" s="2071"/>
      <c r="AU112" s="2144"/>
      <c r="AV112" s="2144"/>
    </row>
    <row r="113" spans="2:48">
      <c r="B113" s="2861"/>
      <c r="AF113" s="2071"/>
      <c r="AU113" s="2144"/>
      <c r="AV113" s="2144"/>
    </row>
    <row r="114" spans="2:48">
      <c r="B114" s="2861"/>
      <c r="AF114" s="2071"/>
      <c r="AU114" s="2144"/>
      <c r="AV114" s="2144"/>
    </row>
    <row r="115" spans="2:48">
      <c r="B115" s="2861"/>
      <c r="AF115" s="2071"/>
      <c r="AU115" s="2144"/>
      <c r="AV115" s="2144"/>
    </row>
    <row r="116" spans="2:48">
      <c r="B116" s="2861"/>
      <c r="AF116" s="2071"/>
      <c r="AU116" s="2144"/>
      <c r="AV116" s="2144"/>
    </row>
    <row r="117" spans="2:48">
      <c r="B117" s="2861"/>
      <c r="AF117" s="2071"/>
      <c r="AU117" s="2144"/>
      <c r="AV117" s="2144"/>
    </row>
    <row r="118" spans="2:48">
      <c r="B118" s="2861"/>
      <c r="AF118" s="2071"/>
      <c r="AU118" s="2144"/>
      <c r="AV118" s="2144"/>
    </row>
    <row r="119" spans="2:48">
      <c r="B119" s="2861"/>
      <c r="AF119" s="2071"/>
      <c r="AU119" s="2144"/>
      <c r="AV119" s="2144"/>
    </row>
    <row r="120" spans="2:48">
      <c r="B120" s="2861"/>
      <c r="AF120" s="2071"/>
      <c r="AU120" s="2144"/>
      <c r="AV120" s="2144"/>
    </row>
    <row r="121" spans="2:48">
      <c r="B121" s="2861"/>
      <c r="AF121" s="2071"/>
      <c r="AU121" s="2144"/>
      <c r="AV121" s="2144"/>
    </row>
    <row r="122" spans="2:48">
      <c r="B122" s="2861"/>
      <c r="AF122" s="2071"/>
      <c r="AU122" s="2144"/>
      <c r="AV122" s="2144"/>
    </row>
    <row r="123" spans="2:48">
      <c r="B123" s="2861"/>
      <c r="AF123" s="2071"/>
      <c r="AU123" s="2144"/>
      <c r="AV123" s="2144"/>
    </row>
    <row r="124" spans="2:48">
      <c r="B124" s="2861"/>
      <c r="AF124" s="2071"/>
      <c r="AU124" s="2144"/>
      <c r="AV124" s="2144"/>
    </row>
    <row r="125" spans="2:48">
      <c r="B125" s="2861"/>
      <c r="AF125" s="2071"/>
      <c r="AU125" s="2144"/>
      <c r="AV125" s="2144"/>
    </row>
    <row r="126" spans="2:48">
      <c r="B126" s="2861"/>
      <c r="AF126" s="2071"/>
      <c r="AU126" s="2144"/>
      <c r="AV126" s="2144"/>
    </row>
    <row r="127" spans="2:48">
      <c r="B127" s="2861"/>
      <c r="AF127" s="2071"/>
      <c r="AU127" s="2144"/>
      <c r="AV127" s="2144"/>
    </row>
    <row r="128" spans="2:48">
      <c r="B128" s="2861"/>
      <c r="AF128" s="2071"/>
      <c r="AU128" s="2144"/>
      <c r="AV128" s="2144"/>
    </row>
    <row r="129" spans="2:48">
      <c r="B129" s="2861"/>
      <c r="AF129" s="2071"/>
      <c r="AU129" s="2144"/>
      <c r="AV129" s="2144"/>
    </row>
    <row r="130" spans="2:48">
      <c r="B130" s="2861"/>
      <c r="AF130" s="2071"/>
      <c r="AU130" s="2144"/>
      <c r="AV130" s="2144"/>
    </row>
    <row r="131" spans="2:48">
      <c r="B131" s="2861"/>
      <c r="D131" s="4426" t="s">
        <v>1140</v>
      </c>
      <c r="E131" s="4426"/>
      <c r="F131" s="4426"/>
      <c r="G131" s="4426"/>
      <c r="H131" s="4426"/>
      <c r="AF131" s="2071"/>
      <c r="AU131" s="2144"/>
      <c r="AV131" s="2144"/>
    </row>
    <row r="132" spans="2:48" ht="12.95" customHeight="1">
      <c r="B132" s="2861"/>
      <c r="D132" s="4811" t="s">
        <v>1141</v>
      </c>
      <c r="E132" s="4811"/>
      <c r="F132" s="4811"/>
      <c r="G132" s="4811"/>
      <c r="H132" s="4811"/>
      <c r="I132" s="4811"/>
      <c r="J132" s="4811"/>
      <c r="K132" s="4811"/>
      <c r="L132" s="4811"/>
      <c r="M132" s="4811"/>
      <c r="N132" s="4811"/>
      <c r="O132" s="4811"/>
      <c r="P132" s="4811"/>
      <c r="Q132" s="4811"/>
      <c r="R132" s="4811"/>
      <c r="S132" s="4811"/>
      <c r="T132" s="4811"/>
      <c r="U132" s="4811"/>
      <c r="V132" s="4811"/>
      <c r="W132" s="4811"/>
      <c r="X132" s="4811"/>
      <c r="Y132" s="4811"/>
      <c r="Z132" s="4811"/>
      <c r="AA132" s="4811"/>
      <c r="AB132" s="4811"/>
      <c r="AC132" s="4811"/>
      <c r="AD132" s="4811"/>
      <c r="AE132" s="2866"/>
      <c r="AF132" s="2071"/>
      <c r="AU132" s="2144"/>
      <c r="AV132" s="2144"/>
    </row>
    <row r="133" spans="2:48" ht="12.95" customHeight="1">
      <c r="B133" s="2861"/>
      <c r="D133" s="4811"/>
      <c r="E133" s="4811"/>
      <c r="F133" s="4811"/>
      <c r="G133" s="4811"/>
      <c r="H133" s="4811"/>
      <c r="I133" s="4811"/>
      <c r="J133" s="4811"/>
      <c r="K133" s="4811"/>
      <c r="L133" s="4811"/>
      <c r="M133" s="4811"/>
      <c r="N133" s="4811"/>
      <c r="O133" s="4811"/>
      <c r="P133" s="4811"/>
      <c r="Q133" s="4811"/>
      <c r="R133" s="4811"/>
      <c r="S133" s="4811"/>
      <c r="T133" s="4811"/>
      <c r="U133" s="4811"/>
      <c r="V133" s="4811"/>
      <c r="W133" s="4811"/>
      <c r="X133" s="4811"/>
      <c r="Y133" s="4811"/>
      <c r="Z133" s="4811"/>
      <c r="AA133" s="4811"/>
      <c r="AB133" s="4811"/>
      <c r="AC133" s="4811"/>
      <c r="AD133" s="4811"/>
      <c r="AE133" s="2866"/>
      <c r="AF133" s="2071"/>
      <c r="AU133" s="2144"/>
      <c r="AV133" s="2144"/>
    </row>
    <row r="134" spans="2:48">
      <c r="B134" s="2861"/>
      <c r="D134" s="4811"/>
      <c r="E134" s="4811"/>
      <c r="F134" s="4811"/>
      <c r="G134" s="4811"/>
      <c r="H134" s="4811"/>
      <c r="I134" s="4811"/>
      <c r="J134" s="4811"/>
      <c r="K134" s="4811"/>
      <c r="L134" s="4811"/>
      <c r="M134" s="4811"/>
      <c r="N134" s="4811"/>
      <c r="O134" s="4811"/>
      <c r="P134" s="4811"/>
      <c r="Q134" s="4811"/>
      <c r="R134" s="4811"/>
      <c r="S134" s="4811"/>
      <c r="T134" s="4811"/>
      <c r="U134" s="4811"/>
      <c r="V134" s="4811"/>
      <c r="W134" s="4811"/>
      <c r="X134" s="4811"/>
      <c r="Y134" s="4811"/>
      <c r="Z134" s="4811"/>
      <c r="AA134" s="4811"/>
      <c r="AB134" s="4811"/>
      <c r="AC134" s="4811"/>
      <c r="AD134" s="4811"/>
      <c r="AE134" s="2866"/>
      <c r="AF134" s="2071"/>
      <c r="AU134" s="2144"/>
      <c r="AV134" s="2144"/>
    </row>
    <row r="135" spans="2:48">
      <c r="B135" s="2861"/>
      <c r="D135" s="4811"/>
      <c r="E135" s="4811"/>
      <c r="F135" s="4811"/>
      <c r="G135" s="4811"/>
      <c r="H135" s="4811"/>
      <c r="I135" s="4811"/>
      <c r="J135" s="4811"/>
      <c r="K135" s="4811"/>
      <c r="L135" s="4811"/>
      <c r="M135" s="4811"/>
      <c r="N135" s="4811"/>
      <c r="O135" s="4811"/>
      <c r="P135" s="4811"/>
      <c r="Q135" s="4811"/>
      <c r="R135" s="4811"/>
      <c r="S135" s="4811"/>
      <c r="T135" s="4811"/>
      <c r="U135" s="4811"/>
      <c r="V135" s="4811"/>
      <c r="W135" s="4811"/>
      <c r="X135" s="4811"/>
      <c r="Y135" s="4811"/>
      <c r="Z135" s="4811"/>
      <c r="AA135" s="4811"/>
      <c r="AB135" s="4811"/>
      <c r="AC135" s="4811"/>
      <c r="AD135" s="4811"/>
      <c r="AE135" s="2866"/>
      <c r="AF135" s="2071"/>
      <c r="AU135" s="2144"/>
      <c r="AV135" s="2144"/>
    </row>
    <row r="136" spans="2:48">
      <c r="B136" s="2861"/>
      <c r="D136" s="4811"/>
      <c r="E136" s="4811"/>
      <c r="F136" s="4811"/>
      <c r="G136" s="4811"/>
      <c r="H136" s="4811"/>
      <c r="I136" s="4811"/>
      <c r="J136" s="4811"/>
      <c r="K136" s="4811"/>
      <c r="L136" s="4811"/>
      <c r="M136" s="4811"/>
      <c r="N136" s="4811"/>
      <c r="O136" s="4811"/>
      <c r="P136" s="4811"/>
      <c r="Q136" s="4811"/>
      <c r="R136" s="4811"/>
      <c r="S136" s="4811"/>
      <c r="T136" s="4811"/>
      <c r="U136" s="4811"/>
      <c r="V136" s="4811"/>
      <c r="W136" s="4811"/>
      <c r="X136" s="4811"/>
      <c r="Y136" s="4811"/>
      <c r="Z136" s="4811"/>
      <c r="AA136" s="4811"/>
      <c r="AB136" s="4811"/>
      <c r="AC136" s="4811"/>
      <c r="AD136" s="4811"/>
      <c r="AE136" s="2866"/>
      <c r="AF136" s="2071"/>
      <c r="AU136" s="2144"/>
      <c r="AV136" s="2144"/>
    </row>
    <row r="137" spans="2:48">
      <c r="B137" s="2861"/>
      <c r="D137" s="4811"/>
      <c r="E137" s="4811"/>
      <c r="F137" s="4811"/>
      <c r="G137" s="4811"/>
      <c r="H137" s="4811"/>
      <c r="I137" s="4811"/>
      <c r="J137" s="4811"/>
      <c r="K137" s="4811"/>
      <c r="L137" s="4811"/>
      <c r="M137" s="4811"/>
      <c r="N137" s="4811"/>
      <c r="O137" s="4811"/>
      <c r="P137" s="4811"/>
      <c r="Q137" s="4811"/>
      <c r="R137" s="4811"/>
      <c r="S137" s="4811"/>
      <c r="T137" s="4811"/>
      <c r="U137" s="4811"/>
      <c r="V137" s="4811"/>
      <c r="W137" s="4811"/>
      <c r="X137" s="4811"/>
      <c r="Y137" s="4811"/>
      <c r="Z137" s="4811"/>
      <c r="AA137" s="4811"/>
      <c r="AB137" s="4811"/>
      <c r="AC137" s="4811"/>
      <c r="AD137" s="4811"/>
      <c r="AE137" s="2866"/>
      <c r="AF137" s="2071"/>
      <c r="AU137" s="2144"/>
      <c r="AV137" s="2144"/>
    </row>
    <row r="138" spans="2:48">
      <c r="B138" s="2861"/>
      <c r="D138" s="2866"/>
      <c r="E138" s="2866"/>
      <c r="F138" s="2866"/>
      <c r="G138" s="2866"/>
      <c r="H138" s="2866"/>
      <c r="I138" s="2866"/>
      <c r="J138" s="2866"/>
      <c r="K138" s="2866"/>
      <c r="L138" s="2866"/>
      <c r="M138" s="2866"/>
      <c r="N138" s="2866"/>
      <c r="O138" s="2866"/>
      <c r="P138" s="2866"/>
      <c r="Q138" s="2866"/>
      <c r="R138" s="2866"/>
      <c r="S138" s="2866"/>
      <c r="T138" s="2866"/>
      <c r="U138" s="2866"/>
      <c r="V138" s="2866"/>
      <c r="W138" s="2866"/>
      <c r="X138" s="2866"/>
      <c r="Y138" s="2866"/>
      <c r="Z138" s="2866"/>
      <c r="AA138" s="2866"/>
      <c r="AB138" s="2866"/>
      <c r="AC138" s="2866"/>
      <c r="AD138" s="2866"/>
      <c r="AE138" s="2866"/>
      <c r="AF138" s="2071"/>
      <c r="AU138" s="2144"/>
      <c r="AV138" s="2144"/>
    </row>
    <row r="139" spans="2:48">
      <c r="B139" s="2861"/>
      <c r="D139" s="2866"/>
      <c r="E139" s="2866"/>
      <c r="F139" s="2866"/>
      <c r="G139" s="2866"/>
      <c r="H139" s="2866"/>
      <c r="I139" s="2866"/>
      <c r="J139" s="2866"/>
      <c r="K139" s="2866"/>
      <c r="L139" s="2866"/>
      <c r="M139" s="2866"/>
      <c r="N139" s="2866"/>
      <c r="O139" s="2866"/>
      <c r="P139" s="2866"/>
      <c r="Q139" s="2866"/>
      <c r="R139" s="2866"/>
      <c r="S139" s="2866"/>
      <c r="T139" s="2866"/>
      <c r="U139" s="2866"/>
      <c r="V139" s="2866"/>
      <c r="W139" s="2866"/>
      <c r="X139" s="2866"/>
      <c r="Y139" s="2866"/>
      <c r="Z139" s="2866"/>
      <c r="AA139" s="2866"/>
      <c r="AB139" s="2866"/>
      <c r="AC139" s="2866"/>
      <c r="AD139" s="2866"/>
      <c r="AE139" s="2866"/>
      <c r="AF139" s="2071"/>
      <c r="AU139" s="2144"/>
      <c r="AV139" s="2144"/>
    </row>
    <row r="140" spans="2:48">
      <c r="B140" s="2861"/>
      <c r="D140" s="2866"/>
      <c r="E140" s="2866"/>
      <c r="F140" s="2866"/>
      <c r="G140" s="2866"/>
      <c r="H140" s="2866"/>
      <c r="I140" s="2866"/>
      <c r="J140" s="2866"/>
      <c r="K140" s="2866"/>
      <c r="L140" s="2866"/>
      <c r="M140" s="2866"/>
      <c r="N140" s="2866"/>
      <c r="O140" s="2866"/>
      <c r="P140" s="2866"/>
      <c r="Q140" s="2866"/>
      <c r="R140" s="2866"/>
      <c r="S140" s="2866"/>
      <c r="T140" s="2866"/>
      <c r="U140" s="2866"/>
      <c r="V140" s="2866"/>
      <c r="W140" s="2866"/>
      <c r="X140" s="2866"/>
      <c r="Y140" s="2866"/>
      <c r="Z140" s="2866"/>
      <c r="AA140" s="2866"/>
      <c r="AB140" s="2866"/>
      <c r="AC140" s="2866"/>
      <c r="AD140" s="2866"/>
      <c r="AE140" s="2866"/>
      <c r="AF140" s="2071"/>
      <c r="AU140" s="2144"/>
      <c r="AV140" s="2144"/>
    </row>
    <row r="141" spans="2:48">
      <c r="B141" s="2861"/>
      <c r="D141" s="2866"/>
      <c r="E141" s="2866"/>
      <c r="F141" s="2866"/>
      <c r="G141" s="2866"/>
      <c r="H141" s="2866"/>
      <c r="I141" s="2866"/>
      <c r="J141" s="2866"/>
      <c r="K141" s="2866"/>
      <c r="L141" s="2866"/>
      <c r="M141" s="2866"/>
      <c r="N141" s="2866"/>
      <c r="O141" s="2866"/>
      <c r="P141" s="2866"/>
      <c r="Q141" s="2866"/>
      <c r="R141" s="2866"/>
      <c r="S141" s="2866"/>
      <c r="T141" s="2866"/>
      <c r="U141" s="2866"/>
      <c r="V141" s="2866"/>
      <c r="W141" s="2866"/>
      <c r="X141" s="2866"/>
      <c r="Y141" s="2866"/>
      <c r="Z141" s="2866"/>
      <c r="AA141" s="2866"/>
      <c r="AB141" s="2866"/>
      <c r="AC141" s="2866"/>
      <c r="AD141" s="2866"/>
      <c r="AE141" s="2866"/>
      <c r="AF141" s="2071"/>
      <c r="AU141" s="2144"/>
      <c r="AV141" s="2144"/>
    </row>
    <row r="142" spans="2:48">
      <c r="B142" s="2861"/>
      <c r="D142" s="2866"/>
      <c r="E142" s="2866"/>
      <c r="F142" s="2866"/>
      <c r="G142" s="2866"/>
      <c r="H142" s="2866"/>
      <c r="I142" s="2866"/>
      <c r="J142" s="2866"/>
      <c r="K142" s="2866"/>
      <c r="L142" s="2866"/>
      <c r="M142" s="2866"/>
      <c r="N142" s="2866"/>
      <c r="O142" s="2866"/>
      <c r="P142" s="2866"/>
      <c r="Q142" s="2866"/>
      <c r="R142" s="2866"/>
      <c r="S142" s="2866"/>
      <c r="T142" s="2866"/>
      <c r="U142" s="2866"/>
      <c r="V142" s="2866"/>
      <c r="W142" s="2866"/>
      <c r="X142" s="2866"/>
      <c r="Y142" s="2866"/>
      <c r="Z142" s="2866"/>
      <c r="AA142" s="2866"/>
      <c r="AB142" s="2866"/>
      <c r="AC142" s="2866"/>
      <c r="AD142" s="2866"/>
      <c r="AE142" s="2866"/>
      <c r="AF142" s="2071"/>
      <c r="AU142" s="2144"/>
      <c r="AV142" s="2144"/>
    </row>
    <row r="143" spans="2:48">
      <c r="B143" s="2861"/>
      <c r="D143" s="2866"/>
      <c r="E143" s="2866"/>
      <c r="F143" s="2866"/>
      <c r="G143" s="2866"/>
      <c r="H143" s="2866"/>
      <c r="I143" s="2866"/>
      <c r="J143" s="2866"/>
      <c r="K143" s="2866"/>
      <c r="L143" s="2866"/>
      <c r="M143" s="2866"/>
      <c r="N143" s="2866"/>
      <c r="O143" s="2866"/>
      <c r="P143" s="2866"/>
      <c r="Q143" s="2866"/>
      <c r="R143" s="2866"/>
      <c r="S143" s="2866"/>
      <c r="T143" s="2866"/>
      <c r="U143" s="2866"/>
      <c r="V143" s="2866"/>
      <c r="W143" s="2866"/>
      <c r="X143" s="2866"/>
      <c r="Y143" s="2866"/>
      <c r="Z143" s="2866"/>
      <c r="AA143" s="2866"/>
      <c r="AB143" s="2866"/>
      <c r="AC143" s="2866"/>
      <c r="AD143" s="2866"/>
      <c r="AE143" s="2866"/>
      <c r="AF143" s="2071"/>
      <c r="AU143" s="2144"/>
      <c r="AV143" s="2144"/>
    </row>
    <row r="144" spans="2:48">
      <c r="B144" s="2861"/>
      <c r="D144" s="2866"/>
      <c r="E144" s="2866"/>
      <c r="F144" s="2866"/>
      <c r="G144" s="2866"/>
      <c r="H144" s="2866"/>
      <c r="I144" s="2866"/>
      <c r="J144" s="2866"/>
      <c r="K144" s="2866"/>
      <c r="L144" s="2866"/>
      <c r="M144" s="2866"/>
      <c r="N144" s="2866"/>
      <c r="O144" s="2866"/>
      <c r="P144" s="2866"/>
      <c r="Q144" s="2866"/>
      <c r="R144" s="2866"/>
      <c r="S144" s="2866"/>
      <c r="T144" s="2866"/>
      <c r="U144" s="2866"/>
      <c r="V144" s="2866"/>
      <c r="W144" s="2866"/>
      <c r="X144" s="2866"/>
      <c r="Y144" s="2866"/>
      <c r="Z144" s="2866"/>
      <c r="AA144" s="2866"/>
      <c r="AB144" s="2866"/>
      <c r="AC144" s="2866"/>
      <c r="AD144" s="2866"/>
      <c r="AE144" s="2866"/>
      <c r="AF144" s="2071"/>
      <c r="AU144" s="2144"/>
      <c r="AV144" s="2144"/>
    </row>
    <row r="145" spans="2:48">
      <c r="B145" s="2861"/>
      <c r="D145" s="2866"/>
      <c r="E145" s="2866"/>
      <c r="F145" s="2866"/>
      <c r="G145" s="2866"/>
      <c r="H145" s="2866"/>
      <c r="I145" s="2866"/>
      <c r="J145" s="2866"/>
      <c r="K145" s="2866"/>
      <c r="L145" s="2866"/>
      <c r="M145" s="2866"/>
      <c r="N145" s="2866"/>
      <c r="O145" s="2866"/>
      <c r="P145" s="2866"/>
      <c r="Q145" s="2866"/>
      <c r="R145" s="2866"/>
      <c r="S145" s="2866"/>
      <c r="T145" s="2866"/>
      <c r="U145" s="2866"/>
      <c r="V145" s="2866"/>
      <c r="W145" s="2866"/>
      <c r="X145" s="2866"/>
      <c r="Y145" s="2866"/>
      <c r="Z145" s="2866"/>
      <c r="AA145" s="2866"/>
      <c r="AB145" s="2866"/>
      <c r="AC145" s="2866"/>
      <c r="AD145" s="2866"/>
      <c r="AE145" s="2866"/>
      <c r="AF145" s="2071"/>
      <c r="AU145" s="2144"/>
      <c r="AV145" s="2144"/>
    </row>
    <row r="146" spans="2:48">
      <c r="B146" s="2861"/>
      <c r="D146" s="2866"/>
      <c r="E146" s="2866"/>
      <c r="F146" s="2866"/>
      <c r="G146" s="2866"/>
      <c r="H146" s="2866"/>
      <c r="I146" s="2866"/>
      <c r="J146" s="2866"/>
      <c r="K146" s="2866"/>
      <c r="L146" s="2866"/>
      <c r="M146" s="2866"/>
      <c r="N146" s="2866"/>
      <c r="O146" s="2866"/>
      <c r="P146" s="2866"/>
      <c r="Q146" s="2866"/>
      <c r="R146" s="2866"/>
      <c r="S146" s="2866"/>
      <c r="T146" s="2866"/>
      <c r="U146" s="2866"/>
      <c r="V146" s="2866"/>
      <c r="W146" s="2866"/>
      <c r="X146" s="2866"/>
      <c r="Y146" s="2866"/>
      <c r="Z146" s="2866"/>
      <c r="AA146" s="2866"/>
      <c r="AB146" s="2866"/>
      <c r="AC146" s="2866"/>
      <c r="AD146" s="2866"/>
      <c r="AE146" s="2866"/>
      <c r="AF146" s="2071"/>
      <c r="AU146" s="2144"/>
      <c r="AV146" s="2144"/>
    </row>
    <row r="147" spans="2:48">
      <c r="B147" s="2080"/>
      <c r="C147" s="287"/>
      <c r="D147" s="2860"/>
      <c r="E147" s="2860"/>
      <c r="F147" s="2860"/>
      <c r="G147" s="2860"/>
      <c r="H147" s="2860"/>
      <c r="I147" s="2860"/>
      <c r="J147" s="2860"/>
      <c r="K147" s="2860"/>
      <c r="L147" s="2860"/>
      <c r="M147" s="2860"/>
      <c r="N147" s="2860"/>
      <c r="O147" s="2860"/>
      <c r="P147" s="2860"/>
      <c r="Q147" s="2860"/>
      <c r="R147" s="2860"/>
      <c r="S147" s="2860"/>
      <c r="T147" s="2860"/>
      <c r="U147" s="2860"/>
      <c r="V147" s="2860"/>
      <c r="W147" s="2860"/>
      <c r="X147" s="2860"/>
      <c r="Y147" s="2860"/>
      <c r="Z147" s="2860"/>
      <c r="AA147" s="2860"/>
      <c r="AB147" s="2860"/>
      <c r="AC147" s="2860"/>
      <c r="AD147" s="2860"/>
      <c r="AE147" s="2860"/>
      <c r="AF147" s="2185"/>
      <c r="AU147" s="2144"/>
      <c r="AV147" s="2144"/>
    </row>
    <row r="148" spans="2:48">
      <c r="AU148" s="2144"/>
      <c r="AV148" s="2144"/>
    </row>
    <row r="149" spans="2:48">
      <c r="AU149" s="2144"/>
      <c r="AV149" s="2144"/>
    </row>
    <row r="150" spans="2:48">
      <c r="AU150" s="2144"/>
      <c r="AV150" s="2144"/>
    </row>
    <row r="151" spans="2:48">
      <c r="AU151" s="2144"/>
      <c r="AV151" s="2144"/>
    </row>
    <row r="152" spans="2:48">
      <c r="AU152" s="2144"/>
      <c r="AV152" s="2144"/>
    </row>
    <row r="153" spans="2:48">
      <c r="AU153" s="2144"/>
      <c r="AV153" s="2144"/>
    </row>
    <row r="154" spans="2:48">
      <c r="AU154" s="2144"/>
      <c r="AV154" s="2144"/>
    </row>
    <row r="155" spans="2:48">
      <c r="AU155" s="2144"/>
      <c r="AV155" s="2144"/>
    </row>
    <row r="156" spans="2:48">
      <c r="AU156" s="2144"/>
      <c r="AV156" s="2144"/>
    </row>
    <row r="157" spans="2:48">
      <c r="AU157" s="2144"/>
      <c r="AV157" s="2144"/>
    </row>
    <row r="158" spans="2:48">
      <c r="AU158" s="2144"/>
      <c r="AV158" s="2144"/>
    </row>
    <row r="159" spans="2:48">
      <c r="AU159" s="2144"/>
      <c r="AV159" s="2144"/>
    </row>
    <row r="160" spans="2:48">
      <c r="AU160" s="2144"/>
      <c r="AV160" s="2144"/>
    </row>
    <row r="161" spans="47:48">
      <c r="AU161" s="2144"/>
      <c r="AV161" s="2144"/>
    </row>
    <row r="162" spans="47:48">
      <c r="AU162" s="2144"/>
      <c r="AV162" s="2144"/>
    </row>
    <row r="163" spans="47:48">
      <c r="AU163" s="2144"/>
      <c r="AV163" s="2144"/>
    </row>
    <row r="164" spans="47:48">
      <c r="AU164" s="2144"/>
      <c r="AV164" s="2144"/>
    </row>
    <row r="165" spans="47:48">
      <c r="AU165" s="2144"/>
      <c r="AV165" s="2144"/>
    </row>
    <row r="166" spans="47:48">
      <c r="AU166" s="2144"/>
      <c r="AV166" s="2144"/>
    </row>
    <row r="167" spans="47:48">
      <c r="AU167" s="2144"/>
      <c r="AV167" s="2144"/>
    </row>
    <row r="168" spans="47:48">
      <c r="AU168" s="2144"/>
      <c r="AV168" s="2144"/>
    </row>
    <row r="169" spans="47:48">
      <c r="AU169" s="2144"/>
      <c r="AV169" s="2144"/>
    </row>
    <row r="170" spans="47:48">
      <c r="AU170" s="2144"/>
      <c r="AV170" s="2144"/>
    </row>
    <row r="171" spans="47:48">
      <c r="AU171" s="2144"/>
      <c r="AV171" s="2144"/>
    </row>
    <row r="172" spans="47:48">
      <c r="AU172" s="2144"/>
      <c r="AV172" s="2144"/>
    </row>
    <row r="173" spans="47:48">
      <c r="AU173" s="2144"/>
      <c r="AV173" s="2144"/>
    </row>
    <row r="174" spans="47:48">
      <c r="AU174" s="2144"/>
      <c r="AV174" s="2144"/>
    </row>
    <row r="175" spans="47:48">
      <c r="AU175" s="2144"/>
      <c r="AV175" s="2144"/>
    </row>
    <row r="176" spans="47:48">
      <c r="AU176" s="2144"/>
      <c r="AV176" s="2144"/>
    </row>
    <row r="177" spans="47:48">
      <c r="AU177" s="2144"/>
      <c r="AV177" s="2144"/>
    </row>
    <row r="178" spans="47:48">
      <c r="AU178" s="2144"/>
      <c r="AV178" s="2144"/>
    </row>
    <row r="179" spans="47:48">
      <c r="AU179" s="2144"/>
      <c r="AV179" s="2144"/>
    </row>
    <row r="180" spans="47:48">
      <c r="AU180" s="2144"/>
      <c r="AV180" s="2144"/>
    </row>
    <row r="181" spans="47:48">
      <c r="AU181" s="2144"/>
      <c r="AV181" s="2144"/>
    </row>
    <row r="182" spans="47:48">
      <c r="AU182" s="2144"/>
      <c r="AV182" s="2144"/>
    </row>
    <row r="183" spans="47:48">
      <c r="AU183" s="2144"/>
      <c r="AV183" s="2144"/>
    </row>
    <row r="184" spans="47:48">
      <c r="AU184" s="2144"/>
      <c r="AV184" s="2144"/>
    </row>
    <row r="185" spans="47:48">
      <c r="AU185" s="2144"/>
      <c r="AV185" s="2144"/>
    </row>
    <row r="186" spans="47:48">
      <c r="AU186" s="2144"/>
      <c r="AV186" s="2144"/>
    </row>
    <row r="187" spans="47:48">
      <c r="AU187" s="2144"/>
      <c r="AV187" s="2144"/>
    </row>
    <row r="188" spans="47:48">
      <c r="AU188" s="2144"/>
      <c r="AV188" s="2144"/>
    </row>
    <row r="189" spans="47:48">
      <c r="AU189" s="2144"/>
      <c r="AV189" s="2144"/>
    </row>
    <row r="190" spans="47:48">
      <c r="AU190" s="2144"/>
      <c r="AV190" s="2144"/>
    </row>
    <row r="191" spans="47:48">
      <c r="AU191" s="2144"/>
      <c r="AV191" s="2144"/>
    </row>
    <row r="192" spans="47:48">
      <c r="AU192" s="2144"/>
      <c r="AV192" s="2144"/>
    </row>
    <row r="193" spans="47:48">
      <c r="AU193" s="2144"/>
      <c r="AV193" s="2144"/>
    </row>
    <row r="194" spans="47:48">
      <c r="AU194" s="2144"/>
      <c r="AV194" s="2144"/>
    </row>
    <row r="195" spans="47:48">
      <c r="AU195" s="2144"/>
      <c r="AV195" s="2144"/>
    </row>
    <row r="196" spans="47:48">
      <c r="AU196" s="2144"/>
      <c r="AV196" s="2144"/>
    </row>
    <row r="197" spans="47:48">
      <c r="AU197" s="2144"/>
      <c r="AV197" s="2144"/>
    </row>
    <row r="198" spans="47:48">
      <c r="AU198" s="2144"/>
      <c r="AV198" s="2144"/>
    </row>
    <row r="199" spans="47:48">
      <c r="AU199" s="2144"/>
      <c r="AV199" s="2144"/>
    </row>
    <row r="200" spans="47:48">
      <c r="AU200" s="2144"/>
      <c r="AV200" s="2144"/>
    </row>
    <row r="201" spans="47:48">
      <c r="AU201" s="2144"/>
      <c r="AV201" s="2144"/>
    </row>
    <row r="202" spans="47:48">
      <c r="AU202" s="2144"/>
      <c r="AV202" s="2144"/>
    </row>
    <row r="203" spans="47:48">
      <c r="AU203" s="2144"/>
      <c r="AV203" s="2144"/>
    </row>
    <row r="204" spans="47:48">
      <c r="AU204" s="2144"/>
      <c r="AV204" s="2144"/>
    </row>
    <row r="205" spans="47:48">
      <c r="AU205" s="2144"/>
      <c r="AV205" s="2144"/>
    </row>
    <row r="206" spans="47:48">
      <c r="AU206" s="2144"/>
      <c r="AV206" s="2144"/>
    </row>
    <row r="207" spans="47:48">
      <c r="AU207" s="2144"/>
      <c r="AV207" s="2144"/>
    </row>
    <row r="208" spans="47:48">
      <c r="AU208" s="2144"/>
      <c r="AV208" s="2144"/>
    </row>
    <row r="209" spans="47:48">
      <c r="AU209" s="2144"/>
      <c r="AV209" s="2144"/>
    </row>
    <row r="210" spans="47:48">
      <c r="AU210" s="2144"/>
      <c r="AV210" s="2144"/>
    </row>
    <row r="211" spans="47:48">
      <c r="AU211" s="2144"/>
      <c r="AV211" s="2144"/>
    </row>
    <row r="212" spans="47:48">
      <c r="AU212" s="2144"/>
      <c r="AV212" s="2144"/>
    </row>
    <row r="213" spans="47:48">
      <c r="AU213" s="2144"/>
      <c r="AV213" s="2144"/>
    </row>
    <row r="214" spans="47:48">
      <c r="AU214" s="2144"/>
      <c r="AV214" s="2144"/>
    </row>
    <row r="215" spans="47:48">
      <c r="AU215" s="2144"/>
      <c r="AV215" s="2144"/>
    </row>
    <row r="216" spans="47:48">
      <c r="AU216" s="2144"/>
      <c r="AV216" s="2144"/>
    </row>
    <row r="217" spans="47:48">
      <c r="AU217" s="2144"/>
      <c r="AV217" s="2144"/>
    </row>
    <row r="218" spans="47:48">
      <c r="AU218" s="2144"/>
      <c r="AV218" s="2144"/>
    </row>
    <row r="219" spans="47:48">
      <c r="AU219" s="2144"/>
      <c r="AV219" s="2144"/>
    </row>
    <row r="220" spans="47:48">
      <c r="AU220" s="2144"/>
      <c r="AV220" s="2144"/>
    </row>
    <row r="221" spans="47:48">
      <c r="AU221" s="2144"/>
      <c r="AV221" s="2144"/>
    </row>
    <row r="222" spans="47:48">
      <c r="AU222" s="2144"/>
      <c r="AV222" s="2144"/>
    </row>
    <row r="223" spans="47:48">
      <c r="AU223" s="2144"/>
      <c r="AV223" s="2144"/>
    </row>
    <row r="224" spans="47:48">
      <c r="AU224" s="2144"/>
      <c r="AV224" s="2144"/>
    </row>
    <row r="225" spans="47:48">
      <c r="AU225" s="2144"/>
      <c r="AV225" s="2144"/>
    </row>
    <row r="226" spans="47:48">
      <c r="AU226" s="2144"/>
      <c r="AV226" s="2144"/>
    </row>
    <row r="227" spans="47:48">
      <c r="AU227" s="2144"/>
      <c r="AV227" s="2144"/>
    </row>
    <row r="228" spans="47:48">
      <c r="AU228" s="2144"/>
      <c r="AV228" s="2144"/>
    </row>
    <row r="229" spans="47:48">
      <c r="AU229" s="2144"/>
      <c r="AV229" s="2144"/>
    </row>
    <row r="230" spans="47:48">
      <c r="AU230" s="2144"/>
      <c r="AV230" s="2144"/>
    </row>
    <row r="231" spans="47:48">
      <c r="AU231" s="2144"/>
      <c r="AV231" s="2144"/>
    </row>
    <row r="232" spans="47:48">
      <c r="AU232" s="2144"/>
      <c r="AV232" s="2144"/>
    </row>
    <row r="233" spans="47:48">
      <c r="AU233" s="2144"/>
      <c r="AV233" s="2144"/>
    </row>
    <row r="234" spans="47:48">
      <c r="AU234" s="2144"/>
      <c r="AV234" s="2144"/>
    </row>
    <row r="235" spans="47:48">
      <c r="AU235" s="2144"/>
      <c r="AV235" s="2144"/>
    </row>
    <row r="236" spans="47:48">
      <c r="AU236" s="2144"/>
      <c r="AV236" s="2144"/>
    </row>
    <row r="237" spans="47:48">
      <c r="AU237" s="2144"/>
      <c r="AV237" s="2144"/>
    </row>
    <row r="238" spans="47:48">
      <c r="AU238" s="2144"/>
      <c r="AV238" s="2144"/>
    </row>
    <row r="239" spans="47:48">
      <c r="AU239" s="2144"/>
      <c r="AV239" s="2144"/>
    </row>
    <row r="240" spans="47:48">
      <c r="AU240" s="2144"/>
      <c r="AV240" s="2144"/>
    </row>
    <row r="241" spans="47:48">
      <c r="AU241" s="2144"/>
      <c r="AV241" s="2144"/>
    </row>
    <row r="242" spans="47:48">
      <c r="AU242" s="2144"/>
      <c r="AV242" s="2144"/>
    </row>
    <row r="243" spans="47:48">
      <c r="AU243" s="2144"/>
      <c r="AV243" s="2144"/>
    </row>
    <row r="244" spans="47:48">
      <c r="AU244" s="2144"/>
      <c r="AV244" s="2144"/>
    </row>
    <row r="245" spans="47:48">
      <c r="AU245" s="2144"/>
      <c r="AV245" s="2144"/>
    </row>
    <row r="246" spans="47:48">
      <c r="AU246" s="2144"/>
      <c r="AV246" s="2144"/>
    </row>
    <row r="247" spans="47:48">
      <c r="AU247" s="2144"/>
      <c r="AV247" s="2144"/>
    </row>
    <row r="248" spans="47:48">
      <c r="AU248" s="2144"/>
      <c r="AV248" s="2144"/>
    </row>
    <row r="249" spans="47:48">
      <c r="AU249" s="2144"/>
      <c r="AV249" s="2144"/>
    </row>
    <row r="250" spans="47:48">
      <c r="AU250" s="2144"/>
      <c r="AV250" s="2144"/>
    </row>
    <row r="251" spans="47:48">
      <c r="AU251" s="2144"/>
      <c r="AV251" s="2144"/>
    </row>
    <row r="252" spans="47:48">
      <c r="AU252" s="2144"/>
      <c r="AV252" s="2144"/>
    </row>
    <row r="253" spans="47:48">
      <c r="AU253" s="2144"/>
      <c r="AV253" s="2144"/>
    </row>
    <row r="254" spans="47:48">
      <c r="AU254" s="2144"/>
      <c r="AV254" s="2144"/>
    </row>
    <row r="255" spans="47:48">
      <c r="AU255" s="2144"/>
      <c r="AV255" s="2144"/>
    </row>
    <row r="256" spans="47:48">
      <c r="AU256" s="2144"/>
      <c r="AV256" s="2144"/>
    </row>
    <row r="257" spans="47:48">
      <c r="AU257" s="2144"/>
      <c r="AV257" s="2144"/>
    </row>
    <row r="258" spans="47:48">
      <c r="AU258" s="2144"/>
      <c r="AV258" s="2144"/>
    </row>
    <row r="259" spans="47:48">
      <c r="AU259" s="2144"/>
      <c r="AV259" s="2144"/>
    </row>
    <row r="260" spans="47:48">
      <c r="AU260" s="2144"/>
      <c r="AV260" s="2144"/>
    </row>
    <row r="261" spans="47:48">
      <c r="AU261" s="2144"/>
      <c r="AV261" s="2144"/>
    </row>
    <row r="262" spans="47:48">
      <c r="AU262" s="2144"/>
      <c r="AV262" s="2144"/>
    </row>
    <row r="263" spans="47:48">
      <c r="AU263" s="2144"/>
      <c r="AV263" s="2144"/>
    </row>
    <row r="264" spans="47:48">
      <c r="AU264" s="2144"/>
      <c r="AV264" s="2144"/>
    </row>
    <row r="265" spans="47:48">
      <c r="AU265" s="2144"/>
      <c r="AV265" s="2144"/>
    </row>
    <row r="266" spans="47:48">
      <c r="AU266" s="2144"/>
      <c r="AV266" s="2144"/>
    </row>
    <row r="267" spans="47:48">
      <c r="AU267" s="2144"/>
      <c r="AV267" s="2144"/>
    </row>
    <row r="268" spans="47:48">
      <c r="AU268" s="2144"/>
      <c r="AV268" s="2144"/>
    </row>
    <row r="269" spans="47:48">
      <c r="AU269" s="2144"/>
      <c r="AV269" s="2144"/>
    </row>
    <row r="270" spans="47:48">
      <c r="AU270" s="2144"/>
      <c r="AV270" s="2144"/>
    </row>
    <row r="271" spans="47:48">
      <c r="AU271" s="2144"/>
      <c r="AV271" s="2144"/>
    </row>
    <row r="272" spans="47:48">
      <c r="AU272" s="2144"/>
      <c r="AV272" s="2144"/>
    </row>
    <row r="273" spans="47:48">
      <c r="AU273" s="2144"/>
      <c r="AV273" s="2144"/>
    </row>
  </sheetData>
  <mergeCells count="87">
    <mergeCell ref="D132:AD137"/>
    <mergeCell ref="K94:W94"/>
    <mergeCell ref="K95:W95"/>
    <mergeCell ref="K96:W96"/>
    <mergeCell ref="AC89:AD89"/>
    <mergeCell ref="AC90:AD90"/>
    <mergeCell ref="AC91:AD91"/>
    <mergeCell ref="AC92:AD92"/>
    <mergeCell ref="AC93:AD93"/>
    <mergeCell ref="K89:W89"/>
    <mergeCell ref="K90:W90"/>
    <mergeCell ref="K91:W91"/>
    <mergeCell ref="K92:W92"/>
    <mergeCell ref="K93:W93"/>
    <mergeCell ref="P102:Q102"/>
    <mergeCell ref="R102:S102"/>
    <mergeCell ref="AC14:AD14"/>
    <mergeCell ref="AC15:AD15"/>
    <mergeCell ref="AC16:AD16"/>
    <mergeCell ref="AC17:AD17"/>
    <mergeCell ref="AC18:AD18"/>
    <mergeCell ref="H78:AD78"/>
    <mergeCell ref="H3:AE3"/>
    <mergeCell ref="H4:AE4"/>
    <mergeCell ref="H5:AE5"/>
    <mergeCell ref="H6:AE6"/>
    <mergeCell ref="H7:AE7"/>
    <mergeCell ref="C10:AE10"/>
    <mergeCell ref="C11:AE11"/>
    <mergeCell ref="K14:W14"/>
    <mergeCell ref="K15:W15"/>
    <mergeCell ref="K16:W16"/>
    <mergeCell ref="K17:W17"/>
    <mergeCell ref="K18:W18"/>
    <mergeCell ref="K19:W19"/>
    <mergeCell ref="K20:W20"/>
    <mergeCell ref="K21:W21"/>
    <mergeCell ref="BJ41:BK41"/>
    <mergeCell ref="C71:G71"/>
    <mergeCell ref="C72:AD73"/>
    <mergeCell ref="H77:AD77"/>
    <mergeCell ref="AA102:AB102"/>
    <mergeCell ref="H79:AD79"/>
    <mergeCell ref="H80:AD80"/>
    <mergeCell ref="H81:AD81"/>
    <mergeCell ref="C84:AD84"/>
    <mergeCell ref="C85:AD85"/>
    <mergeCell ref="C101:O101"/>
    <mergeCell ref="P101:Q101"/>
    <mergeCell ref="R101:S101"/>
    <mergeCell ref="T101:U101"/>
    <mergeCell ref="Y101:AB101"/>
    <mergeCell ref="C102:N102"/>
    <mergeCell ref="T102:U102"/>
    <mergeCell ref="Y102:Z102"/>
    <mergeCell ref="C103:F104"/>
    <mergeCell ref="G103:N103"/>
    <mergeCell ref="P103:Q103"/>
    <mergeCell ref="R103:S103"/>
    <mergeCell ref="T103:U103"/>
    <mergeCell ref="G106:N106"/>
    <mergeCell ref="P106:Q106"/>
    <mergeCell ref="R106:S106"/>
    <mergeCell ref="T106:U106"/>
    <mergeCell ref="G107:N107"/>
    <mergeCell ref="AA103:AB103"/>
    <mergeCell ref="G104:N104"/>
    <mergeCell ref="P104:Q104"/>
    <mergeCell ref="R104:S104"/>
    <mergeCell ref="T104:U104"/>
    <mergeCell ref="Y103:Z103"/>
    <mergeCell ref="W112:AC112"/>
    <mergeCell ref="D131:H131"/>
    <mergeCell ref="G108:N108"/>
    <mergeCell ref="P108:Q108"/>
    <mergeCell ref="R108:S108"/>
    <mergeCell ref="T108:U108"/>
    <mergeCell ref="E112:O112"/>
    <mergeCell ref="P112:V112"/>
    <mergeCell ref="C105:F108"/>
    <mergeCell ref="G105:N105"/>
    <mergeCell ref="P105:Q105"/>
    <mergeCell ref="R105:S105"/>
    <mergeCell ref="T105:U105"/>
    <mergeCell ref="P107:Q107"/>
    <mergeCell ref="R107:S107"/>
    <mergeCell ref="T107:U107"/>
  </mergeCells>
  <printOptions horizontalCentered="1"/>
  <pageMargins left="0.19685039370078741" right="0.19685039370078741" top="0.19685039370078741" bottom="0.19685039370078741" header="0.11811023622047245" footer="0.11811023622047245"/>
  <pageSetup paperSize="10000" scale="78" fitToHeight="0" orientation="portrait" r:id="rId1"/>
  <headerFooter scaleWithDoc="0">
    <oddFooter>&amp;R&amp;"Aptos,Regular"&amp;9Page &amp;P of &amp;N</oddFooter>
  </headerFooter>
  <rowBreaks count="1" manualBreakCount="1">
    <brk id="74" max="16383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75A86B-6189-45C1-9262-86EC1F64C40D}">
          <x14:formula1>
            <xm:f>Details!$D$2:$D$10</xm:f>
          </x14:formula1>
          <xm:sqref>AC14:AD14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8DA32-48FC-46B9-9B72-72C12EE8A4D7}">
  <sheetPr>
    <tabColor rgb="FFFF0000"/>
  </sheetPr>
  <dimension ref="A1:BA254"/>
  <sheetViews>
    <sheetView showGridLines="0" zoomScale="80" zoomScaleNormal="80" workbookViewId="0">
      <selection activeCell="N30" sqref="N30"/>
    </sheetView>
  </sheetViews>
  <sheetFormatPr defaultColWidth="6.875" defaultRowHeight="13.5"/>
  <cols>
    <col min="1" max="3" width="7.875" style="2535" customWidth="1"/>
    <col min="4" max="4" width="1.5" style="2588" customWidth="1"/>
    <col min="5" max="10" width="11.125" style="2588" customWidth="1"/>
    <col min="11" max="11" width="1.5" style="2588" customWidth="1"/>
    <col min="12" max="12" width="10.25" style="2588" customWidth="1"/>
    <col min="13" max="14" width="11.125" style="2588" customWidth="1"/>
    <col min="15" max="15" width="1.5" style="2922" customWidth="1"/>
    <col min="16" max="16" width="3.25" style="2588" customWidth="1"/>
    <col min="17" max="18" width="4.125" style="2588" customWidth="1"/>
    <col min="19" max="19" width="1.5" style="2588" customWidth="1"/>
    <col min="20" max="25" width="11.125" style="2588" customWidth="1"/>
    <col min="26" max="26" width="1.5" style="2588" customWidth="1"/>
    <col min="27" max="27" width="10.25" style="2588" customWidth="1"/>
    <col min="28" max="29" width="11.125" style="2588" customWidth="1"/>
    <col min="30" max="30" width="1.5" style="2921" customWidth="1"/>
    <col min="31" max="31" width="3.25" style="2588" customWidth="1"/>
    <col min="32" max="33" width="4.125" style="2588" customWidth="1"/>
    <col min="34" max="34" width="1.5" style="2588" customWidth="1"/>
    <col min="35" max="40" width="11.125" style="2588" customWidth="1"/>
    <col min="41" max="41" width="1.5" style="2588" customWidth="1"/>
    <col min="42" max="42" width="10.25" style="2588" customWidth="1"/>
    <col min="43" max="44" width="11.125" style="2588" customWidth="1"/>
    <col min="45" max="45" width="1.5" style="2588" customWidth="1"/>
    <col min="46" max="47" width="6.875" style="2588" customWidth="1"/>
    <col min="48" max="48" width="9.875" style="2588" customWidth="1"/>
    <col min="49" max="50" width="7" style="2588" bestFit="1" customWidth="1"/>
    <col min="51" max="51" width="8.125" style="2588" bestFit="1" customWidth="1"/>
    <col min="52" max="53" width="7.375" style="2588" bestFit="1" customWidth="1"/>
    <col min="54" max="256" width="6.875" style="2588"/>
    <col min="257" max="257" width="3.25" style="2588" customWidth="1"/>
    <col min="258" max="259" width="11.125" style="2588" customWidth="1"/>
    <col min="260" max="260" width="1.5" style="2588" customWidth="1"/>
    <col min="261" max="266" width="11.125" style="2588" customWidth="1"/>
    <col min="267" max="267" width="1.5" style="2588" customWidth="1"/>
    <col min="268" max="268" width="10.25" style="2588" customWidth="1"/>
    <col min="269" max="270" width="11.125" style="2588" customWidth="1"/>
    <col min="271" max="271" width="1.5" style="2588" customWidth="1"/>
    <col min="272" max="272" width="3.25" style="2588" customWidth="1"/>
    <col min="273" max="274" width="11.125" style="2588" customWidth="1"/>
    <col min="275" max="275" width="1.5" style="2588" customWidth="1"/>
    <col min="276" max="281" width="11.125" style="2588" customWidth="1"/>
    <col min="282" max="282" width="1.5" style="2588" customWidth="1"/>
    <col min="283" max="283" width="10.25" style="2588" customWidth="1"/>
    <col min="284" max="285" width="11.125" style="2588" customWidth="1"/>
    <col min="286" max="286" width="1.5" style="2588" customWidth="1"/>
    <col min="287" max="287" width="3.25" style="2588" customWidth="1"/>
    <col min="288" max="289" width="11.125" style="2588" customWidth="1"/>
    <col min="290" max="290" width="1.5" style="2588" customWidth="1"/>
    <col min="291" max="296" width="11.125" style="2588" customWidth="1"/>
    <col min="297" max="297" width="1.5" style="2588" customWidth="1"/>
    <col min="298" max="298" width="10.25" style="2588" customWidth="1"/>
    <col min="299" max="300" width="11.125" style="2588" customWidth="1"/>
    <col min="301" max="301" width="1.5" style="2588" customWidth="1"/>
    <col min="302" max="303" width="6.875" style="2588"/>
    <col min="304" max="304" width="9.875" style="2588" customWidth="1"/>
    <col min="305" max="512" width="6.875" style="2588"/>
    <col min="513" max="513" width="3.25" style="2588" customWidth="1"/>
    <col min="514" max="515" width="11.125" style="2588" customWidth="1"/>
    <col min="516" max="516" width="1.5" style="2588" customWidth="1"/>
    <col min="517" max="522" width="11.125" style="2588" customWidth="1"/>
    <col min="523" max="523" width="1.5" style="2588" customWidth="1"/>
    <col min="524" max="524" width="10.25" style="2588" customWidth="1"/>
    <col min="525" max="526" width="11.125" style="2588" customWidth="1"/>
    <col min="527" max="527" width="1.5" style="2588" customWidth="1"/>
    <col min="528" max="528" width="3.25" style="2588" customWidth="1"/>
    <col min="529" max="530" width="11.125" style="2588" customWidth="1"/>
    <col min="531" max="531" width="1.5" style="2588" customWidth="1"/>
    <col min="532" max="537" width="11.125" style="2588" customWidth="1"/>
    <col min="538" max="538" width="1.5" style="2588" customWidth="1"/>
    <col min="539" max="539" width="10.25" style="2588" customWidth="1"/>
    <col min="540" max="541" width="11.125" style="2588" customWidth="1"/>
    <col min="542" max="542" width="1.5" style="2588" customWidth="1"/>
    <col min="543" max="543" width="3.25" style="2588" customWidth="1"/>
    <col min="544" max="545" width="11.125" style="2588" customWidth="1"/>
    <col min="546" max="546" width="1.5" style="2588" customWidth="1"/>
    <col min="547" max="552" width="11.125" style="2588" customWidth="1"/>
    <col min="553" max="553" width="1.5" style="2588" customWidth="1"/>
    <col min="554" max="554" width="10.25" style="2588" customWidth="1"/>
    <col min="555" max="556" width="11.125" style="2588" customWidth="1"/>
    <col min="557" max="557" width="1.5" style="2588" customWidth="1"/>
    <col min="558" max="559" width="6.875" style="2588"/>
    <col min="560" max="560" width="9.875" style="2588" customWidth="1"/>
    <col min="561" max="768" width="6.875" style="2588"/>
    <col min="769" max="769" width="3.25" style="2588" customWidth="1"/>
    <col min="770" max="771" width="11.125" style="2588" customWidth="1"/>
    <col min="772" max="772" width="1.5" style="2588" customWidth="1"/>
    <col min="773" max="778" width="11.125" style="2588" customWidth="1"/>
    <col min="779" max="779" width="1.5" style="2588" customWidth="1"/>
    <col min="780" max="780" width="10.25" style="2588" customWidth="1"/>
    <col min="781" max="782" width="11.125" style="2588" customWidth="1"/>
    <col min="783" max="783" width="1.5" style="2588" customWidth="1"/>
    <col min="784" max="784" width="3.25" style="2588" customWidth="1"/>
    <col min="785" max="786" width="11.125" style="2588" customWidth="1"/>
    <col min="787" max="787" width="1.5" style="2588" customWidth="1"/>
    <col min="788" max="793" width="11.125" style="2588" customWidth="1"/>
    <col min="794" max="794" width="1.5" style="2588" customWidth="1"/>
    <col min="795" max="795" width="10.25" style="2588" customWidth="1"/>
    <col min="796" max="797" width="11.125" style="2588" customWidth="1"/>
    <col min="798" max="798" width="1.5" style="2588" customWidth="1"/>
    <col min="799" max="799" width="3.25" style="2588" customWidth="1"/>
    <col min="800" max="801" width="11.125" style="2588" customWidth="1"/>
    <col min="802" max="802" width="1.5" style="2588" customWidth="1"/>
    <col min="803" max="808" width="11.125" style="2588" customWidth="1"/>
    <col min="809" max="809" width="1.5" style="2588" customWidth="1"/>
    <col min="810" max="810" width="10.25" style="2588" customWidth="1"/>
    <col min="811" max="812" width="11.125" style="2588" customWidth="1"/>
    <col min="813" max="813" width="1.5" style="2588" customWidth="1"/>
    <col min="814" max="815" width="6.875" style="2588"/>
    <col min="816" max="816" width="9.875" style="2588" customWidth="1"/>
    <col min="817" max="1024" width="6.875" style="2588"/>
    <col min="1025" max="1025" width="3.25" style="2588" customWidth="1"/>
    <col min="1026" max="1027" width="11.125" style="2588" customWidth="1"/>
    <col min="1028" max="1028" width="1.5" style="2588" customWidth="1"/>
    <col min="1029" max="1034" width="11.125" style="2588" customWidth="1"/>
    <col min="1035" max="1035" width="1.5" style="2588" customWidth="1"/>
    <col min="1036" max="1036" width="10.25" style="2588" customWidth="1"/>
    <col min="1037" max="1038" width="11.125" style="2588" customWidth="1"/>
    <col min="1039" max="1039" width="1.5" style="2588" customWidth="1"/>
    <col min="1040" max="1040" width="3.25" style="2588" customWidth="1"/>
    <col min="1041" max="1042" width="11.125" style="2588" customWidth="1"/>
    <col min="1043" max="1043" width="1.5" style="2588" customWidth="1"/>
    <col min="1044" max="1049" width="11.125" style="2588" customWidth="1"/>
    <col min="1050" max="1050" width="1.5" style="2588" customWidth="1"/>
    <col min="1051" max="1051" width="10.25" style="2588" customWidth="1"/>
    <col min="1052" max="1053" width="11.125" style="2588" customWidth="1"/>
    <col min="1054" max="1054" width="1.5" style="2588" customWidth="1"/>
    <col min="1055" max="1055" width="3.25" style="2588" customWidth="1"/>
    <col min="1056" max="1057" width="11.125" style="2588" customWidth="1"/>
    <col min="1058" max="1058" width="1.5" style="2588" customWidth="1"/>
    <col min="1059" max="1064" width="11.125" style="2588" customWidth="1"/>
    <col min="1065" max="1065" width="1.5" style="2588" customWidth="1"/>
    <col min="1066" max="1066" width="10.25" style="2588" customWidth="1"/>
    <col min="1067" max="1068" width="11.125" style="2588" customWidth="1"/>
    <col min="1069" max="1069" width="1.5" style="2588" customWidth="1"/>
    <col min="1070" max="1071" width="6.875" style="2588"/>
    <col min="1072" max="1072" width="9.875" style="2588" customWidth="1"/>
    <col min="1073" max="1280" width="6.875" style="2588"/>
    <col min="1281" max="1281" width="3.25" style="2588" customWidth="1"/>
    <col min="1282" max="1283" width="11.125" style="2588" customWidth="1"/>
    <col min="1284" max="1284" width="1.5" style="2588" customWidth="1"/>
    <col min="1285" max="1290" width="11.125" style="2588" customWidth="1"/>
    <col min="1291" max="1291" width="1.5" style="2588" customWidth="1"/>
    <col min="1292" max="1292" width="10.25" style="2588" customWidth="1"/>
    <col min="1293" max="1294" width="11.125" style="2588" customWidth="1"/>
    <col min="1295" max="1295" width="1.5" style="2588" customWidth="1"/>
    <col min="1296" max="1296" width="3.25" style="2588" customWidth="1"/>
    <col min="1297" max="1298" width="11.125" style="2588" customWidth="1"/>
    <col min="1299" max="1299" width="1.5" style="2588" customWidth="1"/>
    <col min="1300" max="1305" width="11.125" style="2588" customWidth="1"/>
    <col min="1306" max="1306" width="1.5" style="2588" customWidth="1"/>
    <col min="1307" max="1307" width="10.25" style="2588" customWidth="1"/>
    <col min="1308" max="1309" width="11.125" style="2588" customWidth="1"/>
    <col min="1310" max="1310" width="1.5" style="2588" customWidth="1"/>
    <col min="1311" max="1311" width="3.25" style="2588" customWidth="1"/>
    <col min="1312" max="1313" width="11.125" style="2588" customWidth="1"/>
    <col min="1314" max="1314" width="1.5" style="2588" customWidth="1"/>
    <col min="1315" max="1320" width="11.125" style="2588" customWidth="1"/>
    <col min="1321" max="1321" width="1.5" style="2588" customWidth="1"/>
    <col min="1322" max="1322" width="10.25" style="2588" customWidth="1"/>
    <col min="1323" max="1324" width="11.125" style="2588" customWidth="1"/>
    <col min="1325" max="1325" width="1.5" style="2588" customWidth="1"/>
    <col min="1326" max="1327" width="6.875" style="2588"/>
    <col min="1328" max="1328" width="9.875" style="2588" customWidth="1"/>
    <col min="1329" max="1536" width="6.875" style="2588"/>
    <col min="1537" max="1537" width="3.25" style="2588" customWidth="1"/>
    <col min="1538" max="1539" width="11.125" style="2588" customWidth="1"/>
    <col min="1540" max="1540" width="1.5" style="2588" customWidth="1"/>
    <col min="1541" max="1546" width="11.125" style="2588" customWidth="1"/>
    <col min="1547" max="1547" width="1.5" style="2588" customWidth="1"/>
    <col min="1548" max="1548" width="10.25" style="2588" customWidth="1"/>
    <col min="1549" max="1550" width="11.125" style="2588" customWidth="1"/>
    <col min="1551" max="1551" width="1.5" style="2588" customWidth="1"/>
    <col min="1552" max="1552" width="3.25" style="2588" customWidth="1"/>
    <col min="1553" max="1554" width="11.125" style="2588" customWidth="1"/>
    <col min="1555" max="1555" width="1.5" style="2588" customWidth="1"/>
    <col min="1556" max="1561" width="11.125" style="2588" customWidth="1"/>
    <col min="1562" max="1562" width="1.5" style="2588" customWidth="1"/>
    <col min="1563" max="1563" width="10.25" style="2588" customWidth="1"/>
    <col min="1564" max="1565" width="11.125" style="2588" customWidth="1"/>
    <col min="1566" max="1566" width="1.5" style="2588" customWidth="1"/>
    <col min="1567" max="1567" width="3.25" style="2588" customWidth="1"/>
    <col min="1568" max="1569" width="11.125" style="2588" customWidth="1"/>
    <col min="1570" max="1570" width="1.5" style="2588" customWidth="1"/>
    <col min="1571" max="1576" width="11.125" style="2588" customWidth="1"/>
    <col min="1577" max="1577" width="1.5" style="2588" customWidth="1"/>
    <col min="1578" max="1578" width="10.25" style="2588" customWidth="1"/>
    <col min="1579" max="1580" width="11.125" style="2588" customWidth="1"/>
    <col min="1581" max="1581" width="1.5" style="2588" customWidth="1"/>
    <col min="1582" max="1583" width="6.875" style="2588"/>
    <col min="1584" max="1584" width="9.875" style="2588" customWidth="1"/>
    <col min="1585" max="1792" width="6.875" style="2588"/>
    <col min="1793" max="1793" width="3.25" style="2588" customWidth="1"/>
    <col min="1794" max="1795" width="11.125" style="2588" customWidth="1"/>
    <col min="1796" max="1796" width="1.5" style="2588" customWidth="1"/>
    <col min="1797" max="1802" width="11.125" style="2588" customWidth="1"/>
    <col min="1803" max="1803" width="1.5" style="2588" customWidth="1"/>
    <col min="1804" max="1804" width="10.25" style="2588" customWidth="1"/>
    <col min="1805" max="1806" width="11.125" style="2588" customWidth="1"/>
    <col min="1807" max="1807" width="1.5" style="2588" customWidth="1"/>
    <col min="1808" max="1808" width="3.25" style="2588" customWidth="1"/>
    <col min="1809" max="1810" width="11.125" style="2588" customWidth="1"/>
    <col min="1811" max="1811" width="1.5" style="2588" customWidth="1"/>
    <col min="1812" max="1817" width="11.125" style="2588" customWidth="1"/>
    <col min="1818" max="1818" width="1.5" style="2588" customWidth="1"/>
    <col min="1819" max="1819" width="10.25" style="2588" customWidth="1"/>
    <col min="1820" max="1821" width="11.125" style="2588" customWidth="1"/>
    <col min="1822" max="1822" width="1.5" style="2588" customWidth="1"/>
    <col min="1823" max="1823" width="3.25" style="2588" customWidth="1"/>
    <col min="1824" max="1825" width="11.125" style="2588" customWidth="1"/>
    <col min="1826" max="1826" width="1.5" style="2588" customWidth="1"/>
    <col min="1827" max="1832" width="11.125" style="2588" customWidth="1"/>
    <col min="1833" max="1833" width="1.5" style="2588" customWidth="1"/>
    <col min="1834" max="1834" width="10.25" style="2588" customWidth="1"/>
    <col min="1835" max="1836" width="11.125" style="2588" customWidth="1"/>
    <col min="1837" max="1837" width="1.5" style="2588" customWidth="1"/>
    <col min="1838" max="1839" width="6.875" style="2588"/>
    <col min="1840" max="1840" width="9.875" style="2588" customWidth="1"/>
    <col min="1841" max="2048" width="6.875" style="2588"/>
    <col min="2049" max="2049" width="3.25" style="2588" customWidth="1"/>
    <col min="2050" max="2051" width="11.125" style="2588" customWidth="1"/>
    <col min="2052" max="2052" width="1.5" style="2588" customWidth="1"/>
    <col min="2053" max="2058" width="11.125" style="2588" customWidth="1"/>
    <col min="2059" max="2059" width="1.5" style="2588" customWidth="1"/>
    <col min="2060" max="2060" width="10.25" style="2588" customWidth="1"/>
    <col min="2061" max="2062" width="11.125" style="2588" customWidth="1"/>
    <col min="2063" max="2063" width="1.5" style="2588" customWidth="1"/>
    <col min="2064" max="2064" width="3.25" style="2588" customWidth="1"/>
    <col min="2065" max="2066" width="11.125" style="2588" customWidth="1"/>
    <col min="2067" max="2067" width="1.5" style="2588" customWidth="1"/>
    <col min="2068" max="2073" width="11.125" style="2588" customWidth="1"/>
    <col min="2074" max="2074" width="1.5" style="2588" customWidth="1"/>
    <col min="2075" max="2075" width="10.25" style="2588" customWidth="1"/>
    <col min="2076" max="2077" width="11.125" style="2588" customWidth="1"/>
    <col min="2078" max="2078" width="1.5" style="2588" customWidth="1"/>
    <col min="2079" max="2079" width="3.25" style="2588" customWidth="1"/>
    <col min="2080" max="2081" width="11.125" style="2588" customWidth="1"/>
    <col min="2082" max="2082" width="1.5" style="2588" customWidth="1"/>
    <col min="2083" max="2088" width="11.125" style="2588" customWidth="1"/>
    <col min="2089" max="2089" width="1.5" style="2588" customWidth="1"/>
    <col min="2090" max="2090" width="10.25" style="2588" customWidth="1"/>
    <col min="2091" max="2092" width="11.125" style="2588" customWidth="1"/>
    <col min="2093" max="2093" width="1.5" style="2588" customWidth="1"/>
    <col min="2094" max="2095" width="6.875" style="2588"/>
    <col min="2096" max="2096" width="9.875" style="2588" customWidth="1"/>
    <col min="2097" max="2304" width="6.875" style="2588"/>
    <col min="2305" max="2305" width="3.25" style="2588" customWidth="1"/>
    <col min="2306" max="2307" width="11.125" style="2588" customWidth="1"/>
    <col min="2308" max="2308" width="1.5" style="2588" customWidth="1"/>
    <col min="2309" max="2314" width="11.125" style="2588" customWidth="1"/>
    <col min="2315" max="2315" width="1.5" style="2588" customWidth="1"/>
    <col min="2316" max="2316" width="10.25" style="2588" customWidth="1"/>
    <col min="2317" max="2318" width="11.125" style="2588" customWidth="1"/>
    <col min="2319" max="2319" width="1.5" style="2588" customWidth="1"/>
    <col min="2320" max="2320" width="3.25" style="2588" customWidth="1"/>
    <col min="2321" max="2322" width="11.125" style="2588" customWidth="1"/>
    <col min="2323" max="2323" width="1.5" style="2588" customWidth="1"/>
    <col min="2324" max="2329" width="11.125" style="2588" customWidth="1"/>
    <col min="2330" max="2330" width="1.5" style="2588" customWidth="1"/>
    <col min="2331" max="2331" width="10.25" style="2588" customWidth="1"/>
    <col min="2332" max="2333" width="11.125" style="2588" customWidth="1"/>
    <col min="2334" max="2334" width="1.5" style="2588" customWidth="1"/>
    <col min="2335" max="2335" width="3.25" style="2588" customWidth="1"/>
    <col min="2336" max="2337" width="11.125" style="2588" customWidth="1"/>
    <col min="2338" max="2338" width="1.5" style="2588" customWidth="1"/>
    <col min="2339" max="2344" width="11.125" style="2588" customWidth="1"/>
    <col min="2345" max="2345" width="1.5" style="2588" customWidth="1"/>
    <col min="2346" max="2346" width="10.25" style="2588" customWidth="1"/>
    <col min="2347" max="2348" width="11.125" style="2588" customWidth="1"/>
    <col min="2349" max="2349" width="1.5" style="2588" customWidth="1"/>
    <col min="2350" max="2351" width="6.875" style="2588"/>
    <col min="2352" max="2352" width="9.875" style="2588" customWidth="1"/>
    <col min="2353" max="2560" width="6.875" style="2588"/>
    <col min="2561" max="2561" width="3.25" style="2588" customWidth="1"/>
    <col min="2562" max="2563" width="11.125" style="2588" customWidth="1"/>
    <col min="2564" max="2564" width="1.5" style="2588" customWidth="1"/>
    <col min="2565" max="2570" width="11.125" style="2588" customWidth="1"/>
    <col min="2571" max="2571" width="1.5" style="2588" customWidth="1"/>
    <col min="2572" max="2572" width="10.25" style="2588" customWidth="1"/>
    <col min="2573" max="2574" width="11.125" style="2588" customWidth="1"/>
    <col min="2575" max="2575" width="1.5" style="2588" customWidth="1"/>
    <col min="2576" max="2576" width="3.25" style="2588" customWidth="1"/>
    <col min="2577" max="2578" width="11.125" style="2588" customWidth="1"/>
    <col min="2579" max="2579" width="1.5" style="2588" customWidth="1"/>
    <col min="2580" max="2585" width="11.125" style="2588" customWidth="1"/>
    <col min="2586" max="2586" width="1.5" style="2588" customWidth="1"/>
    <col min="2587" max="2587" width="10.25" style="2588" customWidth="1"/>
    <col min="2588" max="2589" width="11.125" style="2588" customWidth="1"/>
    <col min="2590" max="2590" width="1.5" style="2588" customWidth="1"/>
    <col min="2591" max="2591" width="3.25" style="2588" customWidth="1"/>
    <col min="2592" max="2593" width="11.125" style="2588" customWidth="1"/>
    <col min="2594" max="2594" width="1.5" style="2588" customWidth="1"/>
    <col min="2595" max="2600" width="11.125" style="2588" customWidth="1"/>
    <col min="2601" max="2601" width="1.5" style="2588" customWidth="1"/>
    <col min="2602" max="2602" width="10.25" style="2588" customWidth="1"/>
    <col min="2603" max="2604" width="11.125" style="2588" customWidth="1"/>
    <col min="2605" max="2605" width="1.5" style="2588" customWidth="1"/>
    <col min="2606" max="2607" width="6.875" style="2588"/>
    <col min="2608" max="2608" width="9.875" style="2588" customWidth="1"/>
    <col min="2609" max="2816" width="6.875" style="2588"/>
    <col min="2817" max="2817" width="3.25" style="2588" customWidth="1"/>
    <col min="2818" max="2819" width="11.125" style="2588" customWidth="1"/>
    <col min="2820" max="2820" width="1.5" style="2588" customWidth="1"/>
    <col min="2821" max="2826" width="11.125" style="2588" customWidth="1"/>
    <col min="2827" max="2827" width="1.5" style="2588" customWidth="1"/>
    <col min="2828" max="2828" width="10.25" style="2588" customWidth="1"/>
    <col min="2829" max="2830" width="11.125" style="2588" customWidth="1"/>
    <col min="2831" max="2831" width="1.5" style="2588" customWidth="1"/>
    <col min="2832" max="2832" width="3.25" style="2588" customWidth="1"/>
    <col min="2833" max="2834" width="11.125" style="2588" customWidth="1"/>
    <col min="2835" max="2835" width="1.5" style="2588" customWidth="1"/>
    <col min="2836" max="2841" width="11.125" style="2588" customWidth="1"/>
    <col min="2842" max="2842" width="1.5" style="2588" customWidth="1"/>
    <col min="2843" max="2843" width="10.25" style="2588" customWidth="1"/>
    <col min="2844" max="2845" width="11.125" style="2588" customWidth="1"/>
    <col min="2846" max="2846" width="1.5" style="2588" customWidth="1"/>
    <col min="2847" max="2847" width="3.25" style="2588" customWidth="1"/>
    <col min="2848" max="2849" width="11.125" style="2588" customWidth="1"/>
    <col min="2850" max="2850" width="1.5" style="2588" customWidth="1"/>
    <col min="2851" max="2856" width="11.125" style="2588" customWidth="1"/>
    <col min="2857" max="2857" width="1.5" style="2588" customWidth="1"/>
    <col min="2858" max="2858" width="10.25" style="2588" customWidth="1"/>
    <col min="2859" max="2860" width="11.125" style="2588" customWidth="1"/>
    <col min="2861" max="2861" width="1.5" style="2588" customWidth="1"/>
    <col min="2862" max="2863" width="6.875" style="2588"/>
    <col min="2864" max="2864" width="9.875" style="2588" customWidth="1"/>
    <col min="2865" max="3072" width="6.875" style="2588"/>
    <col min="3073" max="3073" width="3.25" style="2588" customWidth="1"/>
    <col min="3074" max="3075" width="11.125" style="2588" customWidth="1"/>
    <col min="3076" max="3076" width="1.5" style="2588" customWidth="1"/>
    <col min="3077" max="3082" width="11.125" style="2588" customWidth="1"/>
    <col min="3083" max="3083" width="1.5" style="2588" customWidth="1"/>
    <col min="3084" max="3084" width="10.25" style="2588" customWidth="1"/>
    <col min="3085" max="3086" width="11.125" style="2588" customWidth="1"/>
    <col min="3087" max="3087" width="1.5" style="2588" customWidth="1"/>
    <col min="3088" max="3088" width="3.25" style="2588" customWidth="1"/>
    <col min="3089" max="3090" width="11.125" style="2588" customWidth="1"/>
    <col min="3091" max="3091" width="1.5" style="2588" customWidth="1"/>
    <col min="3092" max="3097" width="11.125" style="2588" customWidth="1"/>
    <col min="3098" max="3098" width="1.5" style="2588" customWidth="1"/>
    <col min="3099" max="3099" width="10.25" style="2588" customWidth="1"/>
    <col min="3100" max="3101" width="11.125" style="2588" customWidth="1"/>
    <col min="3102" max="3102" width="1.5" style="2588" customWidth="1"/>
    <col min="3103" max="3103" width="3.25" style="2588" customWidth="1"/>
    <col min="3104" max="3105" width="11.125" style="2588" customWidth="1"/>
    <col min="3106" max="3106" width="1.5" style="2588" customWidth="1"/>
    <col min="3107" max="3112" width="11.125" style="2588" customWidth="1"/>
    <col min="3113" max="3113" width="1.5" style="2588" customWidth="1"/>
    <col min="3114" max="3114" width="10.25" style="2588" customWidth="1"/>
    <col min="3115" max="3116" width="11.125" style="2588" customWidth="1"/>
    <col min="3117" max="3117" width="1.5" style="2588" customWidth="1"/>
    <col min="3118" max="3119" width="6.875" style="2588"/>
    <col min="3120" max="3120" width="9.875" style="2588" customWidth="1"/>
    <col min="3121" max="3328" width="6.875" style="2588"/>
    <col min="3329" max="3329" width="3.25" style="2588" customWidth="1"/>
    <col min="3330" max="3331" width="11.125" style="2588" customWidth="1"/>
    <col min="3332" max="3332" width="1.5" style="2588" customWidth="1"/>
    <col min="3333" max="3338" width="11.125" style="2588" customWidth="1"/>
    <col min="3339" max="3339" width="1.5" style="2588" customWidth="1"/>
    <col min="3340" max="3340" width="10.25" style="2588" customWidth="1"/>
    <col min="3341" max="3342" width="11.125" style="2588" customWidth="1"/>
    <col min="3343" max="3343" width="1.5" style="2588" customWidth="1"/>
    <col min="3344" max="3344" width="3.25" style="2588" customWidth="1"/>
    <col min="3345" max="3346" width="11.125" style="2588" customWidth="1"/>
    <col min="3347" max="3347" width="1.5" style="2588" customWidth="1"/>
    <col min="3348" max="3353" width="11.125" style="2588" customWidth="1"/>
    <col min="3354" max="3354" width="1.5" style="2588" customWidth="1"/>
    <col min="3355" max="3355" width="10.25" style="2588" customWidth="1"/>
    <col min="3356" max="3357" width="11.125" style="2588" customWidth="1"/>
    <col min="3358" max="3358" width="1.5" style="2588" customWidth="1"/>
    <col min="3359" max="3359" width="3.25" style="2588" customWidth="1"/>
    <col min="3360" max="3361" width="11.125" style="2588" customWidth="1"/>
    <col min="3362" max="3362" width="1.5" style="2588" customWidth="1"/>
    <col min="3363" max="3368" width="11.125" style="2588" customWidth="1"/>
    <col min="3369" max="3369" width="1.5" style="2588" customWidth="1"/>
    <col min="3370" max="3370" width="10.25" style="2588" customWidth="1"/>
    <col min="3371" max="3372" width="11.125" style="2588" customWidth="1"/>
    <col min="3373" max="3373" width="1.5" style="2588" customWidth="1"/>
    <col min="3374" max="3375" width="6.875" style="2588"/>
    <col min="3376" max="3376" width="9.875" style="2588" customWidth="1"/>
    <col min="3377" max="3584" width="6.875" style="2588"/>
    <col min="3585" max="3585" width="3.25" style="2588" customWidth="1"/>
    <col min="3586" max="3587" width="11.125" style="2588" customWidth="1"/>
    <col min="3588" max="3588" width="1.5" style="2588" customWidth="1"/>
    <col min="3589" max="3594" width="11.125" style="2588" customWidth="1"/>
    <col min="3595" max="3595" width="1.5" style="2588" customWidth="1"/>
    <col min="3596" max="3596" width="10.25" style="2588" customWidth="1"/>
    <col min="3597" max="3598" width="11.125" style="2588" customWidth="1"/>
    <col min="3599" max="3599" width="1.5" style="2588" customWidth="1"/>
    <col min="3600" max="3600" width="3.25" style="2588" customWidth="1"/>
    <col min="3601" max="3602" width="11.125" style="2588" customWidth="1"/>
    <col min="3603" max="3603" width="1.5" style="2588" customWidth="1"/>
    <col min="3604" max="3609" width="11.125" style="2588" customWidth="1"/>
    <col min="3610" max="3610" width="1.5" style="2588" customWidth="1"/>
    <col min="3611" max="3611" width="10.25" style="2588" customWidth="1"/>
    <col min="3612" max="3613" width="11.125" style="2588" customWidth="1"/>
    <col min="3614" max="3614" width="1.5" style="2588" customWidth="1"/>
    <col min="3615" max="3615" width="3.25" style="2588" customWidth="1"/>
    <col min="3616" max="3617" width="11.125" style="2588" customWidth="1"/>
    <col min="3618" max="3618" width="1.5" style="2588" customWidth="1"/>
    <col min="3619" max="3624" width="11.125" style="2588" customWidth="1"/>
    <col min="3625" max="3625" width="1.5" style="2588" customWidth="1"/>
    <col min="3626" max="3626" width="10.25" style="2588" customWidth="1"/>
    <col min="3627" max="3628" width="11.125" style="2588" customWidth="1"/>
    <col min="3629" max="3629" width="1.5" style="2588" customWidth="1"/>
    <col min="3630" max="3631" width="6.875" style="2588"/>
    <col min="3632" max="3632" width="9.875" style="2588" customWidth="1"/>
    <col min="3633" max="3840" width="6.875" style="2588"/>
    <col min="3841" max="3841" width="3.25" style="2588" customWidth="1"/>
    <col min="3842" max="3843" width="11.125" style="2588" customWidth="1"/>
    <col min="3844" max="3844" width="1.5" style="2588" customWidth="1"/>
    <col min="3845" max="3850" width="11.125" style="2588" customWidth="1"/>
    <col min="3851" max="3851" width="1.5" style="2588" customWidth="1"/>
    <col min="3852" max="3852" width="10.25" style="2588" customWidth="1"/>
    <col min="3853" max="3854" width="11.125" style="2588" customWidth="1"/>
    <col min="3855" max="3855" width="1.5" style="2588" customWidth="1"/>
    <col min="3856" max="3856" width="3.25" style="2588" customWidth="1"/>
    <col min="3857" max="3858" width="11.125" style="2588" customWidth="1"/>
    <col min="3859" max="3859" width="1.5" style="2588" customWidth="1"/>
    <col min="3860" max="3865" width="11.125" style="2588" customWidth="1"/>
    <col min="3866" max="3866" width="1.5" style="2588" customWidth="1"/>
    <col min="3867" max="3867" width="10.25" style="2588" customWidth="1"/>
    <col min="3868" max="3869" width="11.125" style="2588" customWidth="1"/>
    <col min="3870" max="3870" width="1.5" style="2588" customWidth="1"/>
    <col min="3871" max="3871" width="3.25" style="2588" customWidth="1"/>
    <col min="3872" max="3873" width="11.125" style="2588" customWidth="1"/>
    <col min="3874" max="3874" width="1.5" style="2588" customWidth="1"/>
    <col min="3875" max="3880" width="11.125" style="2588" customWidth="1"/>
    <col min="3881" max="3881" width="1.5" style="2588" customWidth="1"/>
    <col min="3882" max="3882" width="10.25" style="2588" customWidth="1"/>
    <col min="3883" max="3884" width="11.125" style="2588" customWidth="1"/>
    <col min="3885" max="3885" width="1.5" style="2588" customWidth="1"/>
    <col min="3886" max="3887" width="6.875" style="2588"/>
    <col min="3888" max="3888" width="9.875" style="2588" customWidth="1"/>
    <col min="3889" max="4096" width="6.875" style="2588"/>
    <col min="4097" max="4097" width="3.25" style="2588" customWidth="1"/>
    <col min="4098" max="4099" width="11.125" style="2588" customWidth="1"/>
    <col min="4100" max="4100" width="1.5" style="2588" customWidth="1"/>
    <col min="4101" max="4106" width="11.125" style="2588" customWidth="1"/>
    <col min="4107" max="4107" width="1.5" style="2588" customWidth="1"/>
    <col min="4108" max="4108" width="10.25" style="2588" customWidth="1"/>
    <col min="4109" max="4110" width="11.125" style="2588" customWidth="1"/>
    <col min="4111" max="4111" width="1.5" style="2588" customWidth="1"/>
    <col min="4112" max="4112" width="3.25" style="2588" customWidth="1"/>
    <col min="4113" max="4114" width="11.125" style="2588" customWidth="1"/>
    <col min="4115" max="4115" width="1.5" style="2588" customWidth="1"/>
    <col min="4116" max="4121" width="11.125" style="2588" customWidth="1"/>
    <col min="4122" max="4122" width="1.5" style="2588" customWidth="1"/>
    <col min="4123" max="4123" width="10.25" style="2588" customWidth="1"/>
    <col min="4124" max="4125" width="11.125" style="2588" customWidth="1"/>
    <col min="4126" max="4126" width="1.5" style="2588" customWidth="1"/>
    <col min="4127" max="4127" width="3.25" style="2588" customWidth="1"/>
    <col min="4128" max="4129" width="11.125" style="2588" customWidth="1"/>
    <col min="4130" max="4130" width="1.5" style="2588" customWidth="1"/>
    <col min="4131" max="4136" width="11.125" style="2588" customWidth="1"/>
    <col min="4137" max="4137" width="1.5" style="2588" customWidth="1"/>
    <col min="4138" max="4138" width="10.25" style="2588" customWidth="1"/>
    <col min="4139" max="4140" width="11.125" style="2588" customWidth="1"/>
    <col min="4141" max="4141" width="1.5" style="2588" customWidth="1"/>
    <col min="4142" max="4143" width="6.875" style="2588"/>
    <col min="4144" max="4144" width="9.875" style="2588" customWidth="1"/>
    <col min="4145" max="4352" width="6.875" style="2588"/>
    <col min="4353" max="4353" width="3.25" style="2588" customWidth="1"/>
    <col min="4354" max="4355" width="11.125" style="2588" customWidth="1"/>
    <col min="4356" max="4356" width="1.5" style="2588" customWidth="1"/>
    <col min="4357" max="4362" width="11.125" style="2588" customWidth="1"/>
    <col min="4363" max="4363" width="1.5" style="2588" customWidth="1"/>
    <col min="4364" max="4364" width="10.25" style="2588" customWidth="1"/>
    <col min="4365" max="4366" width="11.125" style="2588" customWidth="1"/>
    <col min="4367" max="4367" width="1.5" style="2588" customWidth="1"/>
    <col min="4368" max="4368" width="3.25" style="2588" customWidth="1"/>
    <col min="4369" max="4370" width="11.125" style="2588" customWidth="1"/>
    <col min="4371" max="4371" width="1.5" style="2588" customWidth="1"/>
    <col min="4372" max="4377" width="11.125" style="2588" customWidth="1"/>
    <col min="4378" max="4378" width="1.5" style="2588" customWidth="1"/>
    <col min="4379" max="4379" width="10.25" style="2588" customWidth="1"/>
    <col min="4380" max="4381" width="11.125" style="2588" customWidth="1"/>
    <col min="4382" max="4382" width="1.5" style="2588" customWidth="1"/>
    <col min="4383" max="4383" width="3.25" style="2588" customWidth="1"/>
    <col min="4384" max="4385" width="11.125" style="2588" customWidth="1"/>
    <col min="4386" max="4386" width="1.5" style="2588" customWidth="1"/>
    <col min="4387" max="4392" width="11.125" style="2588" customWidth="1"/>
    <col min="4393" max="4393" width="1.5" style="2588" customWidth="1"/>
    <col min="4394" max="4394" width="10.25" style="2588" customWidth="1"/>
    <col min="4395" max="4396" width="11.125" style="2588" customWidth="1"/>
    <col min="4397" max="4397" width="1.5" style="2588" customWidth="1"/>
    <col min="4398" max="4399" width="6.875" style="2588"/>
    <col min="4400" max="4400" width="9.875" style="2588" customWidth="1"/>
    <col min="4401" max="4608" width="6.875" style="2588"/>
    <col min="4609" max="4609" width="3.25" style="2588" customWidth="1"/>
    <col min="4610" max="4611" width="11.125" style="2588" customWidth="1"/>
    <col min="4612" max="4612" width="1.5" style="2588" customWidth="1"/>
    <col min="4613" max="4618" width="11.125" style="2588" customWidth="1"/>
    <col min="4619" max="4619" width="1.5" style="2588" customWidth="1"/>
    <col min="4620" max="4620" width="10.25" style="2588" customWidth="1"/>
    <col min="4621" max="4622" width="11.125" style="2588" customWidth="1"/>
    <col min="4623" max="4623" width="1.5" style="2588" customWidth="1"/>
    <col min="4624" max="4624" width="3.25" style="2588" customWidth="1"/>
    <col min="4625" max="4626" width="11.125" style="2588" customWidth="1"/>
    <col min="4627" max="4627" width="1.5" style="2588" customWidth="1"/>
    <col min="4628" max="4633" width="11.125" style="2588" customWidth="1"/>
    <col min="4634" max="4634" width="1.5" style="2588" customWidth="1"/>
    <col min="4635" max="4635" width="10.25" style="2588" customWidth="1"/>
    <col min="4636" max="4637" width="11.125" style="2588" customWidth="1"/>
    <col min="4638" max="4638" width="1.5" style="2588" customWidth="1"/>
    <col min="4639" max="4639" width="3.25" style="2588" customWidth="1"/>
    <col min="4640" max="4641" width="11.125" style="2588" customWidth="1"/>
    <col min="4642" max="4642" width="1.5" style="2588" customWidth="1"/>
    <col min="4643" max="4648" width="11.125" style="2588" customWidth="1"/>
    <col min="4649" max="4649" width="1.5" style="2588" customWidth="1"/>
    <col min="4650" max="4650" width="10.25" style="2588" customWidth="1"/>
    <col min="4651" max="4652" width="11.125" style="2588" customWidth="1"/>
    <col min="4653" max="4653" width="1.5" style="2588" customWidth="1"/>
    <col min="4654" max="4655" width="6.875" style="2588"/>
    <col min="4656" max="4656" width="9.875" style="2588" customWidth="1"/>
    <col min="4657" max="4864" width="6.875" style="2588"/>
    <col min="4865" max="4865" width="3.25" style="2588" customWidth="1"/>
    <col min="4866" max="4867" width="11.125" style="2588" customWidth="1"/>
    <col min="4868" max="4868" width="1.5" style="2588" customWidth="1"/>
    <col min="4869" max="4874" width="11.125" style="2588" customWidth="1"/>
    <col min="4875" max="4875" width="1.5" style="2588" customWidth="1"/>
    <col min="4876" max="4876" width="10.25" style="2588" customWidth="1"/>
    <col min="4877" max="4878" width="11.125" style="2588" customWidth="1"/>
    <col min="4879" max="4879" width="1.5" style="2588" customWidth="1"/>
    <col min="4880" max="4880" width="3.25" style="2588" customWidth="1"/>
    <col min="4881" max="4882" width="11.125" style="2588" customWidth="1"/>
    <col min="4883" max="4883" width="1.5" style="2588" customWidth="1"/>
    <col min="4884" max="4889" width="11.125" style="2588" customWidth="1"/>
    <col min="4890" max="4890" width="1.5" style="2588" customWidth="1"/>
    <col min="4891" max="4891" width="10.25" style="2588" customWidth="1"/>
    <col min="4892" max="4893" width="11.125" style="2588" customWidth="1"/>
    <col min="4894" max="4894" width="1.5" style="2588" customWidth="1"/>
    <col min="4895" max="4895" width="3.25" style="2588" customWidth="1"/>
    <col min="4896" max="4897" width="11.125" style="2588" customWidth="1"/>
    <col min="4898" max="4898" width="1.5" style="2588" customWidth="1"/>
    <col min="4899" max="4904" width="11.125" style="2588" customWidth="1"/>
    <col min="4905" max="4905" width="1.5" style="2588" customWidth="1"/>
    <col min="4906" max="4906" width="10.25" style="2588" customWidth="1"/>
    <col min="4907" max="4908" width="11.125" style="2588" customWidth="1"/>
    <col min="4909" max="4909" width="1.5" style="2588" customWidth="1"/>
    <col min="4910" max="4911" width="6.875" style="2588"/>
    <col min="4912" max="4912" width="9.875" style="2588" customWidth="1"/>
    <col min="4913" max="5120" width="6.875" style="2588"/>
    <col min="5121" max="5121" width="3.25" style="2588" customWidth="1"/>
    <col min="5122" max="5123" width="11.125" style="2588" customWidth="1"/>
    <col min="5124" max="5124" width="1.5" style="2588" customWidth="1"/>
    <col min="5125" max="5130" width="11.125" style="2588" customWidth="1"/>
    <col min="5131" max="5131" width="1.5" style="2588" customWidth="1"/>
    <col min="5132" max="5132" width="10.25" style="2588" customWidth="1"/>
    <col min="5133" max="5134" width="11.125" style="2588" customWidth="1"/>
    <col min="5135" max="5135" width="1.5" style="2588" customWidth="1"/>
    <col min="5136" max="5136" width="3.25" style="2588" customWidth="1"/>
    <col min="5137" max="5138" width="11.125" style="2588" customWidth="1"/>
    <col min="5139" max="5139" width="1.5" style="2588" customWidth="1"/>
    <col min="5140" max="5145" width="11.125" style="2588" customWidth="1"/>
    <col min="5146" max="5146" width="1.5" style="2588" customWidth="1"/>
    <col min="5147" max="5147" width="10.25" style="2588" customWidth="1"/>
    <col min="5148" max="5149" width="11.125" style="2588" customWidth="1"/>
    <col min="5150" max="5150" width="1.5" style="2588" customWidth="1"/>
    <col min="5151" max="5151" width="3.25" style="2588" customWidth="1"/>
    <col min="5152" max="5153" width="11.125" style="2588" customWidth="1"/>
    <col min="5154" max="5154" width="1.5" style="2588" customWidth="1"/>
    <col min="5155" max="5160" width="11.125" style="2588" customWidth="1"/>
    <col min="5161" max="5161" width="1.5" style="2588" customWidth="1"/>
    <col min="5162" max="5162" width="10.25" style="2588" customWidth="1"/>
    <col min="5163" max="5164" width="11.125" style="2588" customWidth="1"/>
    <col min="5165" max="5165" width="1.5" style="2588" customWidth="1"/>
    <col min="5166" max="5167" width="6.875" style="2588"/>
    <col min="5168" max="5168" width="9.875" style="2588" customWidth="1"/>
    <col min="5169" max="5376" width="6.875" style="2588"/>
    <col min="5377" max="5377" width="3.25" style="2588" customWidth="1"/>
    <col min="5378" max="5379" width="11.125" style="2588" customWidth="1"/>
    <col min="5380" max="5380" width="1.5" style="2588" customWidth="1"/>
    <col min="5381" max="5386" width="11.125" style="2588" customWidth="1"/>
    <col min="5387" max="5387" width="1.5" style="2588" customWidth="1"/>
    <col min="5388" max="5388" width="10.25" style="2588" customWidth="1"/>
    <col min="5389" max="5390" width="11.125" style="2588" customWidth="1"/>
    <col min="5391" max="5391" width="1.5" style="2588" customWidth="1"/>
    <col min="5392" max="5392" width="3.25" style="2588" customWidth="1"/>
    <col min="5393" max="5394" width="11.125" style="2588" customWidth="1"/>
    <col min="5395" max="5395" width="1.5" style="2588" customWidth="1"/>
    <col min="5396" max="5401" width="11.125" style="2588" customWidth="1"/>
    <col min="5402" max="5402" width="1.5" style="2588" customWidth="1"/>
    <col min="5403" max="5403" width="10.25" style="2588" customWidth="1"/>
    <col min="5404" max="5405" width="11.125" style="2588" customWidth="1"/>
    <col min="5406" max="5406" width="1.5" style="2588" customWidth="1"/>
    <col min="5407" max="5407" width="3.25" style="2588" customWidth="1"/>
    <col min="5408" max="5409" width="11.125" style="2588" customWidth="1"/>
    <col min="5410" max="5410" width="1.5" style="2588" customWidth="1"/>
    <col min="5411" max="5416" width="11.125" style="2588" customWidth="1"/>
    <col min="5417" max="5417" width="1.5" style="2588" customWidth="1"/>
    <col min="5418" max="5418" width="10.25" style="2588" customWidth="1"/>
    <col min="5419" max="5420" width="11.125" style="2588" customWidth="1"/>
    <col min="5421" max="5421" width="1.5" style="2588" customWidth="1"/>
    <col min="5422" max="5423" width="6.875" style="2588"/>
    <col min="5424" max="5424" width="9.875" style="2588" customWidth="1"/>
    <col min="5425" max="5632" width="6.875" style="2588"/>
    <col min="5633" max="5633" width="3.25" style="2588" customWidth="1"/>
    <col min="5634" max="5635" width="11.125" style="2588" customWidth="1"/>
    <col min="5636" max="5636" width="1.5" style="2588" customWidth="1"/>
    <col min="5637" max="5642" width="11.125" style="2588" customWidth="1"/>
    <col min="5643" max="5643" width="1.5" style="2588" customWidth="1"/>
    <col min="5644" max="5644" width="10.25" style="2588" customWidth="1"/>
    <col min="5645" max="5646" width="11.125" style="2588" customWidth="1"/>
    <col min="5647" max="5647" width="1.5" style="2588" customWidth="1"/>
    <col min="5648" max="5648" width="3.25" style="2588" customWidth="1"/>
    <col min="5649" max="5650" width="11.125" style="2588" customWidth="1"/>
    <col min="5651" max="5651" width="1.5" style="2588" customWidth="1"/>
    <col min="5652" max="5657" width="11.125" style="2588" customWidth="1"/>
    <col min="5658" max="5658" width="1.5" style="2588" customWidth="1"/>
    <col min="5659" max="5659" width="10.25" style="2588" customWidth="1"/>
    <col min="5660" max="5661" width="11.125" style="2588" customWidth="1"/>
    <col min="5662" max="5662" width="1.5" style="2588" customWidth="1"/>
    <col min="5663" max="5663" width="3.25" style="2588" customWidth="1"/>
    <col min="5664" max="5665" width="11.125" style="2588" customWidth="1"/>
    <col min="5666" max="5666" width="1.5" style="2588" customWidth="1"/>
    <col min="5667" max="5672" width="11.125" style="2588" customWidth="1"/>
    <col min="5673" max="5673" width="1.5" style="2588" customWidth="1"/>
    <col min="5674" max="5674" width="10.25" style="2588" customWidth="1"/>
    <col min="5675" max="5676" width="11.125" style="2588" customWidth="1"/>
    <col min="5677" max="5677" width="1.5" style="2588" customWidth="1"/>
    <col min="5678" max="5679" width="6.875" style="2588"/>
    <col min="5680" max="5680" width="9.875" style="2588" customWidth="1"/>
    <col min="5681" max="5888" width="6.875" style="2588"/>
    <col min="5889" max="5889" width="3.25" style="2588" customWidth="1"/>
    <col min="5890" max="5891" width="11.125" style="2588" customWidth="1"/>
    <col min="5892" max="5892" width="1.5" style="2588" customWidth="1"/>
    <col min="5893" max="5898" width="11.125" style="2588" customWidth="1"/>
    <col min="5899" max="5899" width="1.5" style="2588" customWidth="1"/>
    <col min="5900" max="5900" width="10.25" style="2588" customWidth="1"/>
    <col min="5901" max="5902" width="11.125" style="2588" customWidth="1"/>
    <col min="5903" max="5903" width="1.5" style="2588" customWidth="1"/>
    <col min="5904" max="5904" width="3.25" style="2588" customWidth="1"/>
    <col min="5905" max="5906" width="11.125" style="2588" customWidth="1"/>
    <col min="5907" max="5907" width="1.5" style="2588" customWidth="1"/>
    <col min="5908" max="5913" width="11.125" style="2588" customWidth="1"/>
    <col min="5914" max="5914" width="1.5" style="2588" customWidth="1"/>
    <col min="5915" max="5915" width="10.25" style="2588" customWidth="1"/>
    <col min="5916" max="5917" width="11.125" style="2588" customWidth="1"/>
    <col min="5918" max="5918" width="1.5" style="2588" customWidth="1"/>
    <col min="5919" max="5919" width="3.25" style="2588" customWidth="1"/>
    <col min="5920" max="5921" width="11.125" style="2588" customWidth="1"/>
    <col min="5922" max="5922" width="1.5" style="2588" customWidth="1"/>
    <col min="5923" max="5928" width="11.125" style="2588" customWidth="1"/>
    <col min="5929" max="5929" width="1.5" style="2588" customWidth="1"/>
    <col min="5930" max="5930" width="10.25" style="2588" customWidth="1"/>
    <col min="5931" max="5932" width="11.125" style="2588" customWidth="1"/>
    <col min="5933" max="5933" width="1.5" style="2588" customWidth="1"/>
    <col min="5934" max="5935" width="6.875" style="2588"/>
    <col min="5936" max="5936" width="9.875" style="2588" customWidth="1"/>
    <col min="5937" max="6144" width="6.875" style="2588"/>
    <col min="6145" max="6145" width="3.25" style="2588" customWidth="1"/>
    <col min="6146" max="6147" width="11.125" style="2588" customWidth="1"/>
    <col min="6148" max="6148" width="1.5" style="2588" customWidth="1"/>
    <col min="6149" max="6154" width="11.125" style="2588" customWidth="1"/>
    <col min="6155" max="6155" width="1.5" style="2588" customWidth="1"/>
    <col min="6156" max="6156" width="10.25" style="2588" customWidth="1"/>
    <col min="6157" max="6158" width="11.125" style="2588" customWidth="1"/>
    <col min="6159" max="6159" width="1.5" style="2588" customWidth="1"/>
    <col min="6160" max="6160" width="3.25" style="2588" customWidth="1"/>
    <col min="6161" max="6162" width="11.125" style="2588" customWidth="1"/>
    <col min="6163" max="6163" width="1.5" style="2588" customWidth="1"/>
    <col min="6164" max="6169" width="11.125" style="2588" customWidth="1"/>
    <col min="6170" max="6170" width="1.5" style="2588" customWidth="1"/>
    <col min="6171" max="6171" width="10.25" style="2588" customWidth="1"/>
    <col min="6172" max="6173" width="11.125" style="2588" customWidth="1"/>
    <col min="6174" max="6174" width="1.5" style="2588" customWidth="1"/>
    <col min="6175" max="6175" width="3.25" style="2588" customWidth="1"/>
    <col min="6176" max="6177" width="11.125" style="2588" customWidth="1"/>
    <col min="6178" max="6178" width="1.5" style="2588" customWidth="1"/>
    <col min="6179" max="6184" width="11.125" style="2588" customWidth="1"/>
    <col min="6185" max="6185" width="1.5" style="2588" customWidth="1"/>
    <col min="6186" max="6186" width="10.25" style="2588" customWidth="1"/>
    <col min="6187" max="6188" width="11.125" style="2588" customWidth="1"/>
    <col min="6189" max="6189" width="1.5" style="2588" customWidth="1"/>
    <col min="6190" max="6191" width="6.875" style="2588"/>
    <col min="6192" max="6192" width="9.875" style="2588" customWidth="1"/>
    <col min="6193" max="6400" width="6.875" style="2588"/>
    <col min="6401" max="6401" width="3.25" style="2588" customWidth="1"/>
    <col min="6402" max="6403" width="11.125" style="2588" customWidth="1"/>
    <col min="6404" max="6404" width="1.5" style="2588" customWidth="1"/>
    <col min="6405" max="6410" width="11.125" style="2588" customWidth="1"/>
    <col min="6411" max="6411" width="1.5" style="2588" customWidth="1"/>
    <col min="6412" max="6412" width="10.25" style="2588" customWidth="1"/>
    <col min="6413" max="6414" width="11.125" style="2588" customWidth="1"/>
    <col min="6415" max="6415" width="1.5" style="2588" customWidth="1"/>
    <col min="6416" max="6416" width="3.25" style="2588" customWidth="1"/>
    <col min="6417" max="6418" width="11.125" style="2588" customWidth="1"/>
    <col min="6419" max="6419" width="1.5" style="2588" customWidth="1"/>
    <col min="6420" max="6425" width="11.125" style="2588" customWidth="1"/>
    <col min="6426" max="6426" width="1.5" style="2588" customWidth="1"/>
    <col min="6427" max="6427" width="10.25" style="2588" customWidth="1"/>
    <col min="6428" max="6429" width="11.125" style="2588" customWidth="1"/>
    <col min="6430" max="6430" width="1.5" style="2588" customWidth="1"/>
    <col min="6431" max="6431" width="3.25" style="2588" customWidth="1"/>
    <col min="6432" max="6433" width="11.125" style="2588" customWidth="1"/>
    <col min="6434" max="6434" width="1.5" style="2588" customWidth="1"/>
    <col min="6435" max="6440" width="11.125" style="2588" customWidth="1"/>
    <col min="6441" max="6441" width="1.5" style="2588" customWidth="1"/>
    <col min="6442" max="6442" width="10.25" style="2588" customWidth="1"/>
    <col min="6443" max="6444" width="11.125" style="2588" customWidth="1"/>
    <col min="6445" max="6445" width="1.5" style="2588" customWidth="1"/>
    <col min="6446" max="6447" width="6.875" style="2588"/>
    <col min="6448" max="6448" width="9.875" style="2588" customWidth="1"/>
    <col min="6449" max="6656" width="6.875" style="2588"/>
    <col min="6657" max="6657" width="3.25" style="2588" customWidth="1"/>
    <col min="6658" max="6659" width="11.125" style="2588" customWidth="1"/>
    <col min="6660" max="6660" width="1.5" style="2588" customWidth="1"/>
    <col min="6661" max="6666" width="11.125" style="2588" customWidth="1"/>
    <col min="6667" max="6667" width="1.5" style="2588" customWidth="1"/>
    <col min="6668" max="6668" width="10.25" style="2588" customWidth="1"/>
    <col min="6669" max="6670" width="11.125" style="2588" customWidth="1"/>
    <col min="6671" max="6671" width="1.5" style="2588" customWidth="1"/>
    <col min="6672" max="6672" width="3.25" style="2588" customWidth="1"/>
    <col min="6673" max="6674" width="11.125" style="2588" customWidth="1"/>
    <col min="6675" max="6675" width="1.5" style="2588" customWidth="1"/>
    <col min="6676" max="6681" width="11.125" style="2588" customWidth="1"/>
    <col min="6682" max="6682" width="1.5" style="2588" customWidth="1"/>
    <col min="6683" max="6683" width="10.25" style="2588" customWidth="1"/>
    <col min="6684" max="6685" width="11.125" style="2588" customWidth="1"/>
    <col min="6686" max="6686" width="1.5" style="2588" customWidth="1"/>
    <col min="6687" max="6687" width="3.25" style="2588" customWidth="1"/>
    <col min="6688" max="6689" width="11.125" style="2588" customWidth="1"/>
    <col min="6690" max="6690" width="1.5" style="2588" customWidth="1"/>
    <col min="6691" max="6696" width="11.125" style="2588" customWidth="1"/>
    <col min="6697" max="6697" width="1.5" style="2588" customWidth="1"/>
    <col min="6698" max="6698" width="10.25" style="2588" customWidth="1"/>
    <col min="6699" max="6700" width="11.125" style="2588" customWidth="1"/>
    <col min="6701" max="6701" width="1.5" style="2588" customWidth="1"/>
    <col min="6702" max="6703" width="6.875" style="2588"/>
    <col min="6704" max="6704" width="9.875" style="2588" customWidth="1"/>
    <col min="6705" max="6912" width="6.875" style="2588"/>
    <col min="6913" max="6913" width="3.25" style="2588" customWidth="1"/>
    <col min="6914" max="6915" width="11.125" style="2588" customWidth="1"/>
    <col min="6916" max="6916" width="1.5" style="2588" customWidth="1"/>
    <col min="6917" max="6922" width="11.125" style="2588" customWidth="1"/>
    <col min="6923" max="6923" width="1.5" style="2588" customWidth="1"/>
    <col min="6924" max="6924" width="10.25" style="2588" customWidth="1"/>
    <col min="6925" max="6926" width="11.125" style="2588" customWidth="1"/>
    <col min="6927" max="6927" width="1.5" style="2588" customWidth="1"/>
    <col min="6928" max="6928" width="3.25" style="2588" customWidth="1"/>
    <col min="6929" max="6930" width="11.125" style="2588" customWidth="1"/>
    <col min="6931" max="6931" width="1.5" style="2588" customWidth="1"/>
    <col min="6932" max="6937" width="11.125" style="2588" customWidth="1"/>
    <col min="6938" max="6938" width="1.5" style="2588" customWidth="1"/>
    <col min="6939" max="6939" width="10.25" style="2588" customWidth="1"/>
    <col min="6940" max="6941" width="11.125" style="2588" customWidth="1"/>
    <col min="6942" max="6942" width="1.5" style="2588" customWidth="1"/>
    <col min="6943" max="6943" width="3.25" style="2588" customWidth="1"/>
    <col min="6944" max="6945" width="11.125" style="2588" customWidth="1"/>
    <col min="6946" max="6946" width="1.5" style="2588" customWidth="1"/>
    <col min="6947" max="6952" width="11.125" style="2588" customWidth="1"/>
    <col min="6953" max="6953" width="1.5" style="2588" customWidth="1"/>
    <col min="6954" max="6954" width="10.25" style="2588" customWidth="1"/>
    <col min="6955" max="6956" width="11.125" style="2588" customWidth="1"/>
    <col min="6957" max="6957" width="1.5" style="2588" customWidth="1"/>
    <col min="6958" max="6959" width="6.875" style="2588"/>
    <col min="6960" max="6960" width="9.875" style="2588" customWidth="1"/>
    <col min="6961" max="7168" width="6.875" style="2588"/>
    <col min="7169" max="7169" width="3.25" style="2588" customWidth="1"/>
    <col min="7170" max="7171" width="11.125" style="2588" customWidth="1"/>
    <col min="7172" max="7172" width="1.5" style="2588" customWidth="1"/>
    <col min="7173" max="7178" width="11.125" style="2588" customWidth="1"/>
    <col min="7179" max="7179" width="1.5" style="2588" customWidth="1"/>
    <col min="7180" max="7180" width="10.25" style="2588" customWidth="1"/>
    <col min="7181" max="7182" width="11.125" style="2588" customWidth="1"/>
    <col min="7183" max="7183" width="1.5" style="2588" customWidth="1"/>
    <col min="7184" max="7184" width="3.25" style="2588" customWidth="1"/>
    <col min="7185" max="7186" width="11.125" style="2588" customWidth="1"/>
    <col min="7187" max="7187" width="1.5" style="2588" customWidth="1"/>
    <col min="7188" max="7193" width="11.125" style="2588" customWidth="1"/>
    <col min="7194" max="7194" width="1.5" style="2588" customWidth="1"/>
    <col min="7195" max="7195" width="10.25" style="2588" customWidth="1"/>
    <col min="7196" max="7197" width="11.125" style="2588" customWidth="1"/>
    <col min="7198" max="7198" width="1.5" style="2588" customWidth="1"/>
    <col min="7199" max="7199" width="3.25" style="2588" customWidth="1"/>
    <col min="7200" max="7201" width="11.125" style="2588" customWidth="1"/>
    <col min="7202" max="7202" width="1.5" style="2588" customWidth="1"/>
    <col min="7203" max="7208" width="11.125" style="2588" customWidth="1"/>
    <col min="7209" max="7209" width="1.5" style="2588" customWidth="1"/>
    <col min="7210" max="7210" width="10.25" style="2588" customWidth="1"/>
    <col min="7211" max="7212" width="11.125" style="2588" customWidth="1"/>
    <col min="7213" max="7213" width="1.5" style="2588" customWidth="1"/>
    <col min="7214" max="7215" width="6.875" style="2588"/>
    <col min="7216" max="7216" width="9.875" style="2588" customWidth="1"/>
    <col min="7217" max="7424" width="6.875" style="2588"/>
    <col min="7425" max="7425" width="3.25" style="2588" customWidth="1"/>
    <col min="7426" max="7427" width="11.125" style="2588" customWidth="1"/>
    <col min="7428" max="7428" width="1.5" style="2588" customWidth="1"/>
    <col min="7429" max="7434" width="11.125" style="2588" customWidth="1"/>
    <col min="7435" max="7435" width="1.5" style="2588" customWidth="1"/>
    <col min="7436" max="7436" width="10.25" style="2588" customWidth="1"/>
    <col min="7437" max="7438" width="11.125" style="2588" customWidth="1"/>
    <col min="7439" max="7439" width="1.5" style="2588" customWidth="1"/>
    <col min="7440" max="7440" width="3.25" style="2588" customWidth="1"/>
    <col min="7441" max="7442" width="11.125" style="2588" customWidth="1"/>
    <col min="7443" max="7443" width="1.5" style="2588" customWidth="1"/>
    <col min="7444" max="7449" width="11.125" style="2588" customWidth="1"/>
    <col min="7450" max="7450" width="1.5" style="2588" customWidth="1"/>
    <col min="7451" max="7451" width="10.25" style="2588" customWidth="1"/>
    <col min="7452" max="7453" width="11.125" style="2588" customWidth="1"/>
    <col min="7454" max="7454" width="1.5" style="2588" customWidth="1"/>
    <col min="7455" max="7455" width="3.25" style="2588" customWidth="1"/>
    <col min="7456" max="7457" width="11.125" style="2588" customWidth="1"/>
    <col min="7458" max="7458" width="1.5" style="2588" customWidth="1"/>
    <col min="7459" max="7464" width="11.125" style="2588" customWidth="1"/>
    <col min="7465" max="7465" width="1.5" style="2588" customWidth="1"/>
    <col min="7466" max="7466" width="10.25" style="2588" customWidth="1"/>
    <col min="7467" max="7468" width="11.125" style="2588" customWidth="1"/>
    <col min="7469" max="7469" width="1.5" style="2588" customWidth="1"/>
    <col min="7470" max="7471" width="6.875" style="2588"/>
    <col min="7472" max="7472" width="9.875" style="2588" customWidth="1"/>
    <col min="7473" max="7680" width="6.875" style="2588"/>
    <col min="7681" max="7681" width="3.25" style="2588" customWidth="1"/>
    <col min="7682" max="7683" width="11.125" style="2588" customWidth="1"/>
    <col min="7684" max="7684" width="1.5" style="2588" customWidth="1"/>
    <col min="7685" max="7690" width="11.125" style="2588" customWidth="1"/>
    <col min="7691" max="7691" width="1.5" style="2588" customWidth="1"/>
    <col min="7692" max="7692" width="10.25" style="2588" customWidth="1"/>
    <col min="7693" max="7694" width="11.125" style="2588" customWidth="1"/>
    <col min="7695" max="7695" width="1.5" style="2588" customWidth="1"/>
    <col min="7696" max="7696" width="3.25" style="2588" customWidth="1"/>
    <col min="7697" max="7698" width="11.125" style="2588" customWidth="1"/>
    <col min="7699" max="7699" width="1.5" style="2588" customWidth="1"/>
    <col min="7700" max="7705" width="11.125" style="2588" customWidth="1"/>
    <col min="7706" max="7706" width="1.5" style="2588" customWidth="1"/>
    <col min="7707" max="7707" width="10.25" style="2588" customWidth="1"/>
    <col min="7708" max="7709" width="11.125" style="2588" customWidth="1"/>
    <col min="7710" max="7710" width="1.5" style="2588" customWidth="1"/>
    <col min="7711" max="7711" width="3.25" style="2588" customWidth="1"/>
    <col min="7712" max="7713" width="11.125" style="2588" customWidth="1"/>
    <col min="7714" max="7714" width="1.5" style="2588" customWidth="1"/>
    <col min="7715" max="7720" width="11.125" style="2588" customWidth="1"/>
    <col min="7721" max="7721" width="1.5" style="2588" customWidth="1"/>
    <col min="7722" max="7722" width="10.25" style="2588" customWidth="1"/>
    <col min="7723" max="7724" width="11.125" style="2588" customWidth="1"/>
    <col min="7725" max="7725" width="1.5" style="2588" customWidth="1"/>
    <col min="7726" max="7727" width="6.875" style="2588"/>
    <col min="7728" max="7728" width="9.875" style="2588" customWidth="1"/>
    <col min="7729" max="7936" width="6.875" style="2588"/>
    <col min="7937" max="7937" width="3.25" style="2588" customWidth="1"/>
    <col min="7938" max="7939" width="11.125" style="2588" customWidth="1"/>
    <col min="7940" max="7940" width="1.5" style="2588" customWidth="1"/>
    <col min="7941" max="7946" width="11.125" style="2588" customWidth="1"/>
    <col min="7947" max="7947" width="1.5" style="2588" customWidth="1"/>
    <col min="7948" max="7948" width="10.25" style="2588" customWidth="1"/>
    <col min="7949" max="7950" width="11.125" style="2588" customWidth="1"/>
    <col min="7951" max="7951" width="1.5" style="2588" customWidth="1"/>
    <col min="7952" max="7952" width="3.25" style="2588" customWidth="1"/>
    <col min="7953" max="7954" width="11.125" style="2588" customWidth="1"/>
    <col min="7955" max="7955" width="1.5" style="2588" customWidth="1"/>
    <col min="7956" max="7961" width="11.125" style="2588" customWidth="1"/>
    <col min="7962" max="7962" width="1.5" style="2588" customWidth="1"/>
    <col min="7963" max="7963" width="10.25" style="2588" customWidth="1"/>
    <col min="7964" max="7965" width="11.125" style="2588" customWidth="1"/>
    <col min="7966" max="7966" width="1.5" style="2588" customWidth="1"/>
    <col min="7967" max="7967" width="3.25" style="2588" customWidth="1"/>
    <col min="7968" max="7969" width="11.125" style="2588" customWidth="1"/>
    <col min="7970" max="7970" width="1.5" style="2588" customWidth="1"/>
    <col min="7971" max="7976" width="11.125" style="2588" customWidth="1"/>
    <col min="7977" max="7977" width="1.5" style="2588" customWidth="1"/>
    <col min="7978" max="7978" width="10.25" style="2588" customWidth="1"/>
    <col min="7979" max="7980" width="11.125" style="2588" customWidth="1"/>
    <col min="7981" max="7981" width="1.5" style="2588" customWidth="1"/>
    <col min="7982" max="7983" width="6.875" style="2588"/>
    <col min="7984" max="7984" width="9.875" style="2588" customWidth="1"/>
    <col min="7985" max="8192" width="6.875" style="2588"/>
    <col min="8193" max="8193" width="3.25" style="2588" customWidth="1"/>
    <col min="8194" max="8195" width="11.125" style="2588" customWidth="1"/>
    <col min="8196" max="8196" width="1.5" style="2588" customWidth="1"/>
    <col min="8197" max="8202" width="11.125" style="2588" customWidth="1"/>
    <col min="8203" max="8203" width="1.5" style="2588" customWidth="1"/>
    <col min="8204" max="8204" width="10.25" style="2588" customWidth="1"/>
    <col min="8205" max="8206" width="11.125" style="2588" customWidth="1"/>
    <col min="8207" max="8207" width="1.5" style="2588" customWidth="1"/>
    <col min="8208" max="8208" width="3.25" style="2588" customWidth="1"/>
    <col min="8209" max="8210" width="11.125" style="2588" customWidth="1"/>
    <col min="8211" max="8211" width="1.5" style="2588" customWidth="1"/>
    <col min="8212" max="8217" width="11.125" style="2588" customWidth="1"/>
    <col min="8218" max="8218" width="1.5" style="2588" customWidth="1"/>
    <col min="8219" max="8219" width="10.25" style="2588" customWidth="1"/>
    <col min="8220" max="8221" width="11.125" style="2588" customWidth="1"/>
    <col min="8222" max="8222" width="1.5" style="2588" customWidth="1"/>
    <col min="8223" max="8223" width="3.25" style="2588" customWidth="1"/>
    <col min="8224" max="8225" width="11.125" style="2588" customWidth="1"/>
    <col min="8226" max="8226" width="1.5" style="2588" customWidth="1"/>
    <col min="8227" max="8232" width="11.125" style="2588" customWidth="1"/>
    <col min="8233" max="8233" width="1.5" style="2588" customWidth="1"/>
    <col min="8234" max="8234" width="10.25" style="2588" customWidth="1"/>
    <col min="8235" max="8236" width="11.125" style="2588" customWidth="1"/>
    <col min="8237" max="8237" width="1.5" style="2588" customWidth="1"/>
    <col min="8238" max="8239" width="6.875" style="2588"/>
    <col min="8240" max="8240" width="9.875" style="2588" customWidth="1"/>
    <col min="8241" max="8448" width="6.875" style="2588"/>
    <col min="8449" max="8449" width="3.25" style="2588" customWidth="1"/>
    <col min="8450" max="8451" width="11.125" style="2588" customWidth="1"/>
    <col min="8452" max="8452" width="1.5" style="2588" customWidth="1"/>
    <col min="8453" max="8458" width="11.125" style="2588" customWidth="1"/>
    <col min="8459" max="8459" width="1.5" style="2588" customWidth="1"/>
    <col min="8460" max="8460" width="10.25" style="2588" customWidth="1"/>
    <col min="8461" max="8462" width="11.125" style="2588" customWidth="1"/>
    <col min="8463" max="8463" width="1.5" style="2588" customWidth="1"/>
    <col min="8464" max="8464" width="3.25" style="2588" customWidth="1"/>
    <col min="8465" max="8466" width="11.125" style="2588" customWidth="1"/>
    <col min="8467" max="8467" width="1.5" style="2588" customWidth="1"/>
    <col min="8468" max="8473" width="11.125" style="2588" customWidth="1"/>
    <col min="8474" max="8474" width="1.5" style="2588" customWidth="1"/>
    <col min="8475" max="8475" width="10.25" style="2588" customWidth="1"/>
    <col min="8476" max="8477" width="11.125" style="2588" customWidth="1"/>
    <col min="8478" max="8478" width="1.5" style="2588" customWidth="1"/>
    <col min="8479" max="8479" width="3.25" style="2588" customWidth="1"/>
    <col min="8480" max="8481" width="11.125" style="2588" customWidth="1"/>
    <col min="8482" max="8482" width="1.5" style="2588" customWidth="1"/>
    <col min="8483" max="8488" width="11.125" style="2588" customWidth="1"/>
    <col min="8489" max="8489" width="1.5" style="2588" customWidth="1"/>
    <col min="8490" max="8490" width="10.25" style="2588" customWidth="1"/>
    <col min="8491" max="8492" width="11.125" style="2588" customWidth="1"/>
    <col min="8493" max="8493" width="1.5" style="2588" customWidth="1"/>
    <col min="8494" max="8495" width="6.875" style="2588"/>
    <col min="8496" max="8496" width="9.875" style="2588" customWidth="1"/>
    <col min="8497" max="8704" width="6.875" style="2588"/>
    <col min="8705" max="8705" width="3.25" style="2588" customWidth="1"/>
    <col min="8706" max="8707" width="11.125" style="2588" customWidth="1"/>
    <col min="8708" max="8708" width="1.5" style="2588" customWidth="1"/>
    <col min="8709" max="8714" width="11.125" style="2588" customWidth="1"/>
    <col min="8715" max="8715" width="1.5" style="2588" customWidth="1"/>
    <col min="8716" max="8716" width="10.25" style="2588" customWidth="1"/>
    <col min="8717" max="8718" width="11.125" style="2588" customWidth="1"/>
    <col min="8719" max="8719" width="1.5" style="2588" customWidth="1"/>
    <col min="8720" max="8720" width="3.25" style="2588" customWidth="1"/>
    <col min="8721" max="8722" width="11.125" style="2588" customWidth="1"/>
    <col min="8723" max="8723" width="1.5" style="2588" customWidth="1"/>
    <col min="8724" max="8729" width="11.125" style="2588" customWidth="1"/>
    <col min="8730" max="8730" width="1.5" style="2588" customWidth="1"/>
    <col min="8731" max="8731" width="10.25" style="2588" customWidth="1"/>
    <col min="8732" max="8733" width="11.125" style="2588" customWidth="1"/>
    <col min="8734" max="8734" width="1.5" style="2588" customWidth="1"/>
    <col min="8735" max="8735" width="3.25" style="2588" customWidth="1"/>
    <col min="8736" max="8737" width="11.125" style="2588" customWidth="1"/>
    <col min="8738" max="8738" width="1.5" style="2588" customWidth="1"/>
    <col min="8739" max="8744" width="11.125" style="2588" customWidth="1"/>
    <col min="8745" max="8745" width="1.5" style="2588" customWidth="1"/>
    <col min="8746" max="8746" width="10.25" style="2588" customWidth="1"/>
    <col min="8747" max="8748" width="11.125" style="2588" customWidth="1"/>
    <col min="8749" max="8749" width="1.5" style="2588" customWidth="1"/>
    <col min="8750" max="8751" width="6.875" style="2588"/>
    <col min="8752" max="8752" width="9.875" style="2588" customWidth="1"/>
    <col min="8753" max="8960" width="6.875" style="2588"/>
    <col min="8961" max="8961" width="3.25" style="2588" customWidth="1"/>
    <col min="8962" max="8963" width="11.125" style="2588" customWidth="1"/>
    <col min="8964" max="8964" width="1.5" style="2588" customWidth="1"/>
    <col min="8965" max="8970" width="11.125" style="2588" customWidth="1"/>
    <col min="8971" max="8971" width="1.5" style="2588" customWidth="1"/>
    <col min="8972" max="8972" width="10.25" style="2588" customWidth="1"/>
    <col min="8973" max="8974" width="11.125" style="2588" customWidth="1"/>
    <col min="8975" max="8975" width="1.5" style="2588" customWidth="1"/>
    <col min="8976" max="8976" width="3.25" style="2588" customWidth="1"/>
    <col min="8977" max="8978" width="11.125" style="2588" customWidth="1"/>
    <col min="8979" max="8979" width="1.5" style="2588" customWidth="1"/>
    <col min="8980" max="8985" width="11.125" style="2588" customWidth="1"/>
    <col min="8986" max="8986" width="1.5" style="2588" customWidth="1"/>
    <col min="8987" max="8987" width="10.25" style="2588" customWidth="1"/>
    <col min="8988" max="8989" width="11.125" style="2588" customWidth="1"/>
    <col min="8990" max="8990" width="1.5" style="2588" customWidth="1"/>
    <col min="8991" max="8991" width="3.25" style="2588" customWidth="1"/>
    <col min="8992" max="8993" width="11.125" style="2588" customWidth="1"/>
    <col min="8994" max="8994" width="1.5" style="2588" customWidth="1"/>
    <col min="8995" max="9000" width="11.125" style="2588" customWidth="1"/>
    <col min="9001" max="9001" width="1.5" style="2588" customWidth="1"/>
    <col min="9002" max="9002" width="10.25" style="2588" customWidth="1"/>
    <col min="9003" max="9004" width="11.125" style="2588" customWidth="1"/>
    <col min="9005" max="9005" width="1.5" style="2588" customWidth="1"/>
    <col min="9006" max="9007" width="6.875" style="2588"/>
    <col min="9008" max="9008" width="9.875" style="2588" customWidth="1"/>
    <col min="9009" max="9216" width="6.875" style="2588"/>
    <col min="9217" max="9217" width="3.25" style="2588" customWidth="1"/>
    <col min="9218" max="9219" width="11.125" style="2588" customWidth="1"/>
    <col min="9220" max="9220" width="1.5" style="2588" customWidth="1"/>
    <col min="9221" max="9226" width="11.125" style="2588" customWidth="1"/>
    <col min="9227" max="9227" width="1.5" style="2588" customWidth="1"/>
    <col min="9228" max="9228" width="10.25" style="2588" customWidth="1"/>
    <col min="9229" max="9230" width="11.125" style="2588" customWidth="1"/>
    <col min="9231" max="9231" width="1.5" style="2588" customWidth="1"/>
    <col min="9232" max="9232" width="3.25" style="2588" customWidth="1"/>
    <col min="9233" max="9234" width="11.125" style="2588" customWidth="1"/>
    <col min="9235" max="9235" width="1.5" style="2588" customWidth="1"/>
    <col min="9236" max="9241" width="11.125" style="2588" customWidth="1"/>
    <col min="9242" max="9242" width="1.5" style="2588" customWidth="1"/>
    <col min="9243" max="9243" width="10.25" style="2588" customWidth="1"/>
    <col min="9244" max="9245" width="11.125" style="2588" customWidth="1"/>
    <col min="9246" max="9246" width="1.5" style="2588" customWidth="1"/>
    <col min="9247" max="9247" width="3.25" style="2588" customWidth="1"/>
    <col min="9248" max="9249" width="11.125" style="2588" customWidth="1"/>
    <col min="9250" max="9250" width="1.5" style="2588" customWidth="1"/>
    <col min="9251" max="9256" width="11.125" style="2588" customWidth="1"/>
    <col min="9257" max="9257" width="1.5" style="2588" customWidth="1"/>
    <col min="9258" max="9258" width="10.25" style="2588" customWidth="1"/>
    <col min="9259" max="9260" width="11.125" style="2588" customWidth="1"/>
    <col min="9261" max="9261" width="1.5" style="2588" customWidth="1"/>
    <col min="9262" max="9263" width="6.875" style="2588"/>
    <col min="9264" max="9264" width="9.875" style="2588" customWidth="1"/>
    <col min="9265" max="9472" width="6.875" style="2588"/>
    <col min="9473" max="9473" width="3.25" style="2588" customWidth="1"/>
    <col min="9474" max="9475" width="11.125" style="2588" customWidth="1"/>
    <col min="9476" max="9476" width="1.5" style="2588" customWidth="1"/>
    <col min="9477" max="9482" width="11.125" style="2588" customWidth="1"/>
    <col min="9483" max="9483" width="1.5" style="2588" customWidth="1"/>
    <col min="9484" max="9484" width="10.25" style="2588" customWidth="1"/>
    <col min="9485" max="9486" width="11.125" style="2588" customWidth="1"/>
    <col min="9487" max="9487" width="1.5" style="2588" customWidth="1"/>
    <col min="9488" max="9488" width="3.25" style="2588" customWidth="1"/>
    <col min="9489" max="9490" width="11.125" style="2588" customWidth="1"/>
    <col min="9491" max="9491" width="1.5" style="2588" customWidth="1"/>
    <col min="9492" max="9497" width="11.125" style="2588" customWidth="1"/>
    <col min="9498" max="9498" width="1.5" style="2588" customWidth="1"/>
    <col min="9499" max="9499" width="10.25" style="2588" customWidth="1"/>
    <col min="9500" max="9501" width="11.125" style="2588" customWidth="1"/>
    <col min="9502" max="9502" width="1.5" style="2588" customWidth="1"/>
    <col min="9503" max="9503" width="3.25" style="2588" customWidth="1"/>
    <col min="9504" max="9505" width="11.125" style="2588" customWidth="1"/>
    <col min="9506" max="9506" width="1.5" style="2588" customWidth="1"/>
    <col min="9507" max="9512" width="11.125" style="2588" customWidth="1"/>
    <col min="9513" max="9513" width="1.5" style="2588" customWidth="1"/>
    <col min="9514" max="9514" width="10.25" style="2588" customWidth="1"/>
    <col min="9515" max="9516" width="11.125" style="2588" customWidth="1"/>
    <col min="9517" max="9517" width="1.5" style="2588" customWidth="1"/>
    <col min="9518" max="9519" width="6.875" style="2588"/>
    <col min="9520" max="9520" width="9.875" style="2588" customWidth="1"/>
    <col min="9521" max="9728" width="6.875" style="2588"/>
    <col min="9729" max="9729" width="3.25" style="2588" customWidth="1"/>
    <col min="9730" max="9731" width="11.125" style="2588" customWidth="1"/>
    <col min="9732" max="9732" width="1.5" style="2588" customWidth="1"/>
    <col min="9733" max="9738" width="11.125" style="2588" customWidth="1"/>
    <col min="9739" max="9739" width="1.5" style="2588" customWidth="1"/>
    <col min="9740" max="9740" width="10.25" style="2588" customWidth="1"/>
    <col min="9741" max="9742" width="11.125" style="2588" customWidth="1"/>
    <col min="9743" max="9743" width="1.5" style="2588" customWidth="1"/>
    <col min="9744" max="9744" width="3.25" style="2588" customWidth="1"/>
    <col min="9745" max="9746" width="11.125" style="2588" customWidth="1"/>
    <col min="9747" max="9747" width="1.5" style="2588" customWidth="1"/>
    <col min="9748" max="9753" width="11.125" style="2588" customWidth="1"/>
    <col min="9754" max="9754" width="1.5" style="2588" customWidth="1"/>
    <col min="9755" max="9755" width="10.25" style="2588" customWidth="1"/>
    <col min="9756" max="9757" width="11.125" style="2588" customWidth="1"/>
    <col min="9758" max="9758" width="1.5" style="2588" customWidth="1"/>
    <col min="9759" max="9759" width="3.25" style="2588" customWidth="1"/>
    <col min="9760" max="9761" width="11.125" style="2588" customWidth="1"/>
    <col min="9762" max="9762" width="1.5" style="2588" customWidth="1"/>
    <col min="9763" max="9768" width="11.125" style="2588" customWidth="1"/>
    <col min="9769" max="9769" width="1.5" style="2588" customWidth="1"/>
    <col min="9770" max="9770" width="10.25" style="2588" customWidth="1"/>
    <col min="9771" max="9772" width="11.125" style="2588" customWidth="1"/>
    <col min="9773" max="9773" width="1.5" style="2588" customWidth="1"/>
    <col min="9774" max="9775" width="6.875" style="2588"/>
    <col min="9776" max="9776" width="9.875" style="2588" customWidth="1"/>
    <col min="9777" max="9984" width="6.875" style="2588"/>
    <col min="9985" max="9985" width="3.25" style="2588" customWidth="1"/>
    <col min="9986" max="9987" width="11.125" style="2588" customWidth="1"/>
    <col min="9988" max="9988" width="1.5" style="2588" customWidth="1"/>
    <col min="9989" max="9994" width="11.125" style="2588" customWidth="1"/>
    <col min="9995" max="9995" width="1.5" style="2588" customWidth="1"/>
    <col min="9996" max="9996" width="10.25" style="2588" customWidth="1"/>
    <col min="9997" max="9998" width="11.125" style="2588" customWidth="1"/>
    <col min="9999" max="9999" width="1.5" style="2588" customWidth="1"/>
    <col min="10000" max="10000" width="3.25" style="2588" customWidth="1"/>
    <col min="10001" max="10002" width="11.125" style="2588" customWidth="1"/>
    <col min="10003" max="10003" width="1.5" style="2588" customWidth="1"/>
    <col min="10004" max="10009" width="11.125" style="2588" customWidth="1"/>
    <col min="10010" max="10010" width="1.5" style="2588" customWidth="1"/>
    <col min="10011" max="10011" width="10.25" style="2588" customWidth="1"/>
    <col min="10012" max="10013" width="11.125" style="2588" customWidth="1"/>
    <col min="10014" max="10014" width="1.5" style="2588" customWidth="1"/>
    <col min="10015" max="10015" width="3.25" style="2588" customWidth="1"/>
    <col min="10016" max="10017" width="11.125" style="2588" customWidth="1"/>
    <col min="10018" max="10018" width="1.5" style="2588" customWidth="1"/>
    <col min="10019" max="10024" width="11.125" style="2588" customWidth="1"/>
    <col min="10025" max="10025" width="1.5" style="2588" customWidth="1"/>
    <col min="10026" max="10026" width="10.25" style="2588" customWidth="1"/>
    <col min="10027" max="10028" width="11.125" style="2588" customWidth="1"/>
    <col min="10029" max="10029" width="1.5" style="2588" customWidth="1"/>
    <col min="10030" max="10031" width="6.875" style="2588"/>
    <col min="10032" max="10032" width="9.875" style="2588" customWidth="1"/>
    <col min="10033" max="10240" width="6.875" style="2588"/>
    <col min="10241" max="10241" width="3.25" style="2588" customWidth="1"/>
    <col min="10242" max="10243" width="11.125" style="2588" customWidth="1"/>
    <col min="10244" max="10244" width="1.5" style="2588" customWidth="1"/>
    <col min="10245" max="10250" width="11.125" style="2588" customWidth="1"/>
    <col min="10251" max="10251" width="1.5" style="2588" customWidth="1"/>
    <col min="10252" max="10252" width="10.25" style="2588" customWidth="1"/>
    <col min="10253" max="10254" width="11.125" style="2588" customWidth="1"/>
    <col min="10255" max="10255" width="1.5" style="2588" customWidth="1"/>
    <col min="10256" max="10256" width="3.25" style="2588" customWidth="1"/>
    <col min="10257" max="10258" width="11.125" style="2588" customWidth="1"/>
    <col min="10259" max="10259" width="1.5" style="2588" customWidth="1"/>
    <col min="10260" max="10265" width="11.125" style="2588" customWidth="1"/>
    <col min="10266" max="10266" width="1.5" style="2588" customWidth="1"/>
    <col min="10267" max="10267" width="10.25" style="2588" customWidth="1"/>
    <col min="10268" max="10269" width="11.125" style="2588" customWidth="1"/>
    <col min="10270" max="10270" width="1.5" style="2588" customWidth="1"/>
    <col min="10271" max="10271" width="3.25" style="2588" customWidth="1"/>
    <col min="10272" max="10273" width="11.125" style="2588" customWidth="1"/>
    <col min="10274" max="10274" width="1.5" style="2588" customWidth="1"/>
    <col min="10275" max="10280" width="11.125" style="2588" customWidth="1"/>
    <col min="10281" max="10281" width="1.5" style="2588" customWidth="1"/>
    <col min="10282" max="10282" width="10.25" style="2588" customWidth="1"/>
    <col min="10283" max="10284" width="11.125" style="2588" customWidth="1"/>
    <col min="10285" max="10285" width="1.5" style="2588" customWidth="1"/>
    <col min="10286" max="10287" width="6.875" style="2588"/>
    <col min="10288" max="10288" width="9.875" style="2588" customWidth="1"/>
    <col min="10289" max="10496" width="6.875" style="2588"/>
    <col min="10497" max="10497" width="3.25" style="2588" customWidth="1"/>
    <col min="10498" max="10499" width="11.125" style="2588" customWidth="1"/>
    <col min="10500" max="10500" width="1.5" style="2588" customWidth="1"/>
    <col min="10501" max="10506" width="11.125" style="2588" customWidth="1"/>
    <col min="10507" max="10507" width="1.5" style="2588" customWidth="1"/>
    <col min="10508" max="10508" width="10.25" style="2588" customWidth="1"/>
    <col min="10509" max="10510" width="11.125" style="2588" customWidth="1"/>
    <col min="10511" max="10511" width="1.5" style="2588" customWidth="1"/>
    <col min="10512" max="10512" width="3.25" style="2588" customWidth="1"/>
    <col min="10513" max="10514" width="11.125" style="2588" customWidth="1"/>
    <col min="10515" max="10515" width="1.5" style="2588" customWidth="1"/>
    <col min="10516" max="10521" width="11.125" style="2588" customWidth="1"/>
    <col min="10522" max="10522" width="1.5" style="2588" customWidth="1"/>
    <col min="10523" max="10523" width="10.25" style="2588" customWidth="1"/>
    <col min="10524" max="10525" width="11.125" style="2588" customWidth="1"/>
    <col min="10526" max="10526" width="1.5" style="2588" customWidth="1"/>
    <col min="10527" max="10527" width="3.25" style="2588" customWidth="1"/>
    <col min="10528" max="10529" width="11.125" style="2588" customWidth="1"/>
    <col min="10530" max="10530" width="1.5" style="2588" customWidth="1"/>
    <col min="10531" max="10536" width="11.125" style="2588" customWidth="1"/>
    <col min="10537" max="10537" width="1.5" style="2588" customWidth="1"/>
    <col min="10538" max="10538" width="10.25" style="2588" customWidth="1"/>
    <col min="10539" max="10540" width="11.125" style="2588" customWidth="1"/>
    <col min="10541" max="10541" width="1.5" style="2588" customWidth="1"/>
    <col min="10542" max="10543" width="6.875" style="2588"/>
    <col min="10544" max="10544" width="9.875" style="2588" customWidth="1"/>
    <col min="10545" max="10752" width="6.875" style="2588"/>
    <col min="10753" max="10753" width="3.25" style="2588" customWidth="1"/>
    <col min="10754" max="10755" width="11.125" style="2588" customWidth="1"/>
    <col min="10756" max="10756" width="1.5" style="2588" customWidth="1"/>
    <col min="10757" max="10762" width="11.125" style="2588" customWidth="1"/>
    <col min="10763" max="10763" width="1.5" style="2588" customWidth="1"/>
    <col min="10764" max="10764" width="10.25" style="2588" customWidth="1"/>
    <col min="10765" max="10766" width="11.125" style="2588" customWidth="1"/>
    <col min="10767" max="10767" width="1.5" style="2588" customWidth="1"/>
    <col min="10768" max="10768" width="3.25" style="2588" customWidth="1"/>
    <col min="10769" max="10770" width="11.125" style="2588" customWidth="1"/>
    <col min="10771" max="10771" width="1.5" style="2588" customWidth="1"/>
    <col min="10772" max="10777" width="11.125" style="2588" customWidth="1"/>
    <col min="10778" max="10778" width="1.5" style="2588" customWidth="1"/>
    <col min="10779" max="10779" width="10.25" style="2588" customWidth="1"/>
    <col min="10780" max="10781" width="11.125" style="2588" customWidth="1"/>
    <col min="10782" max="10782" width="1.5" style="2588" customWidth="1"/>
    <col min="10783" max="10783" width="3.25" style="2588" customWidth="1"/>
    <col min="10784" max="10785" width="11.125" style="2588" customWidth="1"/>
    <col min="10786" max="10786" width="1.5" style="2588" customWidth="1"/>
    <col min="10787" max="10792" width="11.125" style="2588" customWidth="1"/>
    <col min="10793" max="10793" width="1.5" style="2588" customWidth="1"/>
    <col min="10794" max="10794" width="10.25" style="2588" customWidth="1"/>
    <col min="10795" max="10796" width="11.125" style="2588" customWidth="1"/>
    <col min="10797" max="10797" width="1.5" style="2588" customWidth="1"/>
    <col min="10798" max="10799" width="6.875" style="2588"/>
    <col min="10800" max="10800" width="9.875" style="2588" customWidth="1"/>
    <col min="10801" max="11008" width="6.875" style="2588"/>
    <col min="11009" max="11009" width="3.25" style="2588" customWidth="1"/>
    <col min="11010" max="11011" width="11.125" style="2588" customWidth="1"/>
    <col min="11012" max="11012" width="1.5" style="2588" customWidth="1"/>
    <col min="11013" max="11018" width="11.125" style="2588" customWidth="1"/>
    <col min="11019" max="11019" width="1.5" style="2588" customWidth="1"/>
    <col min="11020" max="11020" width="10.25" style="2588" customWidth="1"/>
    <col min="11021" max="11022" width="11.125" style="2588" customWidth="1"/>
    <col min="11023" max="11023" width="1.5" style="2588" customWidth="1"/>
    <col min="11024" max="11024" width="3.25" style="2588" customWidth="1"/>
    <col min="11025" max="11026" width="11.125" style="2588" customWidth="1"/>
    <col min="11027" max="11027" width="1.5" style="2588" customWidth="1"/>
    <col min="11028" max="11033" width="11.125" style="2588" customWidth="1"/>
    <col min="11034" max="11034" width="1.5" style="2588" customWidth="1"/>
    <col min="11035" max="11035" width="10.25" style="2588" customWidth="1"/>
    <col min="11036" max="11037" width="11.125" style="2588" customWidth="1"/>
    <col min="11038" max="11038" width="1.5" style="2588" customWidth="1"/>
    <col min="11039" max="11039" width="3.25" style="2588" customWidth="1"/>
    <col min="11040" max="11041" width="11.125" style="2588" customWidth="1"/>
    <col min="11042" max="11042" width="1.5" style="2588" customWidth="1"/>
    <col min="11043" max="11048" width="11.125" style="2588" customWidth="1"/>
    <col min="11049" max="11049" width="1.5" style="2588" customWidth="1"/>
    <col min="11050" max="11050" width="10.25" style="2588" customWidth="1"/>
    <col min="11051" max="11052" width="11.125" style="2588" customWidth="1"/>
    <col min="11053" max="11053" width="1.5" style="2588" customWidth="1"/>
    <col min="11054" max="11055" width="6.875" style="2588"/>
    <col min="11056" max="11056" width="9.875" style="2588" customWidth="1"/>
    <col min="11057" max="11264" width="6.875" style="2588"/>
    <col min="11265" max="11265" width="3.25" style="2588" customWidth="1"/>
    <col min="11266" max="11267" width="11.125" style="2588" customWidth="1"/>
    <col min="11268" max="11268" width="1.5" style="2588" customWidth="1"/>
    <col min="11269" max="11274" width="11.125" style="2588" customWidth="1"/>
    <col min="11275" max="11275" width="1.5" style="2588" customWidth="1"/>
    <col min="11276" max="11276" width="10.25" style="2588" customWidth="1"/>
    <col min="11277" max="11278" width="11.125" style="2588" customWidth="1"/>
    <col min="11279" max="11279" width="1.5" style="2588" customWidth="1"/>
    <col min="11280" max="11280" width="3.25" style="2588" customWidth="1"/>
    <col min="11281" max="11282" width="11.125" style="2588" customWidth="1"/>
    <col min="11283" max="11283" width="1.5" style="2588" customWidth="1"/>
    <col min="11284" max="11289" width="11.125" style="2588" customWidth="1"/>
    <col min="11290" max="11290" width="1.5" style="2588" customWidth="1"/>
    <col min="11291" max="11291" width="10.25" style="2588" customWidth="1"/>
    <col min="11292" max="11293" width="11.125" style="2588" customWidth="1"/>
    <col min="11294" max="11294" width="1.5" style="2588" customWidth="1"/>
    <col min="11295" max="11295" width="3.25" style="2588" customWidth="1"/>
    <col min="11296" max="11297" width="11.125" style="2588" customWidth="1"/>
    <col min="11298" max="11298" width="1.5" style="2588" customWidth="1"/>
    <col min="11299" max="11304" width="11.125" style="2588" customWidth="1"/>
    <col min="11305" max="11305" width="1.5" style="2588" customWidth="1"/>
    <col min="11306" max="11306" width="10.25" style="2588" customWidth="1"/>
    <col min="11307" max="11308" width="11.125" style="2588" customWidth="1"/>
    <col min="11309" max="11309" width="1.5" style="2588" customWidth="1"/>
    <col min="11310" max="11311" width="6.875" style="2588"/>
    <col min="11312" max="11312" width="9.875" style="2588" customWidth="1"/>
    <col min="11313" max="11520" width="6.875" style="2588"/>
    <col min="11521" max="11521" width="3.25" style="2588" customWidth="1"/>
    <col min="11522" max="11523" width="11.125" style="2588" customWidth="1"/>
    <col min="11524" max="11524" width="1.5" style="2588" customWidth="1"/>
    <col min="11525" max="11530" width="11.125" style="2588" customWidth="1"/>
    <col min="11531" max="11531" width="1.5" style="2588" customWidth="1"/>
    <col min="11532" max="11532" width="10.25" style="2588" customWidth="1"/>
    <col min="11533" max="11534" width="11.125" style="2588" customWidth="1"/>
    <col min="11535" max="11535" width="1.5" style="2588" customWidth="1"/>
    <col min="11536" max="11536" width="3.25" style="2588" customWidth="1"/>
    <col min="11537" max="11538" width="11.125" style="2588" customWidth="1"/>
    <col min="11539" max="11539" width="1.5" style="2588" customWidth="1"/>
    <col min="11540" max="11545" width="11.125" style="2588" customWidth="1"/>
    <col min="11546" max="11546" width="1.5" style="2588" customWidth="1"/>
    <col min="11547" max="11547" width="10.25" style="2588" customWidth="1"/>
    <col min="11548" max="11549" width="11.125" style="2588" customWidth="1"/>
    <col min="11550" max="11550" width="1.5" style="2588" customWidth="1"/>
    <col min="11551" max="11551" width="3.25" style="2588" customWidth="1"/>
    <col min="11552" max="11553" width="11.125" style="2588" customWidth="1"/>
    <col min="11554" max="11554" width="1.5" style="2588" customWidth="1"/>
    <col min="11555" max="11560" width="11.125" style="2588" customWidth="1"/>
    <col min="11561" max="11561" width="1.5" style="2588" customWidth="1"/>
    <col min="11562" max="11562" width="10.25" style="2588" customWidth="1"/>
    <col min="11563" max="11564" width="11.125" style="2588" customWidth="1"/>
    <col min="11565" max="11565" width="1.5" style="2588" customWidth="1"/>
    <col min="11566" max="11567" width="6.875" style="2588"/>
    <col min="11568" max="11568" width="9.875" style="2588" customWidth="1"/>
    <col min="11569" max="11776" width="6.875" style="2588"/>
    <col min="11777" max="11777" width="3.25" style="2588" customWidth="1"/>
    <col min="11778" max="11779" width="11.125" style="2588" customWidth="1"/>
    <col min="11780" max="11780" width="1.5" style="2588" customWidth="1"/>
    <col min="11781" max="11786" width="11.125" style="2588" customWidth="1"/>
    <col min="11787" max="11787" width="1.5" style="2588" customWidth="1"/>
    <col min="11788" max="11788" width="10.25" style="2588" customWidth="1"/>
    <col min="11789" max="11790" width="11.125" style="2588" customWidth="1"/>
    <col min="11791" max="11791" width="1.5" style="2588" customWidth="1"/>
    <col min="11792" max="11792" width="3.25" style="2588" customWidth="1"/>
    <col min="11793" max="11794" width="11.125" style="2588" customWidth="1"/>
    <col min="11795" max="11795" width="1.5" style="2588" customWidth="1"/>
    <col min="11796" max="11801" width="11.125" style="2588" customWidth="1"/>
    <col min="11802" max="11802" width="1.5" style="2588" customWidth="1"/>
    <col min="11803" max="11803" width="10.25" style="2588" customWidth="1"/>
    <col min="11804" max="11805" width="11.125" style="2588" customWidth="1"/>
    <col min="11806" max="11806" width="1.5" style="2588" customWidth="1"/>
    <col min="11807" max="11807" width="3.25" style="2588" customWidth="1"/>
    <col min="11808" max="11809" width="11.125" style="2588" customWidth="1"/>
    <col min="11810" max="11810" width="1.5" style="2588" customWidth="1"/>
    <col min="11811" max="11816" width="11.125" style="2588" customWidth="1"/>
    <col min="11817" max="11817" width="1.5" style="2588" customWidth="1"/>
    <col min="11818" max="11818" width="10.25" style="2588" customWidth="1"/>
    <col min="11819" max="11820" width="11.125" style="2588" customWidth="1"/>
    <col min="11821" max="11821" width="1.5" style="2588" customWidth="1"/>
    <col min="11822" max="11823" width="6.875" style="2588"/>
    <col min="11824" max="11824" width="9.875" style="2588" customWidth="1"/>
    <col min="11825" max="12032" width="6.875" style="2588"/>
    <col min="12033" max="12033" width="3.25" style="2588" customWidth="1"/>
    <col min="12034" max="12035" width="11.125" style="2588" customWidth="1"/>
    <col min="12036" max="12036" width="1.5" style="2588" customWidth="1"/>
    <col min="12037" max="12042" width="11.125" style="2588" customWidth="1"/>
    <col min="12043" max="12043" width="1.5" style="2588" customWidth="1"/>
    <col min="12044" max="12044" width="10.25" style="2588" customWidth="1"/>
    <col min="12045" max="12046" width="11.125" style="2588" customWidth="1"/>
    <col min="12047" max="12047" width="1.5" style="2588" customWidth="1"/>
    <col min="12048" max="12048" width="3.25" style="2588" customWidth="1"/>
    <col min="12049" max="12050" width="11.125" style="2588" customWidth="1"/>
    <col min="12051" max="12051" width="1.5" style="2588" customWidth="1"/>
    <col min="12052" max="12057" width="11.125" style="2588" customWidth="1"/>
    <col min="12058" max="12058" width="1.5" style="2588" customWidth="1"/>
    <col min="12059" max="12059" width="10.25" style="2588" customWidth="1"/>
    <col min="12060" max="12061" width="11.125" style="2588" customWidth="1"/>
    <col min="12062" max="12062" width="1.5" style="2588" customWidth="1"/>
    <col min="12063" max="12063" width="3.25" style="2588" customWidth="1"/>
    <col min="12064" max="12065" width="11.125" style="2588" customWidth="1"/>
    <col min="12066" max="12066" width="1.5" style="2588" customWidth="1"/>
    <col min="12067" max="12072" width="11.125" style="2588" customWidth="1"/>
    <col min="12073" max="12073" width="1.5" style="2588" customWidth="1"/>
    <col min="12074" max="12074" width="10.25" style="2588" customWidth="1"/>
    <col min="12075" max="12076" width="11.125" style="2588" customWidth="1"/>
    <col min="12077" max="12077" width="1.5" style="2588" customWidth="1"/>
    <col min="12078" max="12079" width="6.875" style="2588"/>
    <col min="12080" max="12080" width="9.875" style="2588" customWidth="1"/>
    <col min="12081" max="12288" width="6.875" style="2588"/>
    <col min="12289" max="12289" width="3.25" style="2588" customWidth="1"/>
    <col min="12290" max="12291" width="11.125" style="2588" customWidth="1"/>
    <col min="12292" max="12292" width="1.5" style="2588" customWidth="1"/>
    <col min="12293" max="12298" width="11.125" style="2588" customWidth="1"/>
    <col min="12299" max="12299" width="1.5" style="2588" customWidth="1"/>
    <col min="12300" max="12300" width="10.25" style="2588" customWidth="1"/>
    <col min="12301" max="12302" width="11.125" style="2588" customWidth="1"/>
    <col min="12303" max="12303" width="1.5" style="2588" customWidth="1"/>
    <col min="12304" max="12304" width="3.25" style="2588" customWidth="1"/>
    <col min="12305" max="12306" width="11.125" style="2588" customWidth="1"/>
    <col min="12307" max="12307" width="1.5" style="2588" customWidth="1"/>
    <col min="12308" max="12313" width="11.125" style="2588" customWidth="1"/>
    <col min="12314" max="12314" width="1.5" style="2588" customWidth="1"/>
    <col min="12315" max="12315" width="10.25" style="2588" customWidth="1"/>
    <col min="12316" max="12317" width="11.125" style="2588" customWidth="1"/>
    <col min="12318" max="12318" width="1.5" style="2588" customWidth="1"/>
    <col min="12319" max="12319" width="3.25" style="2588" customWidth="1"/>
    <col min="12320" max="12321" width="11.125" style="2588" customWidth="1"/>
    <col min="12322" max="12322" width="1.5" style="2588" customWidth="1"/>
    <col min="12323" max="12328" width="11.125" style="2588" customWidth="1"/>
    <col min="12329" max="12329" width="1.5" style="2588" customWidth="1"/>
    <col min="12330" max="12330" width="10.25" style="2588" customWidth="1"/>
    <col min="12331" max="12332" width="11.125" style="2588" customWidth="1"/>
    <col min="12333" max="12333" width="1.5" style="2588" customWidth="1"/>
    <col min="12334" max="12335" width="6.875" style="2588"/>
    <col min="12336" max="12336" width="9.875" style="2588" customWidth="1"/>
    <col min="12337" max="12544" width="6.875" style="2588"/>
    <col min="12545" max="12545" width="3.25" style="2588" customWidth="1"/>
    <col min="12546" max="12547" width="11.125" style="2588" customWidth="1"/>
    <col min="12548" max="12548" width="1.5" style="2588" customWidth="1"/>
    <col min="12549" max="12554" width="11.125" style="2588" customWidth="1"/>
    <col min="12555" max="12555" width="1.5" style="2588" customWidth="1"/>
    <col min="12556" max="12556" width="10.25" style="2588" customWidth="1"/>
    <col min="12557" max="12558" width="11.125" style="2588" customWidth="1"/>
    <col min="12559" max="12559" width="1.5" style="2588" customWidth="1"/>
    <col min="12560" max="12560" width="3.25" style="2588" customWidth="1"/>
    <col min="12561" max="12562" width="11.125" style="2588" customWidth="1"/>
    <col min="12563" max="12563" width="1.5" style="2588" customWidth="1"/>
    <col min="12564" max="12569" width="11.125" style="2588" customWidth="1"/>
    <col min="12570" max="12570" width="1.5" style="2588" customWidth="1"/>
    <col min="12571" max="12571" width="10.25" style="2588" customWidth="1"/>
    <col min="12572" max="12573" width="11.125" style="2588" customWidth="1"/>
    <col min="12574" max="12574" width="1.5" style="2588" customWidth="1"/>
    <col min="12575" max="12575" width="3.25" style="2588" customWidth="1"/>
    <col min="12576" max="12577" width="11.125" style="2588" customWidth="1"/>
    <col min="12578" max="12578" width="1.5" style="2588" customWidth="1"/>
    <col min="12579" max="12584" width="11.125" style="2588" customWidth="1"/>
    <col min="12585" max="12585" width="1.5" style="2588" customWidth="1"/>
    <col min="12586" max="12586" width="10.25" style="2588" customWidth="1"/>
    <col min="12587" max="12588" width="11.125" style="2588" customWidth="1"/>
    <col min="12589" max="12589" width="1.5" style="2588" customWidth="1"/>
    <col min="12590" max="12591" width="6.875" style="2588"/>
    <col min="12592" max="12592" width="9.875" style="2588" customWidth="1"/>
    <col min="12593" max="12800" width="6.875" style="2588"/>
    <col min="12801" max="12801" width="3.25" style="2588" customWidth="1"/>
    <col min="12802" max="12803" width="11.125" style="2588" customWidth="1"/>
    <col min="12804" max="12804" width="1.5" style="2588" customWidth="1"/>
    <col min="12805" max="12810" width="11.125" style="2588" customWidth="1"/>
    <col min="12811" max="12811" width="1.5" style="2588" customWidth="1"/>
    <col min="12812" max="12812" width="10.25" style="2588" customWidth="1"/>
    <col min="12813" max="12814" width="11.125" style="2588" customWidth="1"/>
    <col min="12815" max="12815" width="1.5" style="2588" customWidth="1"/>
    <col min="12816" max="12816" width="3.25" style="2588" customWidth="1"/>
    <col min="12817" max="12818" width="11.125" style="2588" customWidth="1"/>
    <col min="12819" max="12819" width="1.5" style="2588" customWidth="1"/>
    <col min="12820" max="12825" width="11.125" style="2588" customWidth="1"/>
    <col min="12826" max="12826" width="1.5" style="2588" customWidth="1"/>
    <col min="12827" max="12827" width="10.25" style="2588" customWidth="1"/>
    <col min="12828" max="12829" width="11.125" style="2588" customWidth="1"/>
    <col min="12830" max="12830" width="1.5" style="2588" customWidth="1"/>
    <col min="12831" max="12831" width="3.25" style="2588" customWidth="1"/>
    <col min="12832" max="12833" width="11.125" style="2588" customWidth="1"/>
    <col min="12834" max="12834" width="1.5" style="2588" customWidth="1"/>
    <col min="12835" max="12840" width="11.125" style="2588" customWidth="1"/>
    <col min="12841" max="12841" width="1.5" style="2588" customWidth="1"/>
    <col min="12842" max="12842" width="10.25" style="2588" customWidth="1"/>
    <col min="12843" max="12844" width="11.125" style="2588" customWidth="1"/>
    <col min="12845" max="12845" width="1.5" style="2588" customWidth="1"/>
    <col min="12846" max="12847" width="6.875" style="2588"/>
    <col min="12848" max="12848" width="9.875" style="2588" customWidth="1"/>
    <col min="12849" max="13056" width="6.875" style="2588"/>
    <col min="13057" max="13057" width="3.25" style="2588" customWidth="1"/>
    <col min="13058" max="13059" width="11.125" style="2588" customWidth="1"/>
    <col min="13060" max="13060" width="1.5" style="2588" customWidth="1"/>
    <col min="13061" max="13066" width="11.125" style="2588" customWidth="1"/>
    <col min="13067" max="13067" width="1.5" style="2588" customWidth="1"/>
    <col min="13068" max="13068" width="10.25" style="2588" customWidth="1"/>
    <col min="13069" max="13070" width="11.125" style="2588" customWidth="1"/>
    <col min="13071" max="13071" width="1.5" style="2588" customWidth="1"/>
    <col min="13072" max="13072" width="3.25" style="2588" customWidth="1"/>
    <col min="13073" max="13074" width="11.125" style="2588" customWidth="1"/>
    <col min="13075" max="13075" width="1.5" style="2588" customWidth="1"/>
    <col min="13076" max="13081" width="11.125" style="2588" customWidth="1"/>
    <col min="13082" max="13082" width="1.5" style="2588" customWidth="1"/>
    <col min="13083" max="13083" width="10.25" style="2588" customWidth="1"/>
    <col min="13084" max="13085" width="11.125" style="2588" customWidth="1"/>
    <col min="13086" max="13086" width="1.5" style="2588" customWidth="1"/>
    <col min="13087" max="13087" width="3.25" style="2588" customWidth="1"/>
    <col min="13088" max="13089" width="11.125" style="2588" customWidth="1"/>
    <col min="13090" max="13090" width="1.5" style="2588" customWidth="1"/>
    <col min="13091" max="13096" width="11.125" style="2588" customWidth="1"/>
    <col min="13097" max="13097" width="1.5" style="2588" customWidth="1"/>
    <col min="13098" max="13098" width="10.25" style="2588" customWidth="1"/>
    <col min="13099" max="13100" width="11.125" style="2588" customWidth="1"/>
    <col min="13101" max="13101" width="1.5" style="2588" customWidth="1"/>
    <col min="13102" max="13103" width="6.875" style="2588"/>
    <col min="13104" max="13104" width="9.875" style="2588" customWidth="1"/>
    <col min="13105" max="13312" width="6.875" style="2588"/>
    <col min="13313" max="13313" width="3.25" style="2588" customWidth="1"/>
    <col min="13314" max="13315" width="11.125" style="2588" customWidth="1"/>
    <col min="13316" max="13316" width="1.5" style="2588" customWidth="1"/>
    <col min="13317" max="13322" width="11.125" style="2588" customWidth="1"/>
    <col min="13323" max="13323" width="1.5" style="2588" customWidth="1"/>
    <col min="13324" max="13324" width="10.25" style="2588" customWidth="1"/>
    <col min="13325" max="13326" width="11.125" style="2588" customWidth="1"/>
    <col min="13327" max="13327" width="1.5" style="2588" customWidth="1"/>
    <col min="13328" max="13328" width="3.25" style="2588" customWidth="1"/>
    <col min="13329" max="13330" width="11.125" style="2588" customWidth="1"/>
    <col min="13331" max="13331" width="1.5" style="2588" customWidth="1"/>
    <col min="13332" max="13337" width="11.125" style="2588" customWidth="1"/>
    <col min="13338" max="13338" width="1.5" style="2588" customWidth="1"/>
    <col min="13339" max="13339" width="10.25" style="2588" customWidth="1"/>
    <col min="13340" max="13341" width="11.125" style="2588" customWidth="1"/>
    <col min="13342" max="13342" width="1.5" style="2588" customWidth="1"/>
    <col min="13343" max="13343" width="3.25" style="2588" customWidth="1"/>
    <col min="13344" max="13345" width="11.125" style="2588" customWidth="1"/>
    <col min="13346" max="13346" width="1.5" style="2588" customWidth="1"/>
    <col min="13347" max="13352" width="11.125" style="2588" customWidth="1"/>
    <col min="13353" max="13353" width="1.5" style="2588" customWidth="1"/>
    <col min="13354" max="13354" width="10.25" style="2588" customWidth="1"/>
    <col min="13355" max="13356" width="11.125" style="2588" customWidth="1"/>
    <col min="13357" max="13357" width="1.5" style="2588" customWidth="1"/>
    <col min="13358" max="13359" width="6.875" style="2588"/>
    <col min="13360" max="13360" width="9.875" style="2588" customWidth="1"/>
    <col min="13361" max="13568" width="6.875" style="2588"/>
    <col min="13569" max="13569" width="3.25" style="2588" customWidth="1"/>
    <col min="13570" max="13571" width="11.125" style="2588" customWidth="1"/>
    <col min="13572" max="13572" width="1.5" style="2588" customWidth="1"/>
    <col min="13573" max="13578" width="11.125" style="2588" customWidth="1"/>
    <col min="13579" max="13579" width="1.5" style="2588" customWidth="1"/>
    <col min="13580" max="13580" width="10.25" style="2588" customWidth="1"/>
    <col min="13581" max="13582" width="11.125" style="2588" customWidth="1"/>
    <col min="13583" max="13583" width="1.5" style="2588" customWidth="1"/>
    <col min="13584" max="13584" width="3.25" style="2588" customWidth="1"/>
    <col min="13585" max="13586" width="11.125" style="2588" customWidth="1"/>
    <col min="13587" max="13587" width="1.5" style="2588" customWidth="1"/>
    <col min="13588" max="13593" width="11.125" style="2588" customWidth="1"/>
    <col min="13594" max="13594" width="1.5" style="2588" customWidth="1"/>
    <col min="13595" max="13595" width="10.25" style="2588" customWidth="1"/>
    <col min="13596" max="13597" width="11.125" style="2588" customWidth="1"/>
    <col min="13598" max="13598" width="1.5" style="2588" customWidth="1"/>
    <col min="13599" max="13599" width="3.25" style="2588" customWidth="1"/>
    <col min="13600" max="13601" width="11.125" style="2588" customWidth="1"/>
    <col min="13602" max="13602" width="1.5" style="2588" customWidth="1"/>
    <col min="13603" max="13608" width="11.125" style="2588" customWidth="1"/>
    <col min="13609" max="13609" width="1.5" style="2588" customWidth="1"/>
    <col min="13610" max="13610" width="10.25" style="2588" customWidth="1"/>
    <col min="13611" max="13612" width="11.125" style="2588" customWidth="1"/>
    <col min="13613" max="13613" width="1.5" style="2588" customWidth="1"/>
    <col min="13614" max="13615" width="6.875" style="2588"/>
    <col min="13616" max="13616" width="9.875" style="2588" customWidth="1"/>
    <col min="13617" max="13824" width="6.875" style="2588"/>
    <col min="13825" max="13825" width="3.25" style="2588" customWidth="1"/>
    <col min="13826" max="13827" width="11.125" style="2588" customWidth="1"/>
    <col min="13828" max="13828" width="1.5" style="2588" customWidth="1"/>
    <col min="13829" max="13834" width="11.125" style="2588" customWidth="1"/>
    <col min="13835" max="13835" width="1.5" style="2588" customWidth="1"/>
    <col min="13836" max="13836" width="10.25" style="2588" customWidth="1"/>
    <col min="13837" max="13838" width="11.125" style="2588" customWidth="1"/>
    <col min="13839" max="13839" width="1.5" style="2588" customWidth="1"/>
    <col min="13840" max="13840" width="3.25" style="2588" customWidth="1"/>
    <col min="13841" max="13842" width="11.125" style="2588" customWidth="1"/>
    <col min="13843" max="13843" width="1.5" style="2588" customWidth="1"/>
    <col min="13844" max="13849" width="11.125" style="2588" customWidth="1"/>
    <col min="13850" max="13850" width="1.5" style="2588" customWidth="1"/>
    <col min="13851" max="13851" width="10.25" style="2588" customWidth="1"/>
    <col min="13852" max="13853" width="11.125" style="2588" customWidth="1"/>
    <col min="13854" max="13854" width="1.5" style="2588" customWidth="1"/>
    <col min="13855" max="13855" width="3.25" style="2588" customWidth="1"/>
    <col min="13856" max="13857" width="11.125" style="2588" customWidth="1"/>
    <col min="13858" max="13858" width="1.5" style="2588" customWidth="1"/>
    <col min="13859" max="13864" width="11.125" style="2588" customWidth="1"/>
    <col min="13865" max="13865" width="1.5" style="2588" customWidth="1"/>
    <col min="13866" max="13866" width="10.25" style="2588" customWidth="1"/>
    <col min="13867" max="13868" width="11.125" style="2588" customWidth="1"/>
    <col min="13869" max="13869" width="1.5" style="2588" customWidth="1"/>
    <col min="13870" max="13871" width="6.875" style="2588"/>
    <col min="13872" max="13872" width="9.875" style="2588" customWidth="1"/>
    <col min="13873" max="14080" width="6.875" style="2588"/>
    <col min="14081" max="14081" width="3.25" style="2588" customWidth="1"/>
    <col min="14082" max="14083" width="11.125" style="2588" customWidth="1"/>
    <col min="14084" max="14084" width="1.5" style="2588" customWidth="1"/>
    <col min="14085" max="14090" width="11.125" style="2588" customWidth="1"/>
    <col min="14091" max="14091" width="1.5" style="2588" customWidth="1"/>
    <col min="14092" max="14092" width="10.25" style="2588" customWidth="1"/>
    <col min="14093" max="14094" width="11.125" style="2588" customWidth="1"/>
    <col min="14095" max="14095" width="1.5" style="2588" customWidth="1"/>
    <col min="14096" max="14096" width="3.25" style="2588" customWidth="1"/>
    <col min="14097" max="14098" width="11.125" style="2588" customWidth="1"/>
    <col min="14099" max="14099" width="1.5" style="2588" customWidth="1"/>
    <col min="14100" max="14105" width="11.125" style="2588" customWidth="1"/>
    <col min="14106" max="14106" width="1.5" style="2588" customWidth="1"/>
    <col min="14107" max="14107" width="10.25" style="2588" customWidth="1"/>
    <col min="14108" max="14109" width="11.125" style="2588" customWidth="1"/>
    <col min="14110" max="14110" width="1.5" style="2588" customWidth="1"/>
    <col min="14111" max="14111" width="3.25" style="2588" customWidth="1"/>
    <col min="14112" max="14113" width="11.125" style="2588" customWidth="1"/>
    <col min="14114" max="14114" width="1.5" style="2588" customWidth="1"/>
    <col min="14115" max="14120" width="11.125" style="2588" customWidth="1"/>
    <col min="14121" max="14121" width="1.5" style="2588" customWidth="1"/>
    <col min="14122" max="14122" width="10.25" style="2588" customWidth="1"/>
    <col min="14123" max="14124" width="11.125" style="2588" customWidth="1"/>
    <col min="14125" max="14125" width="1.5" style="2588" customWidth="1"/>
    <col min="14126" max="14127" width="6.875" style="2588"/>
    <col min="14128" max="14128" width="9.875" style="2588" customWidth="1"/>
    <col min="14129" max="14336" width="6.875" style="2588"/>
    <col min="14337" max="14337" width="3.25" style="2588" customWidth="1"/>
    <col min="14338" max="14339" width="11.125" style="2588" customWidth="1"/>
    <col min="14340" max="14340" width="1.5" style="2588" customWidth="1"/>
    <col min="14341" max="14346" width="11.125" style="2588" customWidth="1"/>
    <col min="14347" max="14347" width="1.5" style="2588" customWidth="1"/>
    <col min="14348" max="14348" width="10.25" style="2588" customWidth="1"/>
    <col min="14349" max="14350" width="11.125" style="2588" customWidth="1"/>
    <col min="14351" max="14351" width="1.5" style="2588" customWidth="1"/>
    <col min="14352" max="14352" width="3.25" style="2588" customWidth="1"/>
    <col min="14353" max="14354" width="11.125" style="2588" customWidth="1"/>
    <col min="14355" max="14355" width="1.5" style="2588" customWidth="1"/>
    <col min="14356" max="14361" width="11.125" style="2588" customWidth="1"/>
    <col min="14362" max="14362" width="1.5" style="2588" customWidth="1"/>
    <col min="14363" max="14363" width="10.25" style="2588" customWidth="1"/>
    <col min="14364" max="14365" width="11.125" style="2588" customWidth="1"/>
    <col min="14366" max="14366" width="1.5" style="2588" customWidth="1"/>
    <col min="14367" max="14367" width="3.25" style="2588" customWidth="1"/>
    <col min="14368" max="14369" width="11.125" style="2588" customWidth="1"/>
    <col min="14370" max="14370" width="1.5" style="2588" customWidth="1"/>
    <col min="14371" max="14376" width="11.125" style="2588" customWidth="1"/>
    <col min="14377" max="14377" width="1.5" style="2588" customWidth="1"/>
    <col min="14378" max="14378" width="10.25" style="2588" customWidth="1"/>
    <col min="14379" max="14380" width="11.125" style="2588" customWidth="1"/>
    <col min="14381" max="14381" width="1.5" style="2588" customWidth="1"/>
    <col min="14382" max="14383" width="6.875" style="2588"/>
    <col min="14384" max="14384" width="9.875" style="2588" customWidth="1"/>
    <col min="14385" max="14592" width="6.875" style="2588"/>
    <col min="14593" max="14593" width="3.25" style="2588" customWidth="1"/>
    <col min="14594" max="14595" width="11.125" style="2588" customWidth="1"/>
    <col min="14596" max="14596" width="1.5" style="2588" customWidth="1"/>
    <col min="14597" max="14602" width="11.125" style="2588" customWidth="1"/>
    <col min="14603" max="14603" width="1.5" style="2588" customWidth="1"/>
    <col min="14604" max="14604" width="10.25" style="2588" customWidth="1"/>
    <col min="14605" max="14606" width="11.125" style="2588" customWidth="1"/>
    <col min="14607" max="14607" width="1.5" style="2588" customWidth="1"/>
    <col min="14608" max="14608" width="3.25" style="2588" customWidth="1"/>
    <col min="14609" max="14610" width="11.125" style="2588" customWidth="1"/>
    <col min="14611" max="14611" width="1.5" style="2588" customWidth="1"/>
    <col min="14612" max="14617" width="11.125" style="2588" customWidth="1"/>
    <col min="14618" max="14618" width="1.5" style="2588" customWidth="1"/>
    <col min="14619" max="14619" width="10.25" style="2588" customWidth="1"/>
    <col min="14620" max="14621" width="11.125" style="2588" customWidth="1"/>
    <col min="14622" max="14622" width="1.5" style="2588" customWidth="1"/>
    <col min="14623" max="14623" width="3.25" style="2588" customWidth="1"/>
    <col min="14624" max="14625" width="11.125" style="2588" customWidth="1"/>
    <col min="14626" max="14626" width="1.5" style="2588" customWidth="1"/>
    <col min="14627" max="14632" width="11.125" style="2588" customWidth="1"/>
    <col min="14633" max="14633" width="1.5" style="2588" customWidth="1"/>
    <col min="14634" max="14634" width="10.25" style="2588" customWidth="1"/>
    <col min="14635" max="14636" width="11.125" style="2588" customWidth="1"/>
    <col min="14637" max="14637" width="1.5" style="2588" customWidth="1"/>
    <col min="14638" max="14639" width="6.875" style="2588"/>
    <col min="14640" max="14640" width="9.875" style="2588" customWidth="1"/>
    <col min="14641" max="14848" width="6.875" style="2588"/>
    <col min="14849" max="14849" width="3.25" style="2588" customWidth="1"/>
    <col min="14850" max="14851" width="11.125" style="2588" customWidth="1"/>
    <col min="14852" max="14852" width="1.5" style="2588" customWidth="1"/>
    <col min="14853" max="14858" width="11.125" style="2588" customWidth="1"/>
    <col min="14859" max="14859" width="1.5" style="2588" customWidth="1"/>
    <col min="14860" max="14860" width="10.25" style="2588" customWidth="1"/>
    <col min="14861" max="14862" width="11.125" style="2588" customWidth="1"/>
    <col min="14863" max="14863" width="1.5" style="2588" customWidth="1"/>
    <col min="14864" max="14864" width="3.25" style="2588" customWidth="1"/>
    <col min="14865" max="14866" width="11.125" style="2588" customWidth="1"/>
    <col min="14867" max="14867" width="1.5" style="2588" customWidth="1"/>
    <col min="14868" max="14873" width="11.125" style="2588" customWidth="1"/>
    <col min="14874" max="14874" width="1.5" style="2588" customWidth="1"/>
    <col min="14875" max="14875" width="10.25" style="2588" customWidth="1"/>
    <col min="14876" max="14877" width="11.125" style="2588" customWidth="1"/>
    <col min="14878" max="14878" width="1.5" style="2588" customWidth="1"/>
    <col min="14879" max="14879" width="3.25" style="2588" customWidth="1"/>
    <col min="14880" max="14881" width="11.125" style="2588" customWidth="1"/>
    <col min="14882" max="14882" width="1.5" style="2588" customWidth="1"/>
    <col min="14883" max="14888" width="11.125" style="2588" customWidth="1"/>
    <col min="14889" max="14889" width="1.5" style="2588" customWidth="1"/>
    <col min="14890" max="14890" width="10.25" style="2588" customWidth="1"/>
    <col min="14891" max="14892" width="11.125" style="2588" customWidth="1"/>
    <col min="14893" max="14893" width="1.5" style="2588" customWidth="1"/>
    <col min="14894" max="14895" width="6.875" style="2588"/>
    <col min="14896" max="14896" width="9.875" style="2588" customWidth="1"/>
    <col min="14897" max="15104" width="6.875" style="2588"/>
    <col min="15105" max="15105" width="3.25" style="2588" customWidth="1"/>
    <col min="15106" max="15107" width="11.125" style="2588" customWidth="1"/>
    <col min="15108" max="15108" width="1.5" style="2588" customWidth="1"/>
    <col min="15109" max="15114" width="11.125" style="2588" customWidth="1"/>
    <col min="15115" max="15115" width="1.5" style="2588" customWidth="1"/>
    <col min="15116" max="15116" width="10.25" style="2588" customWidth="1"/>
    <col min="15117" max="15118" width="11.125" style="2588" customWidth="1"/>
    <col min="15119" max="15119" width="1.5" style="2588" customWidth="1"/>
    <col min="15120" max="15120" width="3.25" style="2588" customWidth="1"/>
    <col min="15121" max="15122" width="11.125" style="2588" customWidth="1"/>
    <col min="15123" max="15123" width="1.5" style="2588" customWidth="1"/>
    <col min="15124" max="15129" width="11.125" style="2588" customWidth="1"/>
    <col min="15130" max="15130" width="1.5" style="2588" customWidth="1"/>
    <col min="15131" max="15131" width="10.25" style="2588" customWidth="1"/>
    <col min="15132" max="15133" width="11.125" style="2588" customWidth="1"/>
    <col min="15134" max="15134" width="1.5" style="2588" customWidth="1"/>
    <col min="15135" max="15135" width="3.25" style="2588" customWidth="1"/>
    <col min="15136" max="15137" width="11.125" style="2588" customWidth="1"/>
    <col min="15138" max="15138" width="1.5" style="2588" customWidth="1"/>
    <col min="15139" max="15144" width="11.125" style="2588" customWidth="1"/>
    <col min="15145" max="15145" width="1.5" style="2588" customWidth="1"/>
    <col min="15146" max="15146" width="10.25" style="2588" customWidth="1"/>
    <col min="15147" max="15148" width="11.125" style="2588" customWidth="1"/>
    <col min="15149" max="15149" width="1.5" style="2588" customWidth="1"/>
    <col min="15150" max="15151" width="6.875" style="2588"/>
    <col min="15152" max="15152" width="9.875" style="2588" customWidth="1"/>
    <col min="15153" max="15360" width="6.875" style="2588"/>
    <col min="15361" max="15361" width="3.25" style="2588" customWidth="1"/>
    <col min="15362" max="15363" width="11.125" style="2588" customWidth="1"/>
    <col min="15364" max="15364" width="1.5" style="2588" customWidth="1"/>
    <col min="15365" max="15370" width="11.125" style="2588" customWidth="1"/>
    <col min="15371" max="15371" width="1.5" style="2588" customWidth="1"/>
    <col min="15372" max="15372" width="10.25" style="2588" customWidth="1"/>
    <col min="15373" max="15374" width="11.125" style="2588" customWidth="1"/>
    <col min="15375" max="15375" width="1.5" style="2588" customWidth="1"/>
    <col min="15376" max="15376" width="3.25" style="2588" customWidth="1"/>
    <col min="15377" max="15378" width="11.125" style="2588" customWidth="1"/>
    <col min="15379" max="15379" width="1.5" style="2588" customWidth="1"/>
    <col min="15380" max="15385" width="11.125" style="2588" customWidth="1"/>
    <col min="15386" max="15386" width="1.5" style="2588" customWidth="1"/>
    <col min="15387" max="15387" width="10.25" style="2588" customWidth="1"/>
    <col min="15388" max="15389" width="11.125" style="2588" customWidth="1"/>
    <col min="15390" max="15390" width="1.5" style="2588" customWidth="1"/>
    <col min="15391" max="15391" width="3.25" style="2588" customWidth="1"/>
    <col min="15392" max="15393" width="11.125" style="2588" customWidth="1"/>
    <col min="15394" max="15394" width="1.5" style="2588" customWidth="1"/>
    <col min="15395" max="15400" width="11.125" style="2588" customWidth="1"/>
    <col min="15401" max="15401" width="1.5" style="2588" customWidth="1"/>
    <col min="15402" max="15402" width="10.25" style="2588" customWidth="1"/>
    <col min="15403" max="15404" width="11.125" style="2588" customWidth="1"/>
    <col min="15405" max="15405" width="1.5" style="2588" customWidth="1"/>
    <col min="15406" max="15407" width="6.875" style="2588"/>
    <col min="15408" max="15408" width="9.875" style="2588" customWidth="1"/>
    <col min="15409" max="15616" width="6.875" style="2588"/>
    <col min="15617" max="15617" width="3.25" style="2588" customWidth="1"/>
    <col min="15618" max="15619" width="11.125" style="2588" customWidth="1"/>
    <col min="15620" max="15620" width="1.5" style="2588" customWidth="1"/>
    <col min="15621" max="15626" width="11.125" style="2588" customWidth="1"/>
    <col min="15627" max="15627" width="1.5" style="2588" customWidth="1"/>
    <col min="15628" max="15628" width="10.25" style="2588" customWidth="1"/>
    <col min="15629" max="15630" width="11.125" style="2588" customWidth="1"/>
    <col min="15631" max="15631" width="1.5" style="2588" customWidth="1"/>
    <col min="15632" max="15632" width="3.25" style="2588" customWidth="1"/>
    <col min="15633" max="15634" width="11.125" style="2588" customWidth="1"/>
    <col min="15635" max="15635" width="1.5" style="2588" customWidth="1"/>
    <col min="15636" max="15641" width="11.125" style="2588" customWidth="1"/>
    <col min="15642" max="15642" width="1.5" style="2588" customWidth="1"/>
    <col min="15643" max="15643" width="10.25" style="2588" customWidth="1"/>
    <col min="15644" max="15645" width="11.125" style="2588" customWidth="1"/>
    <col min="15646" max="15646" width="1.5" style="2588" customWidth="1"/>
    <col min="15647" max="15647" width="3.25" style="2588" customWidth="1"/>
    <col min="15648" max="15649" width="11.125" style="2588" customWidth="1"/>
    <col min="15650" max="15650" width="1.5" style="2588" customWidth="1"/>
    <col min="15651" max="15656" width="11.125" style="2588" customWidth="1"/>
    <col min="15657" max="15657" width="1.5" style="2588" customWidth="1"/>
    <col min="15658" max="15658" width="10.25" style="2588" customWidth="1"/>
    <col min="15659" max="15660" width="11.125" style="2588" customWidth="1"/>
    <col min="15661" max="15661" width="1.5" style="2588" customWidth="1"/>
    <col min="15662" max="15663" width="6.875" style="2588"/>
    <col min="15664" max="15664" width="9.875" style="2588" customWidth="1"/>
    <col min="15665" max="15872" width="6.875" style="2588"/>
    <col min="15873" max="15873" width="3.25" style="2588" customWidth="1"/>
    <col min="15874" max="15875" width="11.125" style="2588" customWidth="1"/>
    <col min="15876" max="15876" width="1.5" style="2588" customWidth="1"/>
    <col min="15877" max="15882" width="11.125" style="2588" customWidth="1"/>
    <col min="15883" max="15883" width="1.5" style="2588" customWidth="1"/>
    <col min="15884" max="15884" width="10.25" style="2588" customWidth="1"/>
    <col min="15885" max="15886" width="11.125" style="2588" customWidth="1"/>
    <col min="15887" max="15887" width="1.5" style="2588" customWidth="1"/>
    <col min="15888" max="15888" width="3.25" style="2588" customWidth="1"/>
    <col min="15889" max="15890" width="11.125" style="2588" customWidth="1"/>
    <col min="15891" max="15891" width="1.5" style="2588" customWidth="1"/>
    <col min="15892" max="15897" width="11.125" style="2588" customWidth="1"/>
    <col min="15898" max="15898" width="1.5" style="2588" customWidth="1"/>
    <col min="15899" max="15899" width="10.25" style="2588" customWidth="1"/>
    <col min="15900" max="15901" width="11.125" style="2588" customWidth="1"/>
    <col min="15902" max="15902" width="1.5" style="2588" customWidth="1"/>
    <col min="15903" max="15903" width="3.25" style="2588" customWidth="1"/>
    <col min="15904" max="15905" width="11.125" style="2588" customWidth="1"/>
    <col min="15906" max="15906" width="1.5" style="2588" customWidth="1"/>
    <col min="15907" max="15912" width="11.125" style="2588" customWidth="1"/>
    <col min="15913" max="15913" width="1.5" style="2588" customWidth="1"/>
    <col min="15914" max="15914" width="10.25" style="2588" customWidth="1"/>
    <col min="15915" max="15916" width="11.125" style="2588" customWidth="1"/>
    <col min="15917" max="15917" width="1.5" style="2588" customWidth="1"/>
    <col min="15918" max="15919" width="6.875" style="2588"/>
    <col min="15920" max="15920" width="9.875" style="2588" customWidth="1"/>
    <col min="15921" max="16128" width="6.875" style="2588"/>
    <col min="16129" max="16129" width="3.25" style="2588" customWidth="1"/>
    <col min="16130" max="16131" width="11.125" style="2588" customWidth="1"/>
    <col min="16132" max="16132" width="1.5" style="2588" customWidth="1"/>
    <col min="16133" max="16138" width="11.125" style="2588" customWidth="1"/>
    <col min="16139" max="16139" width="1.5" style="2588" customWidth="1"/>
    <col min="16140" max="16140" width="10.25" style="2588" customWidth="1"/>
    <col min="16141" max="16142" width="11.125" style="2588" customWidth="1"/>
    <col min="16143" max="16143" width="1.5" style="2588" customWidth="1"/>
    <col min="16144" max="16144" width="3.25" style="2588" customWidth="1"/>
    <col min="16145" max="16146" width="11.125" style="2588" customWidth="1"/>
    <col min="16147" max="16147" width="1.5" style="2588" customWidth="1"/>
    <col min="16148" max="16153" width="11.125" style="2588" customWidth="1"/>
    <col min="16154" max="16154" width="1.5" style="2588" customWidth="1"/>
    <col min="16155" max="16155" width="10.25" style="2588" customWidth="1"/>
    <col min="16156" max="16157" width="11.125" style="2588" customWidth="1"/>
    <col min="16158" max="16158" width="1.5" style="2588" customWidth="1"/>
    <col min="16159" max="16159" width="3.25" style="2588" customWidth="1"/>
    <col min="16160" max="16161" width="11.125" style="2588" customWidth="1"/>
    <col min="16162" max="16162" width="1.5" style="2588" customWidth="1"/>
    <col min="16163" max="16168" width="11.125" style="2588" customWidth="1"/>
    <col min="16169" max="16169" width="1.5" style="2588" customWidth="1"/>
    <col min="16170" max="16170" width="10.25" style="2588" customWidth="1"/>
    <col min="16171" max="16172" width="11.125" style="2588" customWidth="1"/>
    <col min="16173" max="16173" width="1.5" style="2588" customWidth="1"/>
    <col min="16174" max="16175" width="6.875" style="2588"/>
    <col min="16176" max="16176" width="9.875" style="2588" customWidth="1"/>
    <col min="16177" max="16384" width="6.875" style="2588"/>
  </cols>
  <sheetData>
    <row r="1" spans="1:53">
      <c r="T1" s="2588">
        <v>4</v>
      </c>
    </row>
    <row r="2" spans="1:53">
      <c r="A2" s="2536"/>
      <c r="B2" s="2537"/>
      <c r="C2" s="2537"/>
      <c r="D2" s="2660"/>
      <c r="E2" s="2660"/>
      <c r="F2" s="2660"/>
      <c r="G2" s="2731" t="s">
        <v>206</v>
      </c>
      <c r="H2" s="2904" t="str">
        <f>Details!B4</f>
        <v xml:space="preserve">PT Itamatra Nusantara </v>
      </c>
      <c r="I2" s="2661"/>
      <c r="J2" s="2661"/>
      <c r="K2" s="2661"/>
      <c r="L2" s="2661"/>
      <c r="M2" s="2661"/>
      <c r="N2" s="2662"/>
      <c r="P2" s="2659"/>
      <c r="Q2" s="2660"/>
      <c r="R2" s="2660"/>
      <c r="S2" s="2660"/>
      <c r="T2" s="2660"/>
      <c r="U2" s="2660"/>
      <c r="V2" s="2731" t="s">
        <v>206</v>
      </c>
      <c r="W2" s="2909" t="str">
        <f>H2</f>
        <v xml:space="preserve">PT Itamatra Nusantara </v>
      </c>
      <c r="X2" s="2661"/>
      <c r="Y2" s="2661"/>
      <c r="Z2" s="2661"/>
      <c r="AA2" s="2661"/>
      <c r="AB2" s="2661"/>
      <c r="AC2" s="2662"/>
      <c r="AE2" s="2659"/>
      <c r="AF2" s="2660"/>
      <c r="AG2" s="2660"/>
      <c r="AH2" s="2660"/>
      <c r="AI2" s="2660"/>
      <c r="AJ2" s="2660"/>
      <c r="AK2" s="2731" t="s">
        <v>206</v>
      </c>
      <c r="AL2" s="2909" t="str">
        <f>W2</f>
        <v xml:space="preserve">PT Itamatra Nusantara </v>
      </c>
      <c r="AM2" s="2661"/>
      <c r="AN2" s="2661"/>
      <c r="AO2" s="2661"/>
      <c r="AP2" s="2661"/>
      <c r="AQ2" s="2661"/>
      <c r="AR2" s="2662"/>
    </row>
    <row r="3" spans="1:53">
      <c r="A3" s="2542"/>
      <c r="G3" s="2732" t="s">
        <v>82</v>
      </c>
      <c r="H3" s="2905" t="str">
        <f>Details!B8</f>
        <v>hidroplogi</v>
      </c>
      <c r="I3" s="2653"/>
      <c r="J3" s="2653"/>
      <c r="K3" s="2653"/>
      <c r="L3" s="2653"/>
      <c r="M3" s="2653"/>
      <c r="N3" s="2664"/>
      <c r="P3" s="2663"/>
      <c r="V3" s="2732" t="s">
        <v>82</v>
      </c>
      <c r="W3" s="2910" t="str">
        <f>H3</f>
        <v>hidroplogi</v>
      </c>
      <c r="X3" s="2653"/>
      <c r="Y3" s="2653"/>
      <c r="Z3" s="2653"/>
      <c r="AA3" s="2653"/>
      <c r="AB3" s="2653"/>
      <c r="AC3" s="2664"/>
      <c r="AE3" s="2663"/>
      <c r="AK3" s="2732" t="s">
        <v>82</v>
      </c>
      <c r="AL3" s="2910" t="str">
        <f>W3</f>
        <v>hidroplogi</v>
      </c>
      <c r="AM3" s="2653"/>
      <c r="AN3" s="2653"/>
      <c r="AO3" s="2653"/>
      <c r="AP3" s="2653"/>
      <c r="AQ3" s="2653"/>
      <c r="AR3" s="2664"/>
      <c r="AV3" s="2574" t="s">
        <v>1307</v>
      </c>
    </row>
    <row r="4" spans="1:53">
      <c r="A4" s="2542"/>
      <c r="G4" s="2732" t="s">
        <v>77</v>
      </c>
      <c r="H4" s="2906" t="str">
        <f>Details!B3</f>
        <v>PO-GQT-19</v>
      </c>
      <c r="I4" s="2653"/>
      <c r="J4" s="2653"/>
      <c r="K4" s="2653"/>
      <c r="L4" s="2916" t="s">
        <v>76</v>
      </c>
      <c r="M4" s="2666"/>
      <c r="N4" s="2667"/>
      <c r="P4" s="2663"/>
      <c r="V4" s="2732" t="s">
        <v>77</v>
      </c>
      <c r="W4" s="2911" t="str">
        <f>H4</f>
        <v>PO-GQT-19</v>
      </c>
      <c r="X4" s="2653"/>
      <c r="Y4" s="2653"/>
      <c r="Z4" s="2653"/>
      <c r="AA4" s="2665" t="s">
        <v>76</v>
      </c>
      <c r="AB4" s="2666">
        <f>M4</f>
        <v>0</v>
      </c>
      <c r="AC4" s="2667"/>
      <c r="AE4" s="2663"/>
      <c r="AK4" s="2732" t="s">
        <v>77</v>
      </c>
      <c r="AL4" s="2911" t="str">
        <f>W4</f>
        <v>PO-GQT-19</v>
      </c>
      <c r="AM4" s="2653"/>
      <c r="AN4" s="2653"/>
      <c r="AO4" s="2653"/>
      <c r="AP4" s="2665" t="s">
        <v>76</v>
      </c>
      <c r="AQ4" s="2666">
        <f>AB4</f>
        <v>0</v>
      </c>
      <c r="AR4" s="2667"/>
      <c r="AV4" s="2734"/>
    </row>
    <row r="5" spans="1:53">
      <c r="A5" s="2553"/>
      <c r="B5" s="2554"/>
      <c r="C5" s="2554"/>
      <c r="D5" s="2656"/>
      <c r="E5" s="2656"/>
      <c r="F5" s="2656"/>
      <c r="G5" s="2733" t="s">
        <v>75</v>
      </c>
      <c r="H5" s="2907"/>
      <c r="I5" s="2669"/>
      <c r="J5" s="2669"/>
      <c r="K5" s="2669"/>
      <c r="L5" s="2917" t="s">
        <v>1106</v>
      </c>
      <c r="M5" s="2908" t="s">
        <v>1346</v>
      </c>
      <c r="N5" s="2672"/>
      <c r="P5" s="2668"/>
      <c r="Q5" s="2656"/>
      <c r="R5" s="2656"/>
      <c r="S5" s="2656"/>
      <c r="T5" s="2656"/>
      <c r="U5" s="2656"/>
      <c r="V5" s="2733" t="s">
        <v>75</v>
      </c>
      <c r="W5" s="2908">
        <f>H5</f>
        <v>0</v>
      </c>
      <c r="X5" s="2669"/>
      <c r="Y5" s="2669"/>
      <c r="Z5" s="2669"/>
      <c r="AA5" s="2670" t="s">
        <v>1106</v>
      </c>
      <c r="AB5" s="2671" t="str">
        <f>M5</f>
        <v>Alansyah</v>
      </c>
      <c r="AC5" s="2672"/>
      <c r="AE5" s="2668"/>
      <c r="AF5" s="2656"/>
      <c r="AG5" s="2656"/>
      <c r="AH5" s="2656"/>
      <c r="AI5" s="2656"/>
      <c r="AJ5" s="2656"/>
      <c r="AK5" s="2733" t="s">
        <v>75</v>
      </c>
      <c r="AL5" s="2908">
        <f>W5</f>
        <v>0</v>
      </c>
      <c r="AM5" s="2669"/>
      <c r="AN5" s="2669"/>
      <c r="AO5" s="2669"/>
      <c r="AP5" s="2670" t="s">
        <v>1106</v>
      </c>
      <c r="AQ5" s="2671" t="str">
        <f>AB5</f>
        <v>Alansyah</v>
      </c>
      <c r="AR5" s="2672"/>
      <c r="AV5" s="2560" t="s">
        <v>1260</v>
      </c>
      <c r="AZ5" s="2588" t="s">
        <v>1261</v>
      </c>
    </row>
    <row r="6" spans="1:53" ht="14.25" thickBot="1">
      <c r="A6" s="2542"/>
      <c r="H6" s="2673"/>
      <c r="N6" s="2674"/>
      <c r="P6" s="2663"/>
      <c r="W6" s="2673"/>
      <c r="AC6" s="2674"/>
      <c r="AE6" s="2663"/>
      <c r="AL6" s="2673"/>
      <c r="AR6" s="2674"/>
      <c r="AY6" s="2656"/>
      <c r="AZ6" s="2656"/>
      <c r="BA6" s="2656"/>
    </row>
    <row r="7" spans="1:53">
      <c r="A7" s="2893" t="s">
        <v>1262</v>
      </c>
      <c r="H7" s="2673"/>
      <c r="N7" s="2674"/>
      <c r="P7" s="2730" t="s">
        <v>1263</v>
      </c>
      <c r="W7" s="2673"/>
      <c r="AC7" s="2674"/>
      <c r="AE7" s="2730" t="s">
        <v>1262</v>
      </c>
      <c r="AL7" s="2673"/>
      <c r="AR7" s="2674"/>
      <c r="AV7" s="2675" t="s">
        <v>284</v>
      </c>
      <c r="AW7" s="2569" t="s">
        <v>12</v>
      </c>
      <c r="AX7" s="2676" t="s">
        <v>285</v>
      </c>
      <c r="AY7" s="2569" t="s">
        <v>286</v>
      </c>
      <c r="AZ7" s="2570" t="s">
        <v>167</v>
      </c>
      <c r="BA7" s="2571" t="s">
        <v>287</v>
      </c>
    </row>
    <row r="8" spans="1:53" ht="15.75" thickBot="1">
      <c r="A8" s="2894"/>
      <c r="N8" s="2678"/>
      <c r="P8" s="2677"/>
      <c r="AC8" s="2678"/>
      <c r="AE8" s="2677"/>
      <c r="AR8" s="2678"/>
      <c r="AV8" s="2679" t="s">
        <v>60</v>
      </c>
      <c r="AW8" s="2533" t="s">
        <v>1264</v>
      </c>
      <c r="AX8" s="2680" t="s">
        <v>1264</v>
      </c>
      <c r="AY8" s="2533" t="s">
        <v>289</v>
      </c>
      <c r="AZ8" s="2533" t="s">
        <v>1305</v>
      </c>
      <c r="BA8" s="2534" t="s">
        <v>1306</v>
      </c>
    </row>
    <row r="9" spans="1:53">
      <c r="A9" s="2542"/>
      <c r="B9" s="2535" t="s">
        <v>208</v>
      </c>
      <c r="D9" s="2588" t="s">
        <v>27</v>
      </c>
      <c r="E9" s="2912" t="str">
        <f>Details!B9</f>
        <v>Morowali Utara</v>
      </c>
      <c r="I9" s="2574" t="s">
        <v>240</v>
      </c>
      <c r="K9" s="2588" t="s">
        <v>27</v>
      </c>
      <c r="L9" s="2915"/>
      <c r="N9" s="2678"/>
      <c r="P9" s="2663"/>
      <c r="Q9" s="2574" t="s">
        <v>208</v>
      </c>
      <c r="S9" s="2588" t="s">
        <v>27</v>
      </c>
      <c r="T9" s="2578" t="str">
        <f>E9</f>
        <v>Morowali Utara</v>
      </c>
      <c r="X9" s="2574" t="s">
        <v>240</v>
      </c>
      <c r="Z9" s="2588" t="s">
        <v>27</v>
      </c>
      <c r="AA9" s="2915">
        <f>L9</f>
        <v>0</v>
      </c>
      <c r="AC9" s="2678"/>
      <c r="AE9" s="2663"/>
      <c r="AF9" s="2574" t="s">
        <v>208</v>
      </c>
      <c r="AH9" s="2588" t="s">
        <v>27</v>
      </c>
      <c r="AI9" s="2578" t="str">
        <f>T9</f>
        <v>Morowali Utara</v>
      </c>
      <c r="AM9" s="2574" t="s">
        <v>240</v>
      </c>
      <c r="AO9" s="2588" t="s">
        <v>27</v>
      </c>
      <c r="AP9" s="2915">
        <f>AA9</f>
        <v>0</v>
      </c>
      <c r="AR9" s="2678"/>
      <c r="AV9" s="2626">
        <v>1</v>
      </c>
      <c r="AW9" s="2681">
        <v>5.94</v>
      </c>
      <c r="AX9" s="2682">
        <v>2.4900000000000002</v>
      </c>
      <c r="AY9" s="2582">
        <v>118.152</v>
      </c>
      <c r="AZ9" s="2583">
        <f>+(AW9)^2*PI()*(0.25)</f>
        <v>27.711674638050212</v>
      </c>
      <c r="BA9" s="2584">
        <f>AZ9*AX9</f>
        <v>69.002069848745037</v>
      </c>
    </row>
    <row r="10" spans="1:53">
      <c r="A10" s="2542"/>
      <c r="B10" s="2535" t="s">
        <v>1124</v>
      </c>
      <c r="D10" s="2588" t="s">
        <v>27</v>
      </c>
      <c r="E10" s="2913" t="str">
        <f>Details!B1</f>
        <v>BH-05_UDS-01</v>
      </c>
      <c r="I10" s="2574" t="s">
        <v>234</v>
      </c>
      <c r="K10" s="2588" t="s">
        <v>27</v>
      </c>
      <c r="L10" s="2915" t="str">
        <f>Details!B16</f>
        <v>Undisturbed Sample / UDS</v>
      </c>
      <c r="N10" s="2678"/>
      <c r="P10" s="2663"/>
      <c r="Q10" s="2574" t="s">
        <v>1124</v>
      </c>
      <c r="S10" s="2588" t="s">
        <v>27</v>
      </c>
      <c r="T10" s="2578" t="str">
        <f>E10</f>
        <v>BH-05_UDS-01</v>
      </c>
      <c r="X10" s="2574" t="s">
        <v>234</v>
      </c>
      <c r="Z10" s="2588" t="s">
        <v>27</v>
      </c>
      <c r="AA10" s="2915" t="str">
        <f>L10</f>
        <v>Undisturbed Sample / UDS</v>
      </c>
      <c r="AC10" s="2678"/>
      <c r="AE10" s="2663"/>
      <c r="AF10" s="2574" t="s">
        <v>1124</v>
      </c>
      <c r="AH10" s="2588" t="s">
        <v>27</v>
      </c>
      <c r="AI10" s="2578" t="str">
        <f>T10</f>
        <v>BH-05_UDS-01</v>
      </c>
      <c r="AM10" s="2574" t="s">
        <v>234</v>
      </c>
      <c r="AO10" s="2588" t="s">
        <v>27</v>
      </c>
      <c r="AP10" s="2915" t="str">
        <f>AA10</f>
        <v>Undisturbed Sample / UDS</v>
      </c>
      <c r="AR10" s="2678"/>
      <c r="AV10" s="2626"/>
      <c r="AW10" s="2582"/>
      <c r="AX10" s="2582"/>
      <c r="AY10" s="2582"/>
      <c r="AZ10" s="2583">
        <f t="shared" ref="AZ10:AZ27" si="0">+(AW10)^2*PI()*(0.25)</f>
        <v>0</v>
      </c>
      <c r="BA10" s="2584">
        <f t="shared" ref="BA10:BA27" si="1">AZ10*AX10</f>
        <v>0</v>
      </c>
    </row>
    <row r="11" spans="1:53">
      <c r="A11" s="2542"/>
      <c r="B11" s="2535" t="s">
        <v>210</v>
      </c>
      <c r="D11" s="2588" t="s">
        <v>27</v>
      </c>
      <c r="E11" s="2914" t="str">
        <f>Details!B13</f>
        <v>0,00-0,50</v>
      </c>
      <c r="F11" s="2588" t="s">
        <v>68</v>
      </c>
      <c r="I11" s="2574" t="s">
        <v>212</v>
      </c>
      <c r="K11" s="2588" t="s">
        <v>27</v>
      </c>
      <c r="L11" s="2915" t="str">
        <f>Details!B14</f>
        <v>silty CLAY with sand</v>
      </c>
      <c r="N11" s="2678"/>
      <c r="P11" s="2663"/>
      <c r="Q11" s="2574" t="s">
        <v>210</v>
      </c>
      <c r="S11" s="2588" t="s">
        <v>27</v>
      </c>
      <c r="T11" s="2578" t="str">
        <f>E11</f>
        <v>0,00-0,50</v>
      </c>
      <c r="U11" s="2588" t="s">
        <v>68</v>
      </c>
      <c r="X11" s="2574" t="s">
        <v>212</v>
      </c>
      <c r="Z11" s="2588" t="s">
        <v>27</v>
      </c>
      <c r="AA11" s="2915" t="str">
        <f>L11</f>
        <v>silty CLAY with sand</v>
      </c>
      <c r="AC11" s="2678"/>
      <c r="AE11" s="2663"/>
      <c r="AF11" s="2574" t="s">
        <v>210</v>
      </c>
      <c r="AH11" s="2588" t="s">
        <v>27</v>
      </c>
      <c r="AI11" s="2578" t="str">
        <f>T11</f>
        <v>0,00-0,50</v>
      </c>
      <c r="AJ11" s="2588" t="s">
        <v>68</v>
      </c>
      <c r="AM11" s="2574" t="s">
        <v>212</v>
      </c>
      <c r="AO11" s="2588" t="s">
        <v>27</v>
      </c>
      <c r="AP11" s="2915" t="str">
        <f>AA11</f>
        <v>silty CLAY with sand</v>
      </c>
      <c r="AR11" s="2678"/>
      <c r="AV11" s="2626"/>
      <c r="AW11" s="2582"/>
      <c r="AX11" s="2582"/>
      <c r="AY11" s="2582"/>
      <c r="AZ11" s="2583">
        <f t="shared" si="0"/>
        <v>0</v>
      </c>
      <c r="BA11" s="2584">
        <f t="shared" si="1"/>
        <v>0</v>
      </c>
    </row>
    <row r="12" spans="1:53">
      <c r="A12" s="2542"/>
      <c r="E12" s="2673"/>
      <c r="N12" s="2678"/>
      <c r="P12" s="2663"/>
      <c r="T12" s="2673"/>
      <c r="AC12" s="2678"/>
      <c r="AE12" s="2663"/>
      <c r="AI12" s="2673"/>
      <c r="AR12" s="2678"/>
      <c r="AV12" s="2626"/>
      <c r="AW12" s="2582"/>
      <c r="AX12" s="2582"/>
      <c r="AY12" s="2582"/>
      <c r="AZ12" s="2583">
        <f t="shared" si="0"/>
        <v>0</v>
      </c>
      <c r="BA12" s="2584">
        <f t="shared" si="1"/>
        <v>0</v>
      </c>
    </row>
    <row r="13" spans="1:53">
      <c r="A13" s="2542"/>
      <c r="B13" s="2587"/>
      <c r="G13" s="2683"/>
      <c r="L13" s="2588" t="s">
        <v>1265</v>
      </c>
      <c r="M13" s="2588" t="s">
        <v>1266</v>
      </c>
      <c r="N13" s="2678"/>
      <c r="P13" s="2663"/>
      <c r="Q13" s="2683"/>
      <c r="V13" s="2683"/>
      <c r="AA13" s="2588" t="s">
        <v>1265</v>
      </c>
      <c r="AB13" s="2588" t="s">
        <v>1266</v>
      </c>
      <c r="AC13" s="2678"/>
      <c r="AE13" s="2663"/>
      <c r="AF13" s="2683"/>
      <c r="AK13" s="2683"/>
      <c r="AP13" s="2588" t="s">
        <v>1265</v>
      </c>
      <c r="AQ13" s="2588" t="s">
        <v>1266</v>
      </c>
      <c r="AR13" s="2678"/>
      <c r="AV13" s="2626"/>
      <c r="AW13" s="2582"/>
      <c r="AX13" s="2582"/>
      <c r="AY13" s="2582"/>
      <c r="AZ13" s="2583">
        <f t="shared" si="0"/>
        <v>0</v>
      </c>
      <c r="BA13" s="2584">
        <f t="shared" si="1"/>
        <v>0</v>
      </c>
    </row>
    <row r="14" spans="1:53">
      <c r="A14" s="2542"/>
      <c r="B14" s="2589" t="s">
        <v>1163</v>
      </c>
      <c r="C14" s="2544"/>
      <c r="D14" s="2653"/>
      <c r="E14" s="2653" t="s">
        <v>104</v>
      </c>
      <c r="F14" s="2717">
        <v>1</v>
      </c>
      <c r="H14" s="2595" t="s">
        <v>1267</v>
      </c>
      <c r="I14" s="2653"/>
      <c r="J14" s="2653" t="s">
        <v>414</v>
      </c>
      <c r="K14" s="2684"/>
      <c r="L14" s="2725">
        <v>246.28</v>
      </c>
      <c r="M14" s="2725">
        <v>236.45</v>
      </c>
      <c r="N14" s="2678"/>
      <c r="P14" s="2663"/>
      <c r="Q14" s="2595" t="s">
        <v>1163</v>
      </c>
      <c r="R14" s="2653"/>
      <c r="S14" s="2653"/>
      <c r="T14" s="2653" t="s">
        <v>104</v>
      </c>
      <c r="U14" s="2591">
        <v>1</v>
      </c>
      <c r="W14" s="2595" t="s">
        <v>1267</v>
      </c>
      <c r="X14" s="2653"/>
      <c r="Y14" s="2653" t="s">
        <v>414</v>
      </c>
      <c r="Z14" s="2684"/>
      <c r="AA14" s="2685">
        <f>L14</f>
        <v>246.28</v>
      </c>
      <c r="AB14" s="2685">
        <f>M14</f>
        <v>236.45</v>
      </c>
      <c r="AC14" s="2678"/>
      <c r="AE14" s="2663"/>
      <c r="AF14" s="2595" t="s">
        <v>1163</v>
      </c>
      <c r="AG14" s="2653"/>
      <c r="AH14" s="2653"/>
      <c r="AI14" s="2653" t="s">
        <v>104</v>
      </c>
      <c r="AJ14" s="2591">
        <f>U14</f>
        <v>1</v>
      </c>
      <c r="AL14" s="2595" t="s">
        <v>1267</v>
      </c>
      <c r="AM14" s="2653"/>
      <c r="AN14" s="2653" t="s">
        <v>414</v>
      </c>
      <c r="AO14" s="2684"/>
      <c r="AP14" s="2685">
        <f>AA14</f>
        <v>246.28</v>
      </c>
      <c r="AQ14" s="2685">
        <f>AB14</f>
        <v>236.45</v>
      </c>
      <c r="AR14" s="2678"/>
      <c r="AV14" s="2626"/>
      <c r="AW14" s="2582"/>
      <c r="AX14" s="2582"/>
      <c r="AY14" s="2582"/>
      <c r="AZ14" s="2583">
        <f t="shared" si="0"/>
        <v>0</v>
      </c>
      <c r="BA14" s="2584">
        <f t="shared" si="1"/>
        <v>0</v>
      </c>
    </row>
    <row r="15" spans="1:53">
      <c r="A15" s="2542"/>
      <c r="B15" s="2589" t="s">
        <v>1268</v>
      </c>
      <c r="C15" s="2544"/>
      <c r="D15" s="2653"/>
      <c r="E15" s="2653" t="s">
        <v>104</v>
      </c>
      <c r="F15" s="2686">
        <f>VLOOKUP(F14,AV9:AY29,2)</f>
        <v>5.94</v>
      </c>
      <c r="H15" s="2595" t="s">
        <v>1269</v>
      </c>
      <c r="I15" s="2653"/>
      <c r="J15" s="2653" t="s">
        <v>414</v>
      </c>
      <c r="K15" s="2684"/>
      <c r="L15" s="2651">
        <f>L18+L16</f>
        <v>214.88200000000001</v>
      </c>
      <c r="M15" s="2725">
        <v>213.25</v>
      </c>
      <c r="N15" s="2678"/>
      <c r="P15" s="2663"/>
      <c r="Q15" s="2595" t="s">
        <v>1268</v>
      </c>
      <c r="R15" s="2653"/>
      <c r="S15" s="2653"/>
      <c r="T15" s="2653" t="s">
        <v>104</v>
      </c>
      <c r="U15" s="2686">
        <f t="shared" ref="U15:U22" si="2">F15</f>
        <v>5.94</v>
      </c>
      <c r="W15" s="2595" t="s">
        <v>1269</v>
      </c>
      <c r="X15" s="2653"/>
      <c r="Y15" s="2653" t="s">
        <v>414</v>
      </c>
      <c r="Z15" s="2684"/>
      <c r="AA15" s="2651">
        <f t="shared" ref="AA15:AB23" si="3">L15</f>
        <v>214.88200000000001</v>
      </c>
      <c r="AB15" s="2685">
        <f t="shared" si="3"/>
        <v>213.25</v>
      </c>
      <c r="AC15" s="2678"/>
      <c r="AE15" s="2663"/>
      <c r="AF15" s="2595" t="s">
        <v>1268</v>
      </c>
      <c r="AG15" s="2653"/>
      <c r="AH15" s="2653"/>
      <c r="AI15" s="2653" t="s">
        <v>104</v>
      </c>
      <c r="AJ15" s="2686">
        <f t="shared" ref="AJ15:AJ22" si="4">U15</f>
        <v>5.94</v>
      </c>
      <c r="AL15" s="2595" t="s">
        <v>1269</v>
      </c>
      <c r="AM15" s="2653"/>
      <c r="AN15" s="2653" t="s">
        <v>414</v>
      </c>
      <c r="AO15" s="2684"/>
      <c r="AP15" s="2651">
        <f t="shared" ref="AP15:AQ23" si="5">AA15</f>
        <v>214.88200000000001</v>
      </c>
      <c r="AQ15" s="2685">
        <f t="shared" si="5"/>
        <v>213.25</v>
      </c>
      <c r="AR15" s="2678"/>
      <c r="AV15" s="2626"/>
      <c r="AW15" s="2582"/>
      <c r="AX15" s="2582"/>
      <c r="AY15" s="2582"/>
      <c r="AZ15" s="2583">
        <f t="shared" si="0"/>
        <v>0</v>
      </c>
      <c r="BA15" s="2584">
        <f t="shared" si="1"/>
        <v>0</v>
      </c>
    </row>
    <row r="16" spans="1:53" ht="15">
      <c r="A16" s="2542"/>
      <c r="B16" s="2589" t="s">
        <v>1270</v>
      </c>
      <c r="C16" s="2544"/>
      <c r="D16" s="2653"/>
      <c r="E16" s="2652" t="s">
        <v>721</v>
      </c>
      <c r="F16" s="2686">
        <f>VLOOKUP(F14,AV9:AY29,3)</f>
        <v>2.4900000000000002</v>
      </c>
      <c r="H16" s="2595" t="s">
        <v>1271</v>
      </c>
      <c r="I16" s="2653"/>
      <c r="J16" s="2653" t="s">
        <v>414</v>
      </c>
      <c r="K16" s="2684"/>
      <c r="L16" s="2651">
        <f>VLOOKUP(F14,AV7:AY29,4)</f>
        <v>118.152</v>
      </c>
      <c r="M16" s="2725">
        <v>116.52</v>
      </c>
      <c r="N16" s="2678"/>
      <c r="P16" s="2663"/>
      <c r="Q16" s="2595" t="s">
        <v>1270</v>
      </c>
      <c r="R16" s="2653"/>
      <c r="S16" s="2653"/>
      <c r="T16" s="2652" t="s">
        <v>721</v>
      </c>
      <c r="U16" s="2686">
        <f t="shared" si="2"/>
        <v>2.4900000000000002</v>
      </c>
      <c r="W16" s="2595" t="s">
        <v>1271</v>
      </c>
      <c r="X16" s="2653"/>
      <c r="Y16" s="2653" t="s">
        <v>414</v>
      </c>
      <c r="Z16" s="2684"/>
      <c r="AA16" s="2651">
        <f t="shared" si="3"/>
        <v>118.152</v>
      </c>
      <c r="AB16" s="2685">
        <f t="shared" si="3"/>
        <v>116.52</v>
      </c>
      <c r="AC16" s="2678"/>
      <c r="AE16" s="2663"/>
      <c r="AF16" s="2595" t="s">
        <v>1270</v>
      </c>
      <c r="AG16" s="2653"/>
      <c r="AH16" s="2653"/>
      <c r="AI16" s="2652" t="s">
        <v>721</v>
      </c>
      <c r="AJ16" s="2686">
        <f t="shared" si="4"/>
        <v>2.4900000000000002</v>
      </c>
      <c r="AL16" s="2595" t="s">
        <v>1271</v>
      </c>
      <c r="AM16" s="2653"/>
      <c r="AN16" s="2653" t="s">
        <v>414</v>
      </c>
      <c r="AO16" s="2684"/>
      <c r="AP16" s="2651">
        <f t="shared" si="5"/>
        <v>118.152</v>
      </c>
      <c r="AQ16" s="2685">
        <f t="shared" si="5"/>
        <v>116.52</v>
      </c>
      <c r="AR16" s="2678"/>
      <c r="AV16" s="2626"/>
      <c r="AW16" s="2582"/>
      <c r="AX16" s="2582"/>
      <c r="AY16" s="2582"/>
      <c r="AZ16" s="2583">
        <f t="shared" si="0"/>
        <v>0</v>
      </c>
      <c r="BA16" s="2584">
        <f t="shared" si="1"/>
        <v>0</v>
      </c>
    </row>
    <row r="17" spans="1:53" ht="15">
      <c r="A17" s="2542"/>
      <c r="B17" s="2589" t="s">
        <v>1272</v>
      </c>
      <c r="C17" s="2544"/>
      <c r="D17" s="2653"/>
      <c r="E17" s="2652" t="s">
        <v>721</v>
      </c>
      <c r="F17" s="2687">
        <f>+(F15)^2*PI()*0.25</f>
        <v>27.711674638050212</v>
      </c>
      <c r="H17" s="2595" t="s">
        <v>1273</v>
      </c>
      <c r="I17" s="2653"/>
      <c r="J17" s="2653" t="s">
        <v>414</v>
      </c>
      <c r="K17" s="2684"/>
      <c r="L17" s="2651">
        <f>L14-L16</f>
        <v>128.12799999999999</v>
      </c>
      <c r="M17" s="2650">
        <f>M14-M16</f>
        <v>119.92999999999999</v>
      </c>
      <c r="N17" s="2678"/>
      <c r="P17" s="2663"/>
      <c r="Q17" s="2595" t="s">
        <v>1272</v>
      </c>
      <c r="R17" s="2653"/>
      <c r="S17" s="2653"/>
      <c r="T17" s="2652" t="s">
        <v>721</v>
      </c>
      <c r="U17" s="2687">
        <f t="shared" si="2"/>
        <v>27.711674638050212</v>
      </c>
      <c r="W17" s="2595" t="s">
        <v>1273</v>
      </c>
      <c r="X17" s="2653"/>
      <c r="Y17" s="2653" t="s">
        <v>414</v>
      </c>
      <c r="Z17" s="2684"/>
      <c r="AA17" s="2651">
        <f t="shared" si="3"/>
        <v>128.12799999999999</v>
      </c>
      <c r="AB17" s="2650">
        <f t="shared" si="3"/>
        <v>119.92999999999999</v>
      </c>
      <c r="AC17" s="2678"/>
      <c r="AE17" s="2663"/>
      <c r="AF17" s="2595" t="s">
        <v>1272</v>
      </c>
      <c r="AG17" s="2653"/>
      <c r="AH17" s="2653"/>
      <c r="AI17" s="2652" t="s">
        <v>721</v>
      </c>
      <c r="AJ17" s="2687">
        <f t="shared" si="4"/>
        <v>27.711674638050212</v>
      </c>
      <c r="AL17" s="2595" t="s">
        <v>1273</v>
      </c>
      <c r="AM17" s="2653"/>
      <c r="AN17" s="2653" t="s">
        <v>414</v>
      </c>
      <c r="AO17" s="2684"/>
      <c r="AP17" s="2651">
        <f t="shared" si="5"/>
        <v>128.12799999999999</v>
      </c>
      <c r="AQ17" s="2650">
        <f t="shared" si="5"/>
        <v>119.92999999999999</v>
      </c>
      <c r="AR17" s="2678"/>
      <c r="AV17" s="2626"/>
      <c r="AW17" s="2582"/>
      <c r="AX17" s="2582"/>
      <c r="AY17" s="2582"/>
      <c r="AZ17" s="2583">
        <f t="shared" si="0"/>
        <v>0</v>
      </c>
      <c r="BA17" s="2584">
        <f t="shared" si="1"/>
        <v>0</v>
      </c>
    </row>
    <row r="18" spans="1:53" ht="15">
      <c r="A18" s="2542"/>
      <c r="B18" s="2589" t="s">
        <v>1274</v>
      </c>
      <c r="C18" s="2544"/>
      <c r="D18" s="2653"/>
      <c r="E18" s="2652" t="s">
        <v>615</v>
      </c>
      <c r="F18" s="2687">
        <f>F17*F16</f>
        <v>69.002069848745037</v>
      </c>
      <c r="H18" s="2595" t="s">
        <v>1275</v>
      </c>
      <c r="I18" s="2653"/>
      <c r="J18" s="2653" t="s">
        <v>414</v>
      </c>
      <c r="K18" s="2684"/>
      <c r="L18" s="2651">
        <f>M18</f>
        <v>96.73</v>
      </c>
      <c r="M18" s="2650">
        <f>M15-M16</f>
        <v>96.73</v>
      </c>
      <c r="N18" s="2678"/>
      <c r="P18" s="2663"/>
      <c r="Q18" s="2595" t="s">
        <v>1274</v>
      </c>
      <c r="R18" s="2653"/>
      <c r="S18" s="2653"/>
      <c r="T18" s="2652" t="s">
        <v>615</v>
      </c>
      <c r="U18" s="2687">
        <f t="shared" si="2"/>
        <v>69.002069848745037</v>
      </c>
      <c r="W18" s="2595" t="s">
        <v>1275</v>
      </c>
      <c r="X18" s="2653"/>
      <c r="Y18" s="2653" t="s">
        <v>414</v>
      </c>
      <c r="Z18" s="2684"/>
      <c r="AA18" s="2651">
        <f t="shared" si="3"/>
        <v>96.73</v>
      </c>
      <c r="AB18" s="2650">
        <f t="shared" si="3"/>
        <v>96.73</v>
      </c>
      <c r="AC18" s="2678"/>
      <c r="AE18" s="2663"/>
      <c r="AF18" s="2595" t="s">
        <v>1274</v>
      </c>
      <c r="AG18" s="2653"/>
      <c r="AH18" s="2653"/>
      <c r="AI18" s="2652" t="s">
        <v>615</v>
      </c>
      <c r="AJ18" s="2687">
        <f t="shared" si="4"/>
        <v>69.002069848745037</v>
      </c>
      <c r="AL18" s="2595" t="s">
        <v>1275</v>
      </c>
      <c r="AM18" s="2653"/>
      <c r="AN18" s="2653" t="s">
        <v>414</v>
      </c>
      <c r="AO18" s="2684"/>
      <c r="AP18" s="2651">
        <f t="shared" si="5"/>
        <v>96.73</v>
      </c>
      <c r="AQ18" s="2650">
        <f t="shared" si="5"/>
        <v>96.73</v>
      </c>
      <c r="AR18" s="2678"/>
      <c r="AV18" s="2626"/>
      <c r="AW18" s="2582"/>
      <c r="AX18" s="2582"/>
      <c r="AY18" s="2582"/>
      <c r="AZ18" s="2583">
        <f t="shared" si="0"/>
        <v>0</v>
      </c>
      <c r="BA18" s="2584">
        <f t="shared" si="1"/>
        <v>0</v>
      </c>
    </row>
    <row r="19" spans="1:53">
      <c r="A19" s="2542"/>
      <c r="B19" s="2589" t="s">
        <v>1276</v>
      </c>
      <c r="C19" s="2544"/>
      <c r="D19" s="2653"/>
      <c r="E19" s="2688" t="s">
        <v>595</v>
      </c>
      <c r="F19" s="2728">
        <v>0.58099999999999996</v>
      </c>
      <c r="H19" s="2595" t="s">
        <v>919</v>
      </c>
      <c r="I19" s="2653"/>
      <c r="J19" s="2653" t="s">
        <v>1</v>
      </c>
      <c r="K19" s="2684"/>
      <c r="L19" s="2651">
        <f>(L17-L18)/(L18)*100</f>
        <v>32.459423136565682</v>
      </c>
      <c r="M19" s="2651">
        <f>(M17-M18)/(M18)*100</f>
        <v>23.984286157345174</v>
      </c>
      <c r="N19" s="2678"/>
      <c r="P19" s="2663"/>
      <c r="Q19" s="2595" t="s">
        <v>1276</v>
      </c>
      <c r="R19" s="2653"/>
      <c r="S19" s="2653"/>
      <c r="T19" s="2688" t="s">
        <v>595</v>
      </c>
      <c r="U19" s="2665">
        <f t="shared" si="2"/>
        <v>0.58099999999999996</v>
      </c>
      <c r="W19" s="2595" t="s">
        <v>919</v>
      </c>
      <c r="X19" s="2653"/>
      <c r="Y19" s="2653" t="s">
        <v>1</v>
      </c>
      <c r="Z19" s="2684"/>
      <c r="AA19" s="2651">
        <f t="shared" si="3"/>
        <v>32.459423136565682</v>
      </c>
      <c r="AB19" s="2651">
        <f t="shared" si="3"/>
        <v>23.984286157345174</v>
      </c>
      <c r="AC19" s="2678"/>
      <c r="AE19" s="2663"/>
      <c r="AF19" s="2595" t="s">
        <v>1276</v>
      </c>
      <c r="AG19" s="2653"/>
      <c r="AH19" s="2653"/>
      <c r="AI19" s="2688" t="s">
        <v>595</v>
      </c>
      <c r="AJ19" s="2665">
        <f t="shared" si="4"/>
        <v>0.58099999999999996</v>
      </c>
      <c r="AL19" s="2595" t="s">
        <v>919</v>
      </c>
      <c r="AM19" s="2653"/>
      <c r="AN19" s="2653" t="s">
        <v>1</v>
      </c>
      <c r="AO19" s="2684"/>
      <c r="AP19" s="2651">
        <f t="shared" si="5"/>
        <v>32.459423136565682</v>
      </c>
      <c r="AQ19" s="2651">
        <f t="shared" si="5"/>
        <v>23.984286157345174</v>
      </c>
      <c r="AR19" s="2678"/>
      <c r="AV19" s="2626"/>
      <c r="AW19" s="2582"/>
      <c r="AX19" s="2582"/>
      <c r="AY19" s="2582"/>
      <c r="AZ19" s="2583">
        <f t="shared" si="0"/>
        <v>0</v>
      </c>
      <c r="BA19" s="2584">
        <f t="shared" si="1"/>
        <v>0</v>
      </c>
    </row>
    <row r="20" spans="1:53" ht="15">
      <c r="A20" s="2542"/>
      <c r="B20" s="2589" t="s">
        <v>1277</v>
      </c>
      <c r="C20" s="2544"/>
      <c r="D20" s="2653"/>
      <c r="E20" s="2653" t="s">
        <v>1172</v>
      </c>
      <c r="F20" s="2727">
        <v>16.600000000000001</v>
      </c>
      <c r="H20" s="2605" t="s">
        <v>920</v>
      </c>
      <c r="I20" s="2653"/>
      <c r="J20" s="2653" t="s">
        <v>1303</v>
      </c>
      <c r="K20" s="2684"/>
      <c r="L20" s="2690">
        <f>L17/F18</f>
        <v>1.8568718341473098</v>
      </c>
      <c r="M20" s="2690">
        <f>M17/F18</f>
        <v>1.7380638039248788</v>
      </c>
      <c r="N20" s="2678"/>
      <c r="P20" s="2663"/>
      <c r="Q20" s="2595" t="s">
        <v>1277</v>
      </c>
      <c r="R20" s="2653"/>
      <c r="S20" s="2653"/>
      <c r="T20" s="2653" t="s">
        <v>1172</v>
      </c>
      <c r="U20" s="2691">
        <f t="shared" si="2"/>
        <v>16.600000000000001</v>
      </c>
      <c r="W20" s="2605" t="s">
        <v>920</v>
      </c>
      <c r="X20" s="2653"/>
      <c r="Y20" s="2653" t="s">
        <v>1303</v>
      </c>
      <c r="Z20" s="2684"/>
      <c r="AA20" s="2690">
        <f t="shared" si="3"/>
        <v>1.8568718341473098</v>
      </c>
      <c r="AB20" s="2690">
        <f t="shared" si="3"/>
        <v>1.7380638039248788</v>
      </c>
      <c r="AC20" s="2678"/>
      <c r="AE20" s="2663"/>
      <c r="AF20" s="2595" t="s">
        <v>1277</v>
      </c>
      <c r="AG20" s="2653"/>
      <c r="AH20" s="2653"/>
      <c r="AI20" s="2653" t="s">
        <v>1172</v>
      </c>
      <c r="AJ20" s="2691">
        <f t="shared" si="4"/>
        <v>16.600000000000001</v>
      </c>
      <c r="AL20" s="2605" t="s">
        <v>920</v>
      </c>
      <c r="AM20" s="2653"/>
      <c r="AN20" s="2653" t="s">
        <v>1303</v>
      </c>
      <c r="AO20" s="2684"/>
      <c r="AP20" s="2690">
        <f t="shared" si="5"/>
        <v>1.8568718341473098</v>
      </c>
      <c r="AQ20" s="2690">
        <f t="shared" si="5"/>
        <v>1.7380638039248788</v>
      </c>
      <c r="AR20" s="2678"/>
      <c r="AV20" s="2626"/>
      <c r="AW20" s="2582"/>
      <c r="AX20" s="2582"/>
      <c r="AY20" s="2582"/>
      <c r="AZ20" s="2583">
        <f t="shared" si="0"/>
        <v>0</v>
      </c>
      <c r="BA20" s="2584">
        <f t="shared" si="1"/>
        <v>0</v>
      </c>
    </row>
    <row r="21" spans="1:53" ht="15">
      <c r="A21" s="2542"/>
      <c r="B21" s="2589" t="s">
        <v>1131</v>
      </c>
      <c r="C21" s="2544"/>
      <c r="D21" s="2653"/>
      <c r="E21" s="2692" t="s">
        <v>1304</v>
      </c>
      <c r="F21" s="2693">
        <f>(F20/F17)*100</f>
        <v>59.902550880872987</v>
      </c>
      <c r="H21" s="2605" t="s">
        <v>918</v>
      </c>
      <c r="I21" s="2653"/>
      <c r="J21" s="2653" t="s">
        <v>1303</v>
      </c>
      <c r="K21" s="2684"/>
      <c r="L21" s="2690">
        <f>L20/(1+(L19/100))</f>
        <v>1.4018420057838201</v>
      </c>
      <c r="M21" s="2690">
        <f>M20/(1+(M19/100))</f>
        <v>1.4018420057838201</v>
      </c>
      <c r="N21" s="2678"/>
      <c r="P21" s="2663"/>
      <c r="Q21" s="2595" t="s">
        <v>1131</v>
      </c>
      <c r="R21" s="2653"/>
      <c r="S21" s="2653"/>
      <c r="T21" s="2692" t="s">
        <v>1304</v>
      </c>
      <c r="U21" s="2694">
        <f t="shared" si="2"/>
        <v>59.902550880872987</v>
      </c>
      <c r="W21" s="2605" t="s">
        <v>918</v>
      </c>
      <c r="X21" s="2653"/>
      <c r="Y21" s="2653" t="s">
        <v>1303</v>
      </c>
      <c r="Z21" s="2684"/>
      <c r="AA21" s="2690">
        <f t="shared" si="3"/>
        <v>1.4018420057838201</v>
      </c>
      <c r="AB21" s="2690">
        <f t="shared" si="3"/>
        <v>1.4018420057838201</v>
      </c>
      <c r="AC21" s="2678"/>
      <c r="AE21" s="2663"/>
      <c r="AF21" s="2595" t="s">
        <v>1131</v>
      </c>
      <c r="AG21" s="2653"/>
      <c r="AH21" s="2653"/>
      <c r="AI21" s="2692" t="s">
        <v>1304</v>
      </c>
      <c r="AJ21" s="2694">
        <f t="shared" si="4"/>
        <v>59.902550880872987</v>
      </c>
      <c r="AL21" s="2605" t="s">
        <v>918</v>
      </c>
      <c r="AM21" s="2653"/>
      <c r="AN21" s="2653" t="s">
        <v>1303</v>
      </c>
      <c r="AO21" s="2684"/>
      <c r="AP21" s="2690">
        <f t="shared" si="5"/>
        <v>1.4018420057838201</v>
      </c>
      <c r="AQ21" s="2690">
        <f t="shared" si="5"/>
        <v>1.4018420057838201</v>
      </c>
      <c r="AR21" s="2678"/>
      <c r="AV21" s="2626"/>
      <c r="AW21" s="2582"/>
      <c r="AX21" s="2582"/>
      <c r="AY21" s="2582"/>
      <c r="AZ21" s="2583">
        <f t="shared" si="0"/>
        <v>0</v>
      </c>
      <c r="BA21" s="2584">
        <f t="shared" si="1"/>
        <v>0</v>
      </c>
    </row>
    <row r="22" spans="1:53">
      <c r="A22" s="2542"/>
      <c r="B22" s="2589" t="s">
        <v>1278</v>
      </c>
      <c r="C22" s="2544"/>
      <c r="D22" s="2653"/>
      <c r="E22" s="2692" t="s">
        <v>556</v>
      </c>
      <c r="F22" s="2726">
        <v>1.22</v>
      </c>
      <c r="H22" s="2595" t="s">
        <v>1279</v>
      </c>
      <c r="I22" s="2653"/>
      <c r="J22" s="2653"/>
      <c r="K22" s="2684"/>
      <c r="L22" s="2729">
        <v>2.63</v>
      </c>
      <c r="M22" s="2729">
        <v>2.63</v>
      </c>
      <c r="N22" s="2678"/>
      <c r="P22" s="2663"/>
      <c r="Q22" s="2595" t="s">
        <v>1278</v>
      </c>
      <c r="R22" s="2653"/>
      <c r="S22" s="2653"/>
      <c r="T22" s="2692" t="s">
        <v>556</v>
      </c>
      <c r="U22" s="2686">
        <f t="shared" si="2"/>
        <v>1.22</v>
      </c>
      <c r="W22" s="2595" t="s">
        <v>1279</v>
      </c>
      <c r="X22" s="2653"/>
      <c r="Y22" s="2653"/>
      <c r="Z22" s="2684"/>
      <c r="AA22" s="2696">
        <f t="shared" si="3"/>
        <v>2.63</v>
      </c>
      <c r="AB22" s="2696">
        <f t="shared" si="3"/>
        <v>2.63</v>
      </c>
      <c r="AC22" s="2678"/>
      <c r="AE22" s="2663"/>
      <c r="AF22" s="2595" t="s">
        <v>1278</v>
      </c>
      <c r="AG22" s="2653"/>
      <c r="AH22" s="2653"/>
      <c r="AI22" s="2692" t="s">
        <v>556</v>
      </c>
      <c r="AJ22" s="2686">
        <f t="shared" si="4"/>
        <v>1.22</v>
      </c>
      <c r="AL22" s="2595" t="s">
        <v>1279</v>
      </c>
      <c r="AM22" s="2653"/>
      <c r="AN22" s="2653"/>
      <c r="AO22" s="2684"/>
      <c r="AP22" s="2696">
        <f t="shared" si="5"/>
        <v>2.63</v>
      </c>
      <c r="AQ22" s="2696">
        <f t="shared" si="5"/>
        <v>2.63</v>
      </c>
      <c r="AR22" s="2678"/>
      <c r="AV22" s="2626"/>
      <c r="AW22" s="2582"/>
      <c r="AX22" s="2582"/>
      <c r="AY22" s="2582"/>
      <c r="AZ22" s="2583">
        <f t="shared" si="0"/>
        <v>0</v>
      </c>
      <c r="BA22" s="2584">
        <f t="shared" si="1"/>
        <v>0</v>
      </c>
    </row>
    <row r="23" spans="1:53">
      <c r="A23" s="2542"/>
      <c r="H23" s="2595" t="s">
        <v>1280</v>
      </c>
      <c r="I23" s="2653"/>
      <c r="J23" s="2653"/>
      <c r="K23" s="2684"/>
      <c r="L23" s="2651">
        <f>+(L22/L21)-1</f>
        <v>0.87610300529514573</v>
      </c>
      <c r="M23" s="2651">
        <f>+(M22/M21)-1</f>
        <v>0.87610300529514573</v>
      </c>
      <c r="N23" s="2678"/>
      <c r="P23" s="2663"/>
      <c r="W23" s="2595" t="s">
        <v>1280</v>
      </c>
      <c r="X23" s="2653"/>
      <c r="Y23" s="2653"/>
      <c r="Z23" s="2684"/>
      <c r="AA23" s="2651">
        <f t="shared" si="3"/>
        <v>0.87610300529514573</v>
      </c>
      <c r="AB23" s="2651">
        <f t="shared" si="3"/>
        <v>0.87610300529514573</v>
      </c>
      <c r="AC23" s="2678"/>
      <c r="AE23" s="2663"/>
      <c r="AL23" s="2595" t="s">
        <v>1280</v>
      </c>
      <c r="AM23" s="2653"/>
      <c r="AN23" s="2653"/>
      <c r="AO23" s="2684"/>
      <c r="AP23" s="2651">
        <f t="shared" si="5"/>
        <v>0.87610300529514573</v>
      </c>
      <c r="AQ23" s="2651">
        <f t="shared" si="5"/>
        <v>0.87610300529514573</v>
      </c>
      <c r="AR23" s="2678"/>
      <c r="AV23" s="2626"/>
      <c r="AW23" s="2582"/>
      <c r="AX23" s="2582"/>
      <c r="AY23" s="2582"/>
      <c r="AZ23" s="2583">
        <f t="shared" si="0"/>
        <v>0</v>
      </c>
      <c r="BA23" s="2584">
        <f t="shared" si="1"/>
        <v>0</v>
      </c>
    </row>
    <row r="24" spans="1:53">
      <c r="A24" s="2542"/>
      <c r="L24" s="2697"/>
      <c r="M24" s="2697"/>
      <c r="N24" s="2678"/>
      <c r="P24" s="2663"/>
      <c r="AA24" s="2697"/>
      <c r="AB24" s="2697"/>
      <c r="AC24" s="2678"/>
      <c r="AE24" s="2663"/>
      <c r="AP24" s="2697"/>
      <c r="AQ24" s="2697"/>
      <c r="AR24" s="2678"/>
      <c r="AV24" s="2626"/>
      <c r="AW24" s="2582"/>
      <c r="AX24" s="2582"/>
      <c r="AY24" s="2582"/>
      <c r="AZ24" s="2583">
        <f t="shared" si="0"/>
        <v>0</v>
      </c>
      <c r="BA24" s="2584">
        <f t="shared" si="1"/>
        <v>0</v>
      </c>
    </row>
    <row r="25" spans="1:53">
      <c r="A25" s="2542"/>
      <c r="F25" s="2698"/>
      <c r="H25" s="2683"/>
      <c r="I25" s="2683"/>
      <c r="N25" s="2678"/>
      <c r="P25" s="2663"/>
      <c r="U25" s="2698"/>
      <c r="W25" s="2683"/>
      <c r="X25" s="2683"/>
      <c r="AC25" s="2678"/>
      <c r="AE25" s="2663"/>
      <c r="AJ25" s="2698"/>
      <c r="AL25" s="2683"/>
      <c r="AM25" s="2683"/>
      <c r="AR25" s="2678"/>
      <c r="AV25" s="2626"/>
      <c r="AW25" s="2582"/>
      <c r="AX25" s="2582"/>
      <c r="AY25" s="2582"/>
      <c r="AZ25" s="2583">
        <f t="shared" si="0"/>
        <v>0</v>
      </c>
      <c r="BA25" s="2584">
        <f t="shared" si="1"/>
        <v>0</v>
      </c>
    </row>
    <row r="26" spans="1:53">
      <c r="A26" s="1405"/>
      <c r="B26" s="1405"/>
      <c r="C26" s="1405"/>
      <c r="E26" s="2699" t="s">
        <v>1204</v>
      </c>
      <c r="F26" s="2620" t="s">
        <v>1281</v>
      </c>
      <c r="G26" s="2620" t="s">
        <v>1204</v>
      </c>
      <c r="H26" s="2700" t="s">
        <v>1282</v>
      </c>
      <c r="I26" s="2665" t="s">
        <v>1283</v>
      </c>
      <c r="J26" s="2686"/>
      <c r="K26" s="2701" t="s">
        <v>1284</v>
      </c>
      <c r="L26" s="2702"/>
      <c r="N26" s="2678"/>
      <c r="P26" s="2663"/>
      <c r="T26" s="2699" t="s">
        <v>1204</v>
      </c>
      <c r="U26" s="2620" t="s">
        <v>1281</v>
      </c>
      <c r="V26" s="2620" t="s">
        <v>1204</v>
      </c>
      <c r="W26" s="2700" t="s">
        <v>1282</v>
      </c>
      <c r="X26" s="2665" t="s">
        <v>1283</v>
      </c>
      <c r="Y26" s="2686"/>
      <c r="Z26" s="2701" t="s">
        <v>1284</v>
      </c>
      <c r="AA26" s="2702"/>
      <c r="AC26" s="2678"/>
      <c r="AE26" s="2663"/>
      <c r="AI26" s="2699" t="s">
        <v>1204</v>
      </c>
      <c r="AJ26" s="2620" t="s">
        <v>1281</v>
      </c>
      <c r="AK26" s="2620" t="s">
        <v>1204</v>
      </c>
      <c r="AL26" s="2700" t="s">
        <v>1282</v>
      </c>
      <c r="AM26" s="2665" t="s">
        <v>1283</v>
      </c>
      <c r="AN26" s="2686"/>
      <c r="AO26" s="2701" t="s">
        <v>1284</v>
      </c>
      <c r="AP26" s="2702"/>
      <c r="AR26" s="2678"/>
      <c r="AV26" s="2626"/>
      <c r="AW26" s="2582"/>
      <c r="AX26" s="2582"/>
      <c r="AY26" s="2582"/>
      <c r="AZ26" s="2583">
        <f t="shared" si="0"/>
        <v>0</v>
      </c>
      <c r="BA26" s="2584">
        <f t="shared" si="1"/>
        <v>0</v>
      </c>
    </row>
    <row r="27" spans="1:53">
      <c r="A27" s="1405"/>
      <c r="B27" s="1405"/>
      <c r="C27" s="1405"/>
      <c r="E27" s="2703" t="s">
        <v>1285</v>
      </c>
      <c r="F27" s="2628" t="s">
        <v>1185</v>
      </c>
      <c r="G27" s="2628" t="s">
        <v>174</v>
      </c>
      <c r="H27" s="2629" t="s">
        <v>778</v>
      </c>
      <c r="I27" s="2628" t="s">
        <v>1185</v>
      </c>
      <c r="J27" s="2628" t="s">
        <v>1286</v>
      </c>
      <c r="L27" s="2630"/>
      <c r="N27" s="2678"/>
      <c r="P27" s="2663"/>
      <c r="T27" s="2703" t="s">
        <v>1285</v>
      </c>
      <c r="U27" s="2628" t="s">
        <v>1185</v>
      </c>
      <c r="V27" s="2628" t="s">
        <v>174</v>
      </c>
      <c r="W27" s="2629" t="s">
        <v>778</v>
      </c>
      <c r="X27" s="2628" t="s">
        <v>1185</v>
      </c>
      <c r="Y27" s="2628" t="s">
        <v>1286</v>
      </c>
      <c r="AA27" s="2630"/>
      <c r="AC27" s="2678"/>
      <c r="AE27" s="2663"/>
      <c r="AI27" s="2703" t="s">
        <v>1285</v>
      </c>
      <c r="AJ27" s="2628" t="s">
        <v>1185</v>
      </c>
      <c r="AK27" s="2628" t="s">
        <v>174</v>
      </c>
      <c r="AL27" s="2629" t="s">
        <v>778</v>
      </c>
      <c r="AM27" s="2628" t="s">
        <v>1185</v>
      </c>
      <c r="AN27" s="2628" t="s">
        <v>1286</v>
      </c>
      <c r="AP27" s="2630"/>
      <c r="AR27" s="2678"/>
      <c r="AV27" s="2631"/>
      <c r="AW27" s="2633"/>
      <c r="AX27" s="2633"/>
      <c r="AY27" s="2633"/>
      <c r="AZ27" s="2583">
        <f t="shared" si="0"/>
        <v>0</v>
      </c>
      <c r="BA27" s="2584">
        <f t="shared" si="1"/>
        <v>0</v>
      </c>
    </row>
    <row r="28" spans="1:53">
      <c r="A28" s="1431"/>
      <c r="B28" s="1405"/>
      <c r="C28" s="1865"/>
      <c r="E28" s="2703"/>
      <c r="F28" s="2628"/>
      <c r="G28" s="2628"/>
      <c r="H28" s="2628"/>
      <c r="I28" s="2628"/>
      <c r="J28" s="2628" t="s">
        <v>1287</v>
      </c>
      <c r="L28" s="2630"/>
      <c r="N28" s="2678"/>
      <c r="P28" s="2663"/>
      <c r="T28" s="2703"/>
      <c r="U28" s="2628"/>
      <c r="V28" s="2628"/>
      <c r="W28" s="2628"/>
      <c r="X28" s="2628"/>
      <c r="Y28" s="2628" t="s">
        <v>1287</v>
      </c>
      <c r="AA28" s="2630"/>
      <c r="AC28" s="2678"/>
      <c r="AE28" s="2663"/>
      <c r="AI28" s="2703"/>
      <c r="AJ28" s="2628"/>
      <c r="AK28" s="2628"/>
      <c r="AL28" s="2628"/>
      <c r="AM28" s="2628"/>
      <c r="AN28" s="2628" t="s">
        <v>1287</v>
      </c>
      <c r="AP28" s="2630"/>
      <c r="AR28" s="2678"/>
      <c r="AV28" s="2636"/>
      <c r="AW28" s="2638"/>
      <c r="AX28" s="2638"/>
      <c r="AY28" s="2638"/>
      <c r="AZ28" s="2639">
        <f>+(AW28)^2*PI()*(0.25)</f>
        <v>0</v>
      </c>
      <c r="BA28" s="2640">
        <f>AZ28*AX28</f>
        <v>0</v>
      </c>
    </row>
    <row r="29" spans="1:53" ht="15.75" thickBot="1">
      <c r="A29" s="4833" t="s">
        <v>1345</v>
      </c>
      <c r="B29" s="4834"/>
      <c r="C29" s="4835"/>
      <c r="E29" s="2704" t="s">
        <v>2</v>
      </c>
      <c r="F29" s="2643" t="s">
        <v>126</v>
      </c>
      <c r="G29" s="2643" t="s">
        <v>120</v>
      </c>
      <c r="H29" s="2643" t="s">
        <v>908</v>
      </c>
      <c r="I29" s="2643" t="s">
        <v>584</v>
      </c>
      <c r="J29" s="2643" t="s">
        <v>583</v>
      </c>
      <c r="K29" s="2644"/>
      <c r="L29" s="2705"/>
      <c r="N29" s="2678"/>
      <c r="P29" s="2663"/>
      <c r="T29" s="2704" t="s">
        <v>2</v>
      </c>
      <c r="U29" s="2643" t="s">
        <v>126</v>
      </c>
      <c r="V29" s="2643" t="s">
        <v>120</v>
      </c>
      <c r="W29" s="2643" t="s">
        <v>908</v>
      </c>
      <c r="X29" s="2643" t="s">
        <v>584</v>
      </c>
      <c r="Y29" s="2643" t="s">
        <v>583</v>
      </c>
      <c r="Z29" s="2644"/>
      <c r="AA29" s="2705"/>
      <c r="AC29" s="2678"/>
      <c r="AE29" s="2663"/>
      <c r="AI29" s="2704" t="s">
        <v>2</v>
      </c>
      <c r="AJ29" s="2643" t="s">
        <v>126</v>
      </c>
      <c r="AK29" s="2643" t="s">
        <v>120</v>
      </c>
      <c r="AL29" s="2643" t="s">
        <v>908</v>
      </c>
      <c r="AM29" s="2643" t="s">
        <v>584</v>
      </c>
      <c r="AN29" s="2643" t="s">
        <v>583</v>
      </c>
      <c r="AO29" s="2644"/>
      <c r="AP29" s="2705"/>
      <c r="AR29" s="2678"/>
      <c r="AV29" s="2706" t="s">
        <v>1288</v>
      </c>
      <c r="AW29" s="2647">
        <f>AVERAGE(AW9:AW28)</f>
        <v>5.94</v>
      </c>
      <c r="AX29" s="2647">
        <f>AVERAGE(AX9:AX28)</f>
        <v>2.4900000000000002</v>
      </c>
      <c r="AY29" s="2647">
        <f>AVERAGE(AY9:AY28)</f>
        <v>118.152</v>
      </c>
      <c r="AZ29" s="2647">
        <f>AVERAGE(AZ9:AZ28)</f>
        <v>1.3855837319025106</v>
      </c>
      <c r="BA29" s="2647">
        <f>AVERAGE(BA9:BA28)</f>
        <v>3.4501034924372518</v>
      </c>
    </row>
    <row r="30" spans="1:53" ht="17.100000000000001" customHeight="1">
      <c r="A30" s="2895">
        <v>0</v>
      </c>
      <c r="B30" s="2896"/>
      <c r="C30" s="2895">
        <v>0</v>
      </c>
      <c r="E30" s="2689">
        <v>0</v>
      </c>
      <c r="F30" s="2717"/>
      <c r="G30" s="2686">
        <f>$F$19*F30</f>
        <v>0</v>
      </c>
      <c r="H30" s="2707">
        <f>+(G30/$F$17)*10</f>
        <v>0</v>
      </c>
      <c r="I30" s="2718"/>
      <c r="J30" s="2687">
        <v>0</v>
      </c>
      <c r="K30" s="2653"/>
      <c r="L30" s="2722"/>
      <c r="N30" s="2678"/>
      <c r="P30" s="2663"/>
      <c r="T30" s="2689">
        <v>0</v>
      </c>
      <c r="U30" s="2591">
        <v>0</v>
      </c>
      <c r="V30" s="2900"/>
      <c r="W30" s="2707">
        <f>+(V30/$F$17)*10</f>
        <v>0</v>
      </c>
      <c r="X30" s="2718"/>
      <c r="Y30" s="2687">
        <v>0</v>
      </c>
      <c r="Z30" s="2653"/>
      <c r="AA30" s="2650"/>
      <c r="AC30" s="2678"/>
      <c r="AE30" s="2663"/>
      <c r="AI30" s="2689">
        <v>0</v>
      </c>
      <c r="AJ30" s="2717"/>
      <c r="AK30" s="2686">
        <f>$F$19*AJ30</f>
        <v>0</v>
      </c>
      <c r="AL30" s="2707">
        <f>+(AK30/$F$17)*10</f>
        <v>0</v>
      </c>
      <c r="AM30" s="2718"/>
      <c r="AN30" s="2687">
        <v>0</v>
      </c>
      <c r="AO30" s="2653"/>
      <c r="AP30" s="2650"/>
      <c r="AR30" s="2678"/>
    </row>
    <row r="31" spans="1:53" ht="17.100000000000001" customHeight="1">
      <c r="A31" s="2897">
        <f>SQRT(D75)</f>
        <v>0.31622776601683794</v>
      </c>
      <c r="B31" s="2896"/>
      <c r="C31" s="735">
        <f>-($B$30-B31)/100</f>
        <v>0</v>
      </c>
      <c r="E31" s="2689">
        <v>0.25</v>
      </c>
      <c r="F31" s="2718"/>
      <c r="G31" s="2686">
        <f t="shared" ref="G31:G58" si="6">$F$19*F31</f>
        <v>0</v>
      </c>
      <c r="H31" s="2686">
        <f t="shared" ref="H31:H58" si="7">+(G31/$F$17)*10</f>
        <v>0</v>
      </c>
      <c r="I31" s="2718"/>
      <c r="J31" s="2687">
        <f>-($I$30-I31)/100</f>
        <v>0</v>
      </c>
      <c r="K31" s="2653"/>
      <c r="L31" s="2722">
        <v>102.5</v>
      </c>
      <c r="M31" s="2588">
        <f>L31+12.2</f>
        <v>114.7</v>
      </c>
      <c r="N31" s="2678"/>
      <c r="P31" s="2663"/>
      <c r="T31" s="2689">
        <v>0.25</v>
      </c>
      <c r="U31" s="2691">
        <v>35</v>
      </c>
      <c r="V31" s="2900"/>
      <c r="W31" s="2686">
        <f t="shared" ref="W31:W58" si="8">+(V31/$F$17)*10</f>
        <v>0</v>
      </c>
      <c r="X31" s="2718"/>
      <c r="Y31" s="2687">
        <f>-($X$30-X31)/100</f>
        <v>0</v>
      </c>
      <c r="Z31" s="2653"/>
      <c r="AA31" s="2650">
        <v>51.7</v>
      </c>
      <c r="AB31" s="2588">
        <f>AA31+5</f>
        <v>56.7</v>
      </c>
      <c r="AC31" s="2678"/>
      <c r="AE31" s="2663"/>
      <c r="AI31" s="2689">
        <v>0.25</v>
      </c>
      <c r="AJ31" s="2718"/>
      <c r="AK31" s="2686">
        <f t="shared" ref="AK31:AK58" si="9">$F$19*AJ31</f>
        <v>0</v>
      </c>
      <c r="AL31" s="2686">
        <f t="shared" ref="AL31:AL58" si="10">+(AK31/$F$17)*10</f>
        <v>0</v>
      </c>
      <c r="AM31" s="2718"/>
      <c r="AN31" s="2687">
        <f>-($AM$30-AM31)/100</f>
        <v>0</v>
      </c>
      <c r="AO31" s="2653"/>
      <c r="AP31" s="2650"/>
      <c r="AR31" s="2678"/>
    </row>
    <row r="32" spans="1:53" ht="17.100000000000001" customHeight="1">
      <c r="A32" s="2897">
        <f t="shared" ref="A32:A44" si="11">SQRT(D76)</f>
        <v>0.5</v>
      </c>
      <c r="B32" s="2896"/>
      <c r="C32" s="735">
        <f>-($B$30-B32)/100</f>
        <v>0</v>
      </c>
      <c r="E32" s="2689">
        <v>0.5</v>
      </c>
      <c r="F32" s="2718"/>
      <c r="G32" s="2686">
        <f t="shared" si="6"/>
        <v>0</v>
      </c>
      <c r="H32" s="2686">
        <f t="shared" si="7"/>
        <v>0</v>
      </c>
      <c r="I32" s="2718"/>
      <c r="J32" s="2687">
        <f t="shared" ref="J32:J58" si="12">-($I$30-I32)/100</f>
        <v>0</v>
      </c>
      <c r="K32" s="2653"/>
      <c r="L32" s="2722">
        <v>137.19999999999999</v>
      </c>
      <c r="M32" s="2588">
        <f t="shared" ref="M32:M58" si="13">L32+12.2</f>
        <v>149.39999999999998</v>
      </c>
      <c r="N32" s="2678"/>
      <c r="P32" s="2663"/>
      <c r="T32" s="2689">
        <v>0.5</v>
      </c>
      <c r="U32" s="2691">
        <v>65</v>
      </c>
      <c r="V32" s="2900"/>
      <c r="W32" s="2686">
        <f t="shared" si="8"/>
        <v>0</v>
      </c>
      <c r="X32" s="2718"/>
      <c r="Y32" s="2687">
        <f t="shared" ref="Y32:Y58" si="14">-($X$30-X32)/100</f>
        <v>0</v>
      </c>
      <c r="Z32" s="2653"/>
      <c r="AA32" s="2650">
        <v>55.3</v>
      </c>
      <c r="AB32" s="2588">
        <f t="shared" ref="AB32:AB58" si="15">AA32+5</f>
        <v>60.3</v>
      </c>
      <c r="AC32" s="2678"/>
      <c r="AE32" s="2663"/>
      <c r="AI32" s="2689">
        <v>0.5</v>
      </c>
      <c r="AJ32" s="2718"/>
      <c r="AK32" s="2686">
        <f t="shared" si="9"/>
        <v>0</v>
      </c>
      <c r="AL32" s="2686">
        <f t="shared" si="10"/>
        <v>0</v>
      </c>
      <c r="AM32" s="2718"/>
      <c r="AN32" s="2687">
        <f t="shared" ref="AN32:AN58" si="16">-($AM$30-AM32)/100</f>
        <v>0</v>
      </c>
      <c r="AO32" s="2653"/>
      <c r="AP32" s="2650"/>
      <c r="AR32" s="2678"/>
    </row>
    <row r="33" spans="1:44" ht="17.100000000000001" customHeight="1">
      <c r="A33" s="2897">
        <f t="shared" si="11"/>
        <v>0.70710678118654757</v>
      </c>
      <c r="B33" s="2896"/>
      <c r="C33" s="735">
        <f>-($B$30-B33)/100</f>
        <v>0</v>
      </c>
      <c r="E33" s="2689">
        <v>0.75</v>
      </c>
      <c r="F33" s="2718"/>
      <c r="G33" s="2686">
        <f t="shared" si="6"/>
        <v>0</v>
      </c>
      <c r="H33" s="2686">
        <f t="shared" si="7"/>
        <v>0</v>
      </c>
      <c r="I33" s="2718"/>
      <c r="J33" s="2687">
        <f t="shared" si="12"/>
        <v>0</v>
      </c>
      <c r="K33" s="2652"/>
      <c r="L33" s="2723">
        <v>149</v>
      </c>
      <c r="M33" s="2588">
        <f t="shared" si="13"/>
        <v>161.19999999999999</v>
      </c>
      <c r="N33" s="2678"/>
      <c r="P33" s="2663"/>
      <c r="T33" s="2689">
        <v>0.75</v>
      </c>
      <c r="U33" s="2691">
        <v>80</v>
      </c>
      <c r="V33" s="2900"/>
      <c r="W33" s="2686">
        <f t="shared" si="8"/>
        <v>0</v>
      </c>
      <c r="X33" s="2718"/>
      <c r="Y33" s="2687">
        <f t="shared" si="14"/>
        <v>0</v>
      </c>
      <c r="Z33" s="2652"/>
      <c r="AA33" s="2651">
        <v>61.5</v>
      </c>
      <c r="AB33" s="2588">
        <f t="shared" si="15"/>
        <v>66.5</v>
      </c>
      <c r="AC33" s="2678"/>
      <c r="AE33" s="2663"/>
      <c r="AI33" s="2689">
        <v>0.75</v>
      </c>
      <c r="AJ33" s="2718"/>
      <c r="AK33" s="2686">
        <f t="shared" si="9"/>
        <v>0</v>
      </c>
      <c r="AL33" s="2686">
        <f t="shared" si="10"/>
        <v>0</v>
      </c>
      <c r="AM33" s="2718"/>
      <c r="AN33" s="2687">
        <f t="shared" si="16"/>
        <v>0</v>
      </c>
      <c r="AO33" s="2652"/>
      <c r="AP33" s="2651"/>
      <c r="AR33" s="2678"/>
    </row>
    <row r="34" spans="1:44" ht="17.100000000000001" customHeight="1">
      <c r="A34" s="2897">
        <f t="shared" si="11"/>
        <v>1</v>
      </c>
      <c r="B34" s="2896"/>
      <c r="C34" s="735">
        <f>-($B$30-B34)/100</f>
        <v>0</v>
      </c>
      <c r="E34" s="2689">
        <v>1</v>
      </c>
      <c r="F34" s="2718"/>
      <c r="G34" s="2686">
        <f t="shared" si="6"/>
        <v>0</v>
      </c>
      <c r="H34" s="2686">
        <f t="shared" si="7"/>
        <v>0</v>
      </c>
      <c r="I34" s="2718"/>
      <c r="J34" s="2687">
        <f t="shared" si="12"/>
        <v>0</v>
      </c>
      <c r="K34" s="2652"/>
      <c r="L34" s="2723">
        <v>158.69999999999999</v>
      </c>
      <c r="M34" s="2588">
        <f t="shared" si="13"/>
        <v>170.89999999999998</v>
      </c>
      <c r="N34" s="2678"/>
      <c r="P34" s="2663"/>
      <c r="T34" s="2689">
        <v>1</v>
      </c>
      <c r="U34" s="2691">
        <v>95</v>
      </c>
      <c r="V34" s="2900"/>
      <c r="W34" s="2686">
        <f t="shared" si="8"/>
        <v>0</v>
      </c>
      <c r="X34" s="2718"/>
      <c r="Y34" s="2687">
        <f t="shared" si="14"/>
        <v>0</v>
      </c>
      <c r="Z34" s="2652"/>
      <c r="AA34" s="2651">
        <v>75.400000000000006</v>
      </c>
      <c r="AB34" s="2588">
        <f t="shared" si="15"/>
        <v>80.400000000000006</v>
      </c>
      <c r="AC34" s="2678"/>
      <c r="AE34" s="2663"/>
      <c r="AI34" s="2689">
        <v>1</v>
      </c>
      <c r="AJ34" s="2718"/>
      <c r="AK34" s="2686">
        <f t="shared" si="9"/>
        <v>0</v>
      </c>
      <c r="AL34" s="2686">
        <f t="shared" si="10"/>
        <v>0</v>
      </c>
      <c r="AM34" s="2718"/>
      <c r="AN34" s="2687">
        <f t="shared" si="16"/>
        <v>0</v>
      </c>
      <c r="AO34" s="2652"/>
      <c r="AP34" s="2651"/>
      <c r="AR34" s="2678"/>
    </row>
    <row r="35" spans="1:44" ht="17.100000000000001" customHeight="1">
      <c r="A35" s="2897">
        <f t="shared" si="11"/>
        <v>1.4142135623730951</v>
      </c>
      <c r="B35" s="2896"/>
      <c r="C35" s="735">
        <f t="shared" ref="C35:C44" si="17">-($B$30-B35)/100</f>
        <v>0</v>
      </c>
      <c r="E35" s="2689">
        <v>1.25</v>
      </c>
      <c r="F35" s="2718"/>
      <c r="G35" s="2686">
        <f t="shared" si="6"/>
        <v>0</v>
      </c>
      <c r="H35" s="2686">
        <f t="shared" si="7"/>
        <v>0</v>
      </c>
      <c r="I35" s="2718"/>
      <c r="J35" s="2687">
        <f t="shared" si="12"/>
        <v>0</v>
      </c>
      <c r="K35" s="2653"/>
      <c r="L35" s="2722">
        <v>170.3</v>
      </c>
      <c r="M35" s="2588">
        <f t="shared" si="13"/>
        <v>182.5</v>
      </c>
      <c r="N35" s="2678"/>
      <c r="P35" s="2663"/>
      <c r="T35" s="2689">
        <v>1.25</v>
      </c>
      <c r="U35" s="2691">
        <v>105</v>
      </c>
      <c r="V35" s="2900"/>
      <c r="W35" s="2686">
        <f t="shared" si="8"/>
        <v>0</v>
      </c>
      <c r="X35" s="2718"/>
      <c r="Y35" s="2687">
        <f t="shared" si="14"/>
        <v>0</v>
      </c>
      <c r="Z35" s="2653"/>
      <c r="AA35" s="2650">
        <v>94.6</v>
      </c>
      <c r="AB35" s="2588">
        <f t="shared" si="15"/>
        <v>99.6</v>
      </c>
      <c r="AC35" s="2678"/>
      <c r="AE35" s="2663"/>
      <c r="AI35" s="2689">
        <v>1.25</v>
      </c>
      <c r="AJ35" s="2718"/>
      <c r="AK35" s="2686">
        <f t="shared" si="9"/>
        <v>0</v>
      </c>
      <c r="AL35" s="2686">
        <f t="shared" si="10"/>
        <v>0</v>
      </c>
      <c r="AM35" s="2718"/>
      <c r="AN35" s="2687">
        <f t="shared" si="16"/>
        <v>0</v>
      </c>
      <c r="AO35" s="2653"/>
      <c r="AP35" s="2650"/>
      <c r="AR35" s="2678"/>
    </row>
    <row r="36" spans="1:44" ht="17.100000000000001" customHeight="1">
      <c r="A36" s="2897">
        <f t="shared" si="11"/>
        <v>2</v>
      </c>
      <c r="B36" s="2896"/>
      <c r="C36" s="735">
        <f t="shared" si="17"/>
        <v>0</v>
      </c>
      <c r="E36" s="2689">
        <v>1.5</v>
      </c>
      <c r="F36" s="2718"/>
      <c r="G36" s="2686">
        <f t="shared" si="6"/>
        <v>0</v>
      </c>
      <c r="H36" s="2686">
        <f t="shared" si="7"/>
        <v>0</v>
      </c>
      <c r="I36" s="2718"/>
      <c r="J36" s="2687">
        <f t="shared" si="12"/>
        <v>0</v>
      </c>
      <c r="K36" s="2653"/>
      <c r="L36" s="2722">
        <v>180.6</v>
      </c>
      <c r="M36" s="2588">
        <f t="shared" si="13"/>
        <v>192.79999999999998</v>
      </c>
      <c r="N36" s="2678"/>
      <c r="P36" s="2663"/>
      <c r="T36" s="2689">
        <v>1.5</v>
      </c>
      <c r="U36" s="2691">
        <v>110</v>
      </c>
      <c r="V36" s="2900"/>
      <c r="W36" s="2686">
        <f t="shared" si="8"/>
        <v>0</v>
      </c>
      <c r="X36" s="2718"/>
      <c r="Y36" s="2687">
        <f t="shared" si="14"/>
        <v>0</v>
      </c>
      <c r="Z36" s="2653"/>
      <c r="AA36" s="2650">
        <v>101.8</v>
      </c>
      <c r="AB36" s="2588">
        <f t="shared" si="15"/>
        <v>106.8</v>
      </c>
      <c r="AC36" s="2678"/>
      <c r="AE36" s="2663"/>
      <c r="AI36" s="2689">
        <v>1.5</v>
      </c>
      <c r="AJ36" s="2718"/>
      <c r="AK36" s="2686">
        <f t="shared" si="9"/>
        <v>0</v>
      </c>
      <c r="AL36" s="2686">
        <f t="shared" si="10"/>
        <v>0</v>
      </c>
      <c r="AM36" s="2718"/>
      <c r="AN36" s="2687">
        <f t="shared" si="16"/>
        <v>0</v>
      </c>
      <c r="AO36" s="2653"/>
      <c r="AP36" s="2650"/>
      <c r="AR36" s="2678"/>
    </row>
    <row r="37" spans="1:44" ht="17.100000000000001" customHeight="1">
      <c r="A37" s="2897">
        <f t="shared" si="11"/>
        <v>2.8284271247461903</v>
      </c>
      <c r="B37" s="2896"/>
      <c r="C37" s="735">
        <f t="shared" si="17"/>
        <v>0</v>
      </c>
      <c r="E37" s="2689">
        <v>1.75</v>
      </c>
      <c r="F37" s="2718"/>
      <c r="G37" s="2686">
        <f t="shared" si="6"/>
        <v>0</v>
      </c>
      <c r="H37" s="2686">
        <f t="shared" si="7"/>
        <v>0</v>
      </c>
      <c r="I37" s="2718"/>
      <c r="J37" s="2687">
        <f t="shared" si="12"/>
        <v>0</v>
      </c>
      <c r="K37" s="2653"/>
      <c r="L37" s="2722">
        <v>183.5</v>
      </c>
      <c r="M37" s="2588">
        <f t="shared" si="13"/>
        <v>195.7</v>
      </c>
      <c r="N37" s="2678"/>
      <c r="P37" s="2663"/>
      <c r="T37" s="2689">
        <v>1.75</v>
      </c>
      <c r="U37" s="2691">
        <v>115</v>
      </c>
      <c r="V37" s="2900"/>
      <c r="W37" s="2686">
        <f t="shared" si="8"/>
        <v>0</v>
      </c>
      <c r="X37" s="2718"/>
      <c r="Y37" s="2687">
        <f t="shared" si="14"/>
        <v>0</v>
      </c>
      <c r="Z37" s="2653"/>
      <c r="AA37" s="2650">
        <v>108.3</v>
      </c>
      <c r="AB37" s="2588">
        <f t="shared" si="15"/>
        <v>113.3</v>
      </c>
      <c r="AC37" s="2678"/>
      <c r="AE37" s="2663"/>
      <c r="AI37" s="2689">
        <v>1.75</v>
      </c>
      <c r="AJ37" s="2718"/>
      <c r="AK37" s="2686">
        <f t="shared" si="9"/>
        <v>0</v>
      </c>
      <c r="AL37" s="2686">
        <f t="shared" si="10"/>
        <v>0</v>
      </c>
      <c r="AM37" s="2718"/>
      <c r="AN37" s="2687">
        <f t="shared" si="16"/>
        <v>0</v>
      </c>
      <c r="AO37" s="2653"/>
      <c r="AP37" s="2650"/>
      <c r="AR37" s="2678"/>
    </row>
    <row r="38" spans="1:44" ht="17.100000000000001" customHeight="1">
      <c r="A38" s="2897">
        <f t="shared" si="11"/>
        <v>3.872983346207417</v>
      </c>
      <c r="B38" s="2896"/>
      <c r="C38" s="735">
        <f t="shared" si="17"/>
        <v>0</v>
      </c>
      <c r="E38" s="2689">
        <v>2</v>
      </c>
      <c r="F38" s="2718"/>
      <c r="G38" s="2686">
        <f t="shared" si="6"/>
        <v>0</v>
      </c>
      <c r="H38" s="2686">
        <f t="shared" si="7"/>
        <v>0</v>
      </c>
      <c r="I38" s="2718"/>
      <c r="J38" s="2687">
        <f t="shared" si="12"/>
        <v>0</v>
      </c>
      <c r="K38" s="2653"/>
      <c r="L38" s="2722">
        <v>187.2</v>
      </c>
      <c r="M38" s="2588">
        <f t="shared" si="13"/>
        <v>199.39999999999998</v>
      </c>
      <c r="N38" s="2678"/>
      <c r="P38" s="2663"/>
      <c r="T38" s="2689">
        <v>2</v>
      </c>
      <c r="U38" s="2691">
        <v>116</v>
      </c>
      <c r="V38" s="2900"/>
      <c r="W38" s="2686">
        <f t="shared" si="8"/>
        <v>0</v>
      </c>
      <c r="X38" s="2718"/>
      <c r="Y38" s="2687">
        <f t="shared" si="14"/>
        <v>0</v>
      </c>
      <c r="Z38" s="2653"/>
      <c r="AA38" s="2650">
        <v>109.5</v>
      </c>
      <c r="AB38" s="2588">
        <f t="shared" si="15"/>
        <v>114.5</v>
      </c>
      <c r="AC38" s="2678"/>
      <c r="AE38" s="2663"/>
      <c r="AI38" s="2689">
        <v>2</v>
      </c>
      <c r="AJ38" s="2718"/>
      <c r="AK38" s="2686">
        <f t="shared" si="9"/>
        <v>0</v>
      </c>
      <c r="AL38" s="2686">
        <f t="shared" si="10"/>
        <v>0</v>
      </c>
      <c r="AM38" s="2718"/>
      <c r="AN38" s="2687">
        <f t="shared" si="16"/>
        <v>0</v>
      </c>
      <c r="AO38" s="2653"/>
      <c r="AP38" s="2650"/>
      <c r="AR38" s="2678"/>
    </row>
    <row r="39" spans="1:44" ht="17.100000000000001" customHeight="1">
      <c r="A39" s="2897">
        <f t="shared" si="11"/>
        <v>5.4772255750516612</v>
      </c>
      <c r="B39" s="2896"/>
      <c r="C39" s="735">
        <f t="shared" si="17"/>
        <v>0</v>
      </c>
      <c r="E39" s="2689">
        <v>2.5</v>
      </c>
      <c r="F39" s="2718"/>
      <c r="G39" s="2686">
        <f t="shared" si="6"/>
        <v>0</v>
      </c>
      <c r="H39" s="2686">
        <f t="shared" si="7"/>
        <v>0</v>
      </c>
      <c r="I39" s="2718"/>
      <c r="J39" s="2687">
        <f t="shared" si="12"/>
        <v>0</v>
      </c>
      <c r="K39" s="2653"/>
      <c r="L39" s="2722">
        <v>193.4</v>
      </c>
      <c r="M39" s="2588">
        <f t="shared" si="13"/>
        <v>205.6</v>
      </c>
      <c r="N39" s="2678"/>
      <c r="P39" s="2663"/>
      <c r="T39" s="2689">
        <v>2.5</v>
      </c>
      <c r="U39" s="2691">
        <v>119</v>
      </c>
      <c r="V39" s="2900"/>
      <c r="W39" s="2686">
        <f t="shared" si="8"/>
        <v>0</v>
      </c>
      <c r="X39" s="2718"/>
      <c r="Y39" s="2687">
        <f t="shared" si="14"/>
        <v>0</v>
      </c>
      <c r="Z39" s="2653"/>
      <c r="AA39" s="2650">
        <v>110.4</v>
      </c>
      <c r="AB39" s="2588">
        <f t="shared" si="15"/>
        <v>115.4</v>
      </c>
      <c r="AC39" s="2678"/>
      <c r="AE39" s="2663"/>
      <c r="AI39" s="2689">
        <v>2.5</v>
      </c>
      <c r="AJ39" s="2718"/>
      <c r="AK39" s="2686">
        <f t="shared" si="9"/>
        <v>0</v>
      </c>
      <c r="AL39" s="2686">
        <f t="shared" si="10"/>
        <v>0</v>
      </c>
      <c r="AM39" s="2718"/>
      <c r="AN39" s="2687">
        <f t="shared" si="16"/>
        <v>0</v>
      </c>
      <c r="AO39" s="2653"/>
      <c r="AP39" s="2650"/>
      <c r="AR39" s="2678"/>
    </row>
    <row r="40" spans="1:44" ht="17.100000000000001" customHeight="1">
      <c r="A40" s="2897">
        <f t="shared" si="11"/>
        <v>7.745966692414834</v>
      </c>
      <c r="B40" s="2896"/>
      <c r="C40" s="735">
        <f t="shared" si="17"/>
        <v>0</v>
      </c>
      <c r="E40" s="2689">
        <v>3</v>
      </c>
      <c r="F40" s="2718"/>
      <c r="G40" s="2686">
        <f t="shared" si="6"/>
        <v>0</v>
      </c>
      <c r="H40" s="2686">
        <f t="shared" si="7"/>
        <v>0</v>
      </c>
      <c r="I40" s="2718"/>
      <c r="J40" s="2687">
        <f t="shared" si="12"/>
        <v>0</v>
      </c>
      <c r="K40" s="2653"/>
      <c r="L40" s="2722">
        <v>192.7</v>
      </c>
      <c r="M40" s="2588">
        <f t="shared" si="13"/>
        <v>204.89999999999998</v>
      </c>
      <c r="N40" s="2678"/>
      <c r="P40" s="2663"/>
      <c r="T40" s="2689">
        <v>3</v>
      </c>
      <c r="U40" s="2691">
        <v>122</v>
      </c>
      <c r="V40" s="2900"/>
      <c r="W40" s="2686">
        <f t="shared" si="8"/>
        <v>0</v>
      </c>
      <c r="X40" s="2718"/>
      <c r="Y40" s="2687">
        <f t="shared" si="14"/>
        <v>0</v>
      </c>
      <c r="Z40" s="2653"/>
      <c r="AA40" s="2650">
        <v>111.2</v>
      </c>
      <c r="AB40" s="2588">
        <f t="shared" si="15"/>
        <v>116.2</v>
      </c>
      <c r="AC40" s="2678"/>
      <c r="AE40" s="2663"/>
      <c r="AI40" s="2689">
        <v>3</v>
      </c>
      <c r="AJ40" s="2718"/>
      <c r="AK40" s="2686">
        <f t="shared" si="9"/>
        <v>0</v>
      </c>
      <c r="AL40" s="2686">
        <f t="shared" si="10"/>
        <v>0</v>
      </c>
      <c r="AM40" s="2718"/>
      <c r="AN40" s="2687">
        <f t="shared" si="16"/>
        <v>0</v>
      </c>
      <c r="AO40" s="2653"/>
      <c r="AP40" s="2650"/>
      <c r="AR40" s="2678"/>
    </row>
    <row r="41" spans="1:44" ht="17.100000000000001" customHeight="1">
      <c r="A41" s="2897">
        <f t="shared" si="11"/>
        <v>10.954451150103322</v>
      </c>
      <c r="B41" s="2896"/>
      <c r="C41" s="735">
        <f t="shared" si="17"/>
        <v>0</v>
      </c>
      <c r="E41" s="2689">
        <v>3.5</v>
      </c>
      <c r="F41" s="2718"/>
      <c r="G41" s="2686">
        <f t="shared" si="6"/>
        <v>0</v>
      </c>
      <c r="H41" s="2686">
        <f t="shared" si="7"/>
        <v>0</v>
      </c>
      <c r="I41" s="2718"/>
      <c r="J41" s="2687">
        <f t="shared" si="12"/>
        <v>0</v>
      </c>
      <c r="K41" s="2653"/>
      <c r="L41" s="2722">
        <v>192.3</v>
      </c>
      <c r="M41" s="2588">
        <f t="shared" si="13"/>
        <v>204.5</v>
      </c>
      <c r="N41" s="2678"/>
      <c r="P41" s="2663"/>
      <c r="T41" s="2689">
        <v>3.5</v>
      </c>
      <c r="U41" s="2691">
        <v>125</v>
      </c>
      <c r="V41" s="2900"/>
      <c r="W41" s="2686">
        <f t="shared" si="8"/>
        <v>0</v>
      </c>
      <c r="X41" s="2718"/>
      <c r="Y41" s="2687">
        <f t="shared" si="14"/>
        <v>0</v>
      </c>
      <c r="Z41" s="2653"/>
      <c r="AA41" s="2650">
        <v>112.7</v>
      </c>
      <c r="AB41" s="2588">
        <f t="shared" si="15"/>
        <v>117.7</v>
      </c>
      <c r="AC41" s="2678"/>
      <c r="AE41" s="2663"/>
      <c r="AI41" s="2689">
        <v>3.5</v>
      </c>
      <c r="AJ41" s="2718"/>
      <c r="AK41" s="2686">
        <f t="shared" si="9"/>
        <v>0</v>
      </c>
      <c r="AL41" s="2686">
        <f t="shared" si="10"/>
        <v>0</v>
      </c>
      <c r="AM41" s="2718"/>
      <c r="AN41" s="2687">
        <f t="shared" si="16"/>
        <v>0</v>
      </c>
      <c r="AO41" s="2653"/>
      <c r="AP41" s="2650"/>
      <c r="AR41" s="2678"/>
    </row>
    <row r="42" spans="1:44" ht="17.100000000000001" customHeight="1">
      <c r="A42" s="2897">
        <f t="shared" si="11"/>
        <v>16</v>
      </c>
      <c r="B42" s="2896"/>
      <c r="C42" s="735">
        <f t="shared" si="17"/>
        <v>0</v>
      </c>
      <c r="E42" s="2689">
        <v>4</v>
      </c>
      <c r="F42" s="2718"/>
      <c r="G42" s="2686">
        <f t="shared" si="6"/>
        <v>0</v>
      </c>
      <c r="H42" s="2686">
        <f t="shared" si="7"/>
        <v>0</v>
      </c>
      <c r="I42" s="2718"/>
      <c r="J42" s="2687">
        <f t="shared" si="12"/>
        <v>0</v>
      </c>
      <c r="K42" s="2653"/>
      <c r="L42" s="2722">
        <v>192.3</v>
      </c>
      <c r="M42" s="2588">
        <f t="shared" si="13"/>
        <v>204.5</v>
      </c>
      <c r="N42" s="2678"/>
      <c r="P42" s="2663"/>
      <c r="T42" s="2689">
        <v>4</v>
      </c>
      <c r="U42" s="2691">
        <v>126</v>
      </c>
      <c r="V42" s="2900"/>
      <c r="W42" s="2686">
        <f t="shared" si="8"/>
        <v>0</v>
      </c>
      <c r="X42" s="2718"/>
      <c r="Y42" s="2687">
        <f t="shared" si="14"/>
        <v>0</v>
      </c>
      <c r="Z42" s="2653"/>
      <c r="AA42" s="2650">
        <v>115.5</v>
      </c>
      <c r="AB42" s="2588">
        <f t="shared" si="15"/>
        <v>120.5</v>
      </c>
      <c r="AC42" s="2678"/>
      <c r="AE42" s="2663"/>
      <c r="AI42" s="2689">
        <v>4</v>
      </c>
      <c r="AJ42" s="2718"/>
      <c r="AK42" s="2686">
        <f t="shared" si="9"/>
        <v>0</v>
      </c>
      <c r="AL42" s="2686">
        <f t="shared" si="10"/>
        <v>0</v>
      </c>
      <c r="AM42" s="2718"/>
      <c r="AN42" s="2687">
        <f t="shared" si="16"/>
        <v>0</v>
      </c>
      <c r="AO42" s="2653"/>
      <c r="AP42" s="2650"/>
      <c r="AR42" s="2678"/>
    </row>
    <row r="43" spans="1:44" ht="17.100000000000001" customHeight="1">
      <c r="A43" s="2897">
        <f t="shared" si="11"/>
        <v>22</v>
      </c>
      <c r="B43" s="2896"/>
      <c r="C43" s="735">
        <f t="shared" si="17"/>
        <v>0</v>
      </c>
      <c r="E43" s="2689">
        <v>4.5</v>
      </c>
      <c r="F43" s="2718"/>
      <c r="G43" s="2686">
        <f t="shared" si="6"/>
        <v>0</v>
      </c>
      <c r="H43" s="2686">
        <f t="shared" si="7"/>
        <v>0</v>
      </c>
      <c r="I43" s="2718"/>
      <c r="J43" s="2687">
        <f t="shared" si="12"/>
        <v>0</v>
      </c>
      <c r="K43" s="2653"/>
      <c r="L43" s="2722">
        <v>191</v>
      </c>
      <c r="M43" s="2588">
        <f t="shared" si="13"/>
        <v>203.2</v>
      </c>
      <c r="N43" s="2678"/>
      <c r="P43" s="2663"/>
      <c r="T43" s="2689">
        <v>4.5</v>
      </c>
      <c r="U43" s="2691">
        <v>127</v>
      </c>
      <c r="V43" s="2900"/>
      <c r="W43" s="2686">
        <f t="shared" si="8"/>
        <v>0</v>
      </c>
      <c r="X43" s="2718"/>
      <c r="Y43" s="2687">
        <f t="shared" si="14"/>
        <v>0</v>
      </c>
      <c r="Z43" s="2653"/>
      <c r="AA43" s="2650">
        <v>117</v>
      </c>
      <c r="AB43" s="2588">
        <f t="shared" si="15"/>
        <v>122</v>
      </c>
      <c r="AC43" s="2678"/>
      <c r="AE43" s="2663"/>
      <c r="AI43" s="2689">
        <v>4.5</v>
      </c>
      <c r="AJ43" s="2718"/>
      <c r="AK43" s="2686">
        <f t="shared" si="9"/>
        <v>0</v>
      </c>
      <c r="AL43" s="2686">
        <f t="shared" si="10"/>
        <v>0</v>
      </c>
      <c r="AM43" s="2718"/>
      <c r="AN43" s="2687">
        <f t="shared" si="16"/>
        <v>0</v>
      </c>
      <c r="AO43" s="2653"/>
      <c r="AP43" s="2650"/>
      <c r="AR43" s="2678"/>
    </row>
    <row r="44" spans="1:44" ht="17.100000000000001" customHeight="1">
      <c r="A44" s="2897">
        <f t="shared" si="11"/>
        <v>37.947331922020552</v>
      </c>
      <c r="B44" s="2896"/>
      <c r="C44" s="735">
        <f t="shared" si="17"/>
        <v>0</v>
      </c>
      <c r="E44" s="2689">
        <v>5</v>
      </c>
      <c r="F44" s="2718"/>
      <c r="G44" s="2686">
        <f t="shared" si="6"/>
        <v>0</v>
      </c>
      <c r="H44" s="2686">
        <f t="shared" si="7"/>
        <v>0</v>
      </c>
      <c r="I44" s="2718"/>
      <c r="J44" s="2687">
        <f t="shared" si="12"/>
        <v>0</v>
      </c>
      <c r="K44" s="2653"/>
      <c r="L44" s="2722">
        <v>189.7</v>
      </c>
      <c r="M44" s="2588">
        <f t="shared" si="13"/>
        <v>201.89999999999998</v>
      </c>
      <c r="N44" s="2678"/>
      <c r="P44" s="2663"/>
      <c r="T44" s="2689">
        <v>5</v>
      </c>
      <c r="U44" s="2691">
        <v>128</v>
      </c>
      <c r="V44" s="2900"/>
      <c r="W44" s="2686">
        <f t="shared" si="8"/>
        <v>0</v>
      </c>
      <c r="X44" s="2718"/>
      <c r="Y44" s="2687">
        <f t="shared" si="14"/>
        <v>0</v>
      </c>
      <c r="Z44" s="2653"/>
      <c r="AA44" s="2650">
        <v>119.2</v>
      </c>
      <c r="AB44" s="2588">
        <f t="shared" si="15"/>
        <v>124.2</v>
      </c>
      <c r="AC44" s="2678"/>
      <c r="AE44" s="2663"/>
      <c r="AI44" s="2689">
        <v>5</v>
      </c>
      <c r="AJ44" s="2718"/>
      <c r="AK44" s="2686">
        <f t="shared" si="9"/>
        <v>0</v>
      </c>
      <c r="AL44" s="2686">
        <f t="shared" si="10"/>
        <v>0</v>
      </c>
      <c r="AM44" s="2718"/>
      <c r="AN44" s="2687">
        <f t="shared" si="16"/>
        <v>0</v>
      </c>
      <c r="AO44" s="2653"/>
      <c r="AP44" s="2650"/>
      <c r="AR44" s="2678"/>
    </row>
    <row r="45" spans="1:44" ht="17.100000000000001" customHeight="1">
      <c r="A45" s="2895"/>
      <c r="B45" s="2896"/>
      <c r="C45" s="2895"/>
      <c r="E45" s="2689">
        <v>5.5</v>
      </c>
      <c r="F45" s="2718"/>
      <c r="G45" s="2686">
        <f t="shared" si="6"/>
        <v>0</v>
      </c>
      <c r="H45" s="2686">
        <f t="shared" si="7"/>
        <v>0</v>
      </c>
      <c r="I45" s="2718"/>
      <c r="J45" s="2687">
        <f t="shared" si="12"/>
        <v>0</v>
      </c>
      <c r="K45" s="2653"/>
      <c r="L45" s="2722">
        <v>189.3</v>
      </c>
      <c r="M45" s="2588">
        <f t="shared" si="13"/>
        <v>201.5</v>
      </c>
      <c r="N45" s="2678"/>
      <c r="P45" s="2663"/>
      <c r="T45" s="2689">
        <v>5.5</v>
      </c>
      <c r="U45" s="2691">
        <v>129</v>
      </c>
      <c r="V45" s="2900"/>
      <c r="W45" s="2686">
        <f t="shared" si="8"/>
        <v>0</v>
      </c>
      <c r="X45" s="2718"/>
      <c r="Y45" s="2687">
        <f t="shared" si="14"/>
        <v>0</v>
      </c>
      <c r="Z45" s="2653"/>
      <c r="AA45" s="2650">
        <v>119.8</v>
      </c>
      <c r="AB45" s="2588">
        <f t="shared" si="15"/>
        <v>124.8</v>
      </c>
      <c r="AC45" s="2678"/>
      <c r="AE45" s="2663"/>
      <c r="AI45" s="2689">
        <v>5.5</v>
      </c>
      <c r="AJ45" s="2718"/>
      <c r="AK45" s="2686">
        <f t="shared" si="9"/>
        <v>0</v>
      </c>
      <c r="AL45" s="2686">
        <f t="shared" si="10"/>
        <v>0</v>
      </c>
      <c r="AM45" s="2718"/>
      <c r="AN45" s="2687">
        <f t="shared" si="16"/>
        <v>0</v>
      </c>
      <c r="AO45" s="2653"/>
      <c r="AP45" s="2650"/>
      <c r="AQ45" s="2683"/>
      <c r="AR45" s="2678"/>
    </row>
    <row r="46" spans="1:44" ht="17.100000000000001" customHeight="1">
      <c r="A46" s="2663"/>
      <c r="B46" s="2588"/>
      <c r="C46" s="2588"/>
      <c r="E46" s="2689">
        <v>6</v>
      </c>
      <c r="F46" s="2718"/>
      <c r="G46" s="2686">
        <f t="shared" si="6"/>
        <v>0</v>
      </c>
      <c r="H46" s="2686">
        <f t="shared" si="7"/>
        <v>0</v>
      </c>
      <c r="I46" s="2718"/>
      <c r="J46" s="2687">
        <f t="shared" si="12"/>
        <v>0</v>
      </c>
      <c r="K46" s="2653"/>
      <c r="L46" s="2722">
        <v>188.5</v>
      </c>
      <c r="M46" s="2588">
        <f t="shared" si="13"/>
        <v>200.7</v>
      </c>
      <c r="N46" s="2678"/>
      <c r="P46" s="2663"/>
      <c r="T46" s="2689">
        <v>6</v>
      </c>
      <c r="U46" s="2691">
        <v>130</v>
      </c>
      <c r="V46" s="2900"/>
      <c r="W46" s="2686">
        <f t="shared" si="8"/>
        <v>0</v>
      </c>
      <c r="X46" s="2718"/>
      <c r="Y46" s="2687">
        <f t="shared" si="14"/>
        <v>0</v>
      </c>
      <c r="Z46" s="2653"/>
      <c r="AA46" s="2650">
        <v>120.3</v>
      </c>
      <c r="AB46" s="2588">
        <f t="shared" si="15"/>
        <v>125.3</v>
      </c>
      <c r="AC46" s="2678"/>
      <c r="AE46" s="2663"/>
      <c r="AI46" s="2689">
        <v>6</v>
      </c>
      <c r="AJ46" s="2718"/>
      <c r="AK46" s="2686">
        <f t="shared" si="9"/>
        <v>0</v>
      </c>
      <c r="AL46" s="2686">
        <f t="shared" si="10"/>
        <v>0</v>
      </c>
      <c r="AM46" s="2718"/>
      <c r="AN46" s="2687">
        <f t="shared" si="16"/>
        <v>0</v>
      </c>
      <c r="AO46" s="2653"/>
      <c r="AP46" s="2650"/>
      <c r="AR46" s="2678"/>
    </row>
    <row r="47" spans="1:44" ht="17.100000000000001" customHeight="1">
      <c r="A47" s="2663"/>
      <c r="B47" s="2588"/>
      <c r="C47" s="2588"/>
      <c r="E47" s="2689">
        <v>6.5</v>
      </c>
      <c r="F47" s="2718"/>
      <c r="G47" s="2686">
        <f t="shared" si="6"/>
        <v>0</v>
      </c>
      <c r="H47" s="2686">
        <f t="shared" si="7"/>
        <v>0</v>
      </c>
      <c r="I47" s="2718"/>
      <c r="J47" s="2687">
        <f t="shared" si="12"/>
        <v>0</v>
      </c>
      <c r="K47" s="2653"/>
      <c r="L47" s="2722">
        <v>187.6</v>
      </c>
      <c r="M47" s="2588">
        <f t="shared" si="13"/>
        <v>199.79999999999998</v>
      </c>
      <c r="N47" s="2678"/>
      <c r="P47" s="2663"/>
      <c r="T47" s="2689">
        <v>6.5</v>
      </c>
      <c r="U47" s="2691">
        <v>131</v>
      </c>
      <c r="V47" s="2900"/>
      <c r="W47" s="2686">
        <f t="shared" si="8"/>
        <v>0</v>
      </c>
      <c r="X47" s="2718"/>
      <c r="Y47" s="2687">
        <f t="shared" si="14"/>
        <v>0</v>
      </c>
      <c r="Z47" s="2653"/>
      <c r="AA47" s="2650">
        <v>123.5</v>
      </c>
      <c r="AB47" s="2588">
        <f t="shared" si="15"/>
        <v>128.5</v>
      </c>
      <c r="AC47" s="2678"/>
      <c r="AE47" s="2663"/>
      <c r="AI47" s="2689">
        <v>6.5</v>
      </c>
      <c r="AJ47" s="2718"/>
      <c r="AK47" s="2686">
        <f t="shared" si="9"/>
        <v>0</v>
      </c>
      <c r="AL47" s="2686">
        <f t="shared" si="10"/>
        <v>0</v>
      </c>
      <c r="AM47" s="2718"/>
      <c r="AN47" s="2687">
        <f t="shared" si="16"/>
        <v>0</v>
      </c>
      <c r="AO47" s="2653"/>
      <c r="AP47" s="2650"/>
      <c r="AR47" s="2678"/>
    </row>
    <row r="48" spans="1:44" ht="17.100000000000001" customHeight="1">
      <c r="A48" s="2663"/>
      <c r="B48" s="2588"/>
      <c r="C48" s="2588"/>
      <c r="E48" s="2689">
        <v>7</v>
      </c>
      <c r="F48" s="2718"/>
      <c r="G48" s="2686">
        <f t="shared" si="6"/>
        <v>0</v>
      </c>
      <c r="H48" s="2686">
        <f t="shared" si="7"/>
        <v>0</v>
      </c>
      <c r="I48" s="2718"/>
      <c r="J48" s="2687">
        <f t="shared" si="12"/>
        <v>0</v>
      </c>
      <c r="K48" s="2653"/>
      <c r="L48" s="2722">
        <v>185.4</v>
      </c>
      <c r="M48" s="2588">
        <f t="shared" si="13"/>
        <v>197.6</v>
      </c>
      <c r="N48" s="2678"/>
      <c r="P48" s="2663"/>
      <c r="T48" s="2689">
        <v>7</v>
      </c>
      <c r="U48" s="2691">
        <v>132</v>
      </c>
      <c r="V48" s="2900"/>
      <c r="W48" s="2686">
        <f t="shared" si="8"/>
        <v>0</v>
      </c>
      <c r="X48" s="2718"/>
      <c r="Y48" s="2687">
        <f t="shared" si="14"/>
        <v>0</v>
      </c>
      <c r="Z48" s="2653"/>
      <c r="AA48" s="2650">
        <v>125.4</v>
      </c>
      <c r="AB48" s="2588">
        <f t="shared" si="15"/>
        <v>130.4</v>
      </c>
      <c r="AC48" s="2678"/>
      <c r="AE48" s="2663"/>
      <c r="AI48" s="2689">
        <v>7</v>
      </c>
      <c r="AJ48" s="2718"/>
      <c r="AK48" s="2686">
        <f t="shared" si="9"/>
        <v>0</v>
      </c>
      <c r="AL48" s="2686">
        <f t="shared" si="10"/>
        <v>0</v>
      </c>
      <c r="AM48" s="2718"/>
      <c r="AN48" s="2687">
        <f t="shared" si="16"/>
        <v>0</v>
      </c>
      <c r="AO48" s="2653"/>
      <c r="AP48" s="2650"/>
      <c r="AR48" s="2678"/>
    </row>
    <row r="49" spans="1:44" ht="17.100000000000001" customHeight="1">
      <c r="A49" s="2663"/>
      <c r="B49" s="2588"/>
      <c r="C49" s="2588"/>
      <c r="E49" s="2689">
        <v>7.5</v>
      </c>
      <c r="F49" s="2718"/>
      <c r="G49" s="2686">
        <f t="shared" si="6"/>
        <v>0</v>
      </c>
      <c r="H49" s="2686">
        <f t="shared" si="7"/>
        <v>0</v>
      </c>
      <c r="I49" s="2718"/>
      <c r="J49" s="2687">
        <f t="shared" si="12"/>
        <v>0</v>
      </c>
      <c r="K49" s="2653"/>
      <c r="L49" s="2722">
        <v>185.4</v>
      </c>
      <c r="M49" s="2588">
        <f t="shared" si="13"/>
        <v>197.6</v>
      </c>
      <c r="N49" s="2678"/>
      <c r="P49" s="2663"/>
      <c r="T49" s="2689">
        <v>7.5</v>
      </c>
      <c r="U49" s="2691">
        <v>133</v>
      </c>
      <c r="V49" s="2900"/>
      <c r="W49" s="2686">
        <f t="shared" si="8"/>
        <v>0</v>
      </c>
      <c r="X49" s="2718"/>
      <c r="Y49" s="2687">
        <f t="shared" si="14"/>
        <v>0</v>
      </c>
      <c r="Z49" s="2653"/>
      <c r="AA49" s="2650">
        <v>127.6</v>
      </c>
      <c r="AB49" s="2588">
        <f t="shared" si="15"/>
        <v>132.6</v>
      </c>
      <c r="AC49" s="2678"/>
      <c r="AE49" s="2663"/>
      <c r="AI49" s="2689">
        <v>7.5</v>
      </c>
      <c r="AJ49" s="2718"/>
      <c r="AK49" s="2686">
        <f t="shared" si="9"/>
        <v>0</v>
      </c>
      <c r="AL49" s="2686">
        <f t="shared" si="10"/>
        <v>0</v>
      </c>
      <c r="AM49" s="2718"/>
      <c r="AN49" s="2687">
        <f t="shared" si="16"/>
        <v>0</v>
      </c>
      <c r="AO49" s="2653"/>
      <c r="AP49" s="2650"/>
      <c r="AR49" s="2678"/>
    </row>
    <row r="50" spans="1:44" ht="17.100000000000001" customHeight="1">
      <c r="A50" s="2663"/>
      <c r="B50" s="2588"/>
      <c r="C50" s="2588"/>
      <c r="E50" s="2689">
        <v>8</v>
      </c>
      <c r="F50" s="2718"/>
      <c r="G50" s="2686">
        <f t="shared" si="6"/>
        <v>0</v>
      </c>
      <c r="H50" s="2686">
        <f t="shared" si="7"/>
        <v>0</v>
      </c>
      <c r="I50" s="2718"/>
      <c r="J50" s="2687">
        <f t="shared" si="12"/>
        <v>0</v>
      </c>
      <c r="K50" s="2653"/>
      <c r="L50" s="2722">
        <v>184.5</v>
      </c>
      <c r="M50" s="2588">
        <f t="shared" si="13"/>
        <v>196.7</v>
      </c>
      <c r="N50" s="2678"/>
      <c r="P50" s="2663"/>
      <c r="T50" s="2689">
        <v>8</v>
      </c>
      <c r="U50" s="2691">
        <v>134.5</v>
      </c>
      <c r="V50" s="2900"/>
      <c r="W50" s="2686">
        <f t="shared" si="8"/>
        <v>0</v>
      </c>
      <c r="X50" s="2718"/>
      <c r="Y50" s="2687">
        <f t="shared" si="14"/>
        <v>0</v>
      </c>
      <c r="Z50" s="2653"/>
      <c r="AA50" s="2650">
        <v>129.5</v>
      </c>
      <c r="AB50" s="2588">
        <f t="shared" si="15"/>
        <v>134.5</v>
      </c>
      <c r="AC50" s="2678"/>
      <c r="AE50" s="2663"/>
      <c r="AI50" s="2689">
        <v>8</v>
      </c>
      <c r="AJ50" s="2718"/>
      <c r="AK50" s="2686">
        <f t="shared" si="9"/>
        <v>0</v>
      </c>
      <c r="AL50" s="2686">
        <f t="shared" si="10"/>
        <v>0</v>
      </c>
      <c r="AM50" s="2718"/>
      <c r="AN50" s="2687">
        <f t="shared" si="16"/>
        <v>0</v>
      </c>
      <c r="AO50" s="2653"/>
      <c r="AP50" s="2650"/>
      <c r="AR50" s="2678"/>
    </row>
    <row r="51" spans="1:44" ht="17.100000000000001" customHeight="1">
      <c r="A51" s="2663"/>
      <c r="B51" s="2588"/>
      <c r="C51" s="2588"/>
      <c r="E51" s="2689">
        <v>8.5</v>
      </c>
      <c r="F51" s="2718"/>
      <c r="G51" s="2686">
        <f t="shared" si="6"/>
        <v>0</v>
      </c>
      <c r="H51" s="2686">
        <f t="shared" si="7"/>
        <v>0</v>
      </c>
      <c r="I51" s="2718"/>
      <c r="J51" s="2687">
        <f t="shared" si="12"/>
        <v>0</v>
      </c>
      <c r="K51" s="2653"/>
      <c r="L51" s="2722">
        <v>183.7</v>
      </c>
      <c r="M51" s="2588">
        <f t="shared" si="13"/>
        <v>195.89999999999998</v>
      </c>
      <c r="N51" s="2678"/>
      <c r="P51" s="2663"/>
      <c r="T51" s="2689">
        <v>8.5</v>
      </c>
      <c r="U51" s="2691">
        <v>135</v>
      </c>
      <c r="V51" s="2900"/>
      <c r="W51" s="2686">
        <f t="shared" si="8"/>
        <v>0</v>
      </c>
      <c r="X51" s="2718"/>
      <c r="Y51" s="2687">
        <f t="shared" si="14"/>
        <v>0</v>
      </c>
      <c r="Z51" s="2653"/>
      <c r="AA51" s="2650">
        <v>131.19999999999999</v>
      </c>
      <c r="AB51" s="2588">
        <f t="shared" si="15"/>
        <v>136.19999999999999</v>
      </c>
      <c r="AC51" s="2678"/>
      <c r="AE51" s="2663"/>
      <c r="AI51" s="2689">
        <v>8.5</v>
      </c>
      <c r="AJ51" s="2718"/>
      <c r="AK51" s="2686">
        <f t="shared" si="9"/>
        <v>0</v>
      </c>
      <c r="AL51" s="2686">
        <f t="shared" si="10"/>
        <v>0</v>
      </c>
      <c r="AM51" s="2718"/>
      <c r="AN51" s="2687">
        <f t="shared" si="16"/>
        <v>0</v>
      </c>
      <c r="AO51" s="2653"/>
      <c r="AP51" s="2650"/>
      <c r="AR51" s="2678"/>
    </row>
    <row r="52" spans="1:44" ht="17.100000000000001" customHeight="1">
      <c r="A52" s="2663"/>
      <c r="B52" s="2588"/>
      <c r="C52" s="2588"/>
      <c r="E52" s="2689">
        <v>9</v>
      </c>
      <c r="F52" s="2718"/>
      <c r="G52" s="2686">
        <f t="shared" si="6"/>
        <v>0</v>
      </c>
      <c r="H52" s="2686">
        <f t="shared" si="7"/>
        <v>0</v>
      </c>
      <c r="I52" s="2718"/>
      <c r="J52" s="2687">
        <f t="shared" si="12"/>
        <v>0</v>
      </c>
      <c r="K52" s="2653"/>
      <c r="L52" s="2722">
        <v>183.6</v>
      </c>
      <c r="M52" s="2588">
        <f t="shared" si="13"/>
        <v>195.79999999999998</v>
      </c>
      <c r="N52" s="2678"/>
      <c r="P52" s="2663"/>
      <c r="T52" s="2689">
        <v>9</v>
      </c>
      <c r="U52" s="2691">
        <v>136</v>
      </c>
      <c r="V52" s="2900"/>
      <c r="W52" s="2686">
        <f t="shared" si="8"/>
        <v>0</v>
      </c>
      <c r="X52" s="2718"/>
      <c r="Y52" s="2687">
        <f t="shared" si="14"/>
        <v>0</v>
      </c>
      <c r="Z52" s="2653"/>
      <c r="AA52" s="2650">
        <v>134.4</v>
      </c>
      <c r="AB52" s="2588">
        <f t="shared" si="15"/>
        <v>139.4</v>
      </c>
      <c r="AC52" s="2678"/>
      <c r="AE52" s="2663"/>
      <c r="AI52" s="2689">
        <v>9</v>
      </c>
      <c r="AJ52" s="2718"/>
      <c r="AK52" s="2686">
        <f t="shared" si="9"/>
        <v>0</v>
      </c>
      <c r="AL52" s="2686">
        <f t="shared" si="10"/>
        <v>0</v>
      </c>
      <c r="AM52" s="2718"/>
      <c r="AN52" s="2687">
        <f t="shared" si="16"/>
        <v>0</v>
      </c>
      <c r="AO52" s="2653"/>
      <c r="AP52" s="2650"/>
      <c r="AR52" s="2678"/>
    </row>
    <row r="53" spans="1:44" ht="17.100000000000001" customHeight="1">
      <c r="A53" s="2663"/>
      <c r="B53" s="2588"/>
      <c r="C53" s="2588"/>
      <c r="E53" s="2689">
        <v>9.5</v>
      </c>
      <c r="F53" s="2718"/>
      <c r="G53" s="2686">
        <f t="shared" si="6"/>
        <v>0</v>
      </c>
      <c r="H53" s="2686">
        <f t="shared" si="7"/>
        <v>0</v>
      </c>
      <c r="I53" s="2718"/>
      <c r="J53" s="2687">
        <f t="shared" si="12"/>
        <v>0</v>
      </c>
      <c r="K53" s="2653"/>
      <c r="L53" s="2722">
        <v>183.2</v>
      </c>
      <c r="M53" s="2588">
        <f t="shared" si="13"/>
        <v>195.39999999999998</v>
      </c>
      <c r="N53" s="2678"/>
      <c r="P53" s="2663"/>
      <c r="T53" s="2689">
        <v>9.5</v>
      </c>
      <c r="U53" s="2691">
        <v>137</v>
      </c>
      <c r="V53" s="2900"/>
      <c r="W53" s="2686">
        <f t="shared" si="8"/>
        <v>0</v>
      </c>
      <c r="X53" s="2718"/>
      <c r="Y53" s="2687">
        <f t="shared" si="14"/>
        <v>0</v>
      </c>
      <c r="Z53" s="2653"/>
      <c r="AA53" s="2650">
        <v>133.69999999999999</v>
      </c>
      <c r="AB53" s="2588">
        <f t="shared" si="15"/>
        <v>138.69999999999999</v>
      </c>
      <c r="AC53" s="2678"/>
      <c r="AE53" s="2663"/>
      <c r="AI53" s="2689">
        <v>9.5</v>
      </c>
      <c r="AJ53" s="2718"/>
      <c r="AK53" s="2686">
        <f t="shared" si="9"/>
        <v>0</v>
      </c>
      <c r="AL53" s="2686">
        <f t="shared" si="10"/>
        <v>0</v>
      </c>
      <c r="AM53" s="2718"/>
      <c r="AN53" s="2687">
        <f t="shared" si="16"/>
        <v>0</v>
      </c>
      <c r="AO53" s="2653"/>
      <c r="AP53" s="2650"/>
      <c r="AR53" s="2678"/>
    </row>
    <row r="54" spans="1:44" ht="17.100000000000001" customHeight="1">
      <c r="A54" s="2663"/>
      <c r="B54" s="2588"/>
      <c r="C54" s="2588"/>
      <c r="E54" s="2689">
        <v>10</v>
      </c>
      <c r="F54" s="2718"/>
      <c r="G54" s="2686">
        <f t="shared" si="6"/>
        <v>0</v>
      </c>
      <c r="H54" s="2686">
        <f t="shared" si="7"/>
        <v>0</v>
      </c>
      <c r="I54" s="2718"/>
      <c r="J54" s="2687">
        <f t="shared" si="12"/>
        <v>0</v>
      </c>
      <c r="K54" s="2653"/>
      <c r="L54" s="2722">
        <v>182.5</v>
      </c>
      <c r="M54" s="2588">
        <f t="shared" si="13"/>
        <v>194.7</v>
      </c>
      <c r="N54" s="2678"/>
      <c r="P54" s="2663"/>
      <c r="T54" s="2689">
        <v>10</v>
      </c>
      <c r="U54" s="2691">
        <v>138.69999999999999</v>
      </c>
      <c r="V54" s="2900"/>
      <c r="W54" s="2686">
        <f t="shared" si="8"/>
        <v>0</v>
      </c>
      <c r="X54" s="2718"/>
      <c r="Y54" s="2687">
        <f t="shared" si="14"/>
        <v>0</v>
      </c>
      <c r="Z54" s="2653"/>
      <c r="AA54" s="2650">
        <v>133.69999999999999</v>
      </c>
      <c r="AB54" s="2588">
        <f t="shared" si="15"/>
        <v>138.69999999999999</v>
      </c>
      <c r="AC54" s="2678"/>
      <c r="AE54" s="2663"/>
      <c r="AI54" s="2689">
        <v>10</v>
      </c>
      <c r="AJ54" s="2718"/>
      <c r="AK54" s="2686">
        <f t="shared" si="9"/>
        <v>0</v>
      </c>
      <c r="AL54" s="2686">
        <f t="shared" si="10"/>
        <v>0</v>
      </c>
      <c r="AM54" s="2718"/>
      <c r="AN54" s="2687">
        <f t="shared" si="16"/>
        <v>0</v>
      </c>
      <c r="AO54" s="2653"/>
      <c r="AP54" s="2650"/>
      <c r="AR54" s="2678"/>
    </row>
    <row r="55" spans="1:44" ht="17.100000000000001" customHeight="1">
      <c r="A55" s="2663"/>
      <c r="B55" s="2588"/>
      <c r="C55" s="2588"/>
      <c r="E55" s="2689">
        <v>10.5</v>
      </c>
      <c r="F55" s="2718"/>
      <c r="G55" s="2686">
        <f t="shared" si="6"/>
        <v>0</v>
      </c>
      <c r="H55" s="2686">
        <f t="shared" si="7"/>
        <v>0</v>
      </c>
      <c r="I55" s="2718"/>
      <c r="J55" s="2687">
        <f t="shared" si="12"/>
        <v>0</v>
      </c>
      <c r="K55" s="2653"/>
      <c r="L55" s="2722">
        <v>182</v>
      </c>
      <c r="M55" s="2588">
        <f t="shared" si="13"/>
        <v>194.2</v>
      </c>
      <c r="N55" s="2678"/>
      <c r="P55" s="2663"/>
      <c r="T55" s="2689">
        <v>10.5</v>
      </c>
      <c r="U55" s="2691">
        <v>138.5</v>
      </c>
      <c r="V55" s="2900"/>
      <c r="W55" s="2686">
        <f t="shared" si="8"/>
        <v>0</v>
      </c>
      <c r="X55" s="2718"/>
      <c r="Y55" s="2687">
        <f t="shared" si="14"/>
        <v>0</v>
      </c>
      <c r="Z55" s="2653"/>
      <c r="AA55" s="2650">
        <v>133.5</v>
      </c>
      <c r="AB55" s="2588">
        <f t="shared" si="15"/>
        <v>138.5</v>
      </c>
      <c r="AC55" s="2678"/>
      <c r="AE55" s="2663"/>
      <c r="AI55" s="2689">
        <v>10.5</v>
      </c>
      <c r="AJ55" s="2718"/>
      <c r="AK55" s="2686">
        <f t="shared" si="9"/>
        <v>0</v>
      </c>
      <c r="AL55" s="2686">
        <f t="shared" si="10"/>
        <v>0</v>
      </c>
      <c r="AM55" s="2718"/>
      <c r="AN55" s="2687">
        <f t="shared" si="16"/>
        <v>0</v>
      </c>
      <c r="AO55" s="2653"/>
      <c r="AP55" s="2650"/>
      <c r="AR55" s="2678"/>
    </row>
    <row r="56" spans="1:44" ht="17.100000000000001" customHeight="1">
      <c r="A56" s="2663"/>
      <c r="B56" s="2588"/>
      <c r="C56" s="2588"/>
      <c r="E56" s="2689">
        <v>11</v>
      </c>
      <c r="F56" s="2718"/>
      <c r="G56" s="2686">
        <f t="shared" si="6"/>
        <v>0</v>
      </c>
      <c r="H56" s="2686">
        <f t="shared" si="7"/>
        <v>0</v>
      </c>
      <c r="I56" s="2718"/>
      <c r="J56" s="2687">
        <f t="shared" si="12"/>
        <v>0</v>
      </c>
      <c r="K56" s="2653"/>
      <c r="L56" s="2722">
        <v>180.7</v>
      </c>
      <c r="M56" s="2588">
        <f t="shared" si="13"/>
        <v>192.89999999999998</v>
      </c>
      <c r="N56" s="2678"/>
      <c r="P56" s="2663"/>
      <c r="T56" s="2689">
        <v>11</v>
      </c>
      <c r="U56" s="2691">
        <v>138.5</v>
      </c>
      <c r="V56" s="2900"/>
      <c r="W56" s="2686">
        <f t="shared" si="8"/>
        <v>0</v>
      </c>
      <c r="X56" s="2718"/>
      <c r="Y56" s="2687">
        <f t="shared" si="14"/>
        <v>0</v>
      </c>
      <c r="Z56" s="2653"/>
      <c r="AA56" s="2650">
        <v>133.5</v>
      </c>
      <c r="AB56" s="2588">
        <f t="shared" si="15"/>
        <v>138.5</v>
      </c>
      <c r="AC56" s="2678"/>
      <c r="AE56" s="2663"/>
      <c r="AI56" s="2689">
        <v>11</v>
      </c>
      <c r="AJ56" s="2718"/>
      <c r="AK56" s="2686">
        <f t="shared" si="9"/>
        <v>0</v>
      </c>
      <c r="AL56" s="2686">
        <f t="shared" si="10"/>
        <v>0</v>
      </c>
      <c r="AM56" s="2718"/>
      <c r="AN56" s="2687">
        <f t="shared" si="16"/>
        <v>0</v>
      </c>
      <c r="AO56" s="2653"/>
      <c r="AP56" s="2650"/>
      <c r="AR56" s="2678"/>
    </row>
    <row r="57" spans="1:44" ht="17.100000000000001" customHeight="1">
      <c r="A57" s="2663"/>
      <c r="B57" s="2588"/>
      <c r="C57" s="2588"/>
      <c r="E57" s="2689">
        <v>11.5</v>
      </c>
      <c r="F57" s="2718"/>
      <c r="G57" s="2686">
        <f t="shared" si="6"/>
        <v>0</v>
      </c>
      <c r="H57" s="2686">
        <f t="shared" si="7"/>
        <v>0</v>
      </c>
      <c r="I57" s="2718"/>
      <c r="J57" s="2687">
        <f t="shared" si="12"/>
        <v>0</v>
      </c>
      <c r="K57" s="2653"/>
      <c r="L57" s="2722">
        <v>179.4</v>
      </c>
      <c r="M57" s="2588">
        <f t="shared" si="13"/>
        <v>191.6</v>
      </c>
      <c r="N57" s="2678"/>
      <c r="P57" s="2663"/>
      <c r="T57" s="2689">
        <v>11.5</v>
      </c>
      <c r="U57" s="2691">
        <v>140.5</v>
      </c>
      <c r="V57" s="2900"/>
      <c r="W57" s="2686">
        <f t="shared" si="8"/>
        <v>0</v>
      </c>
      <c r="X57" s="2718"/>
      <c r="Y57" s="2687">
        <f t="shared" si="14"/>
        <v>0</v>
      </c>
      <c r="Z57" s="2653"/>
      <c r="AA57" s="2650">
        <v>135.5</v>
      </c>
      <c r="AB57" s="2588">
        <f t="shared" si="15"/>
        <v>140.5</v>
      </c>
      <c r="AC57" s="2678"/>
      <c r="AE57" s="2663"/>
      <c r="AI57" s="2689">
        <v>11.5</v>
      </c>
      <c r="AJ57" s="2718"/>
      <c r="AK57" s="2686">
        <f t="shared" si="9"/>
        <v>0</v>
      </c>
      <c r="AL57" s="2686">
        <f t="shared" si="10"/>
        <v>0</v>
      </c>
      <c r="AM57" s="2718"/>
      <c r="AN57" s="2687">
        <f t="shared" si="16"/>
        <v>0</v>
      </c>
      <c r="AO57" s="2653"/>
      <c r="AP57" s="2650"/>
      <c r="AR57" s="2678"/>
    </row>
    <row r="58" spans="1:44" ht="17.100000000000001" customHeight="1">
      <c r="A58" s="2663"/>
      <c r="B58" s="2588"/>
      <c r="C58" s="2588"/>
      <c r="E58" s="2689">
        <v>12</v>
      </c>
      <c r="F58" s="2718"/>
      <c r="G58" s="2686">
        <f t="shared" si="6"/>
        <v>0</v>
      </c>
      <c r="H58" s="2686">
        <f t="shared" si="7"/>
        <v>0</v>
      </c>
      <c r="I58" s="2718"/>
      <c r="J58" s="2687">
        <f t="shared" si="12"/>
        <v>0</v>
      </c>
      <c r="K58" s="2653"/>
      <c r="L58" s="2722">
        <v>177.2</v>
      </c>
      <c r="M58" s="2588">
        <f t="shared" si="13"/>
        <v>189.39999999999998</v>
      </c>
      <c r="N58" s="2678"/>
      <c r="P58" s="2663"/>
      <c r="T58" s="2689">
        <v>12</v>
      </c>
      <c r="U58" s="2691">
        <v>140.5</v>
      </c>
      <c r="V58" s="2900"/>
      <c r="W58" s="2686">
        <f t="shared" si="8"/>
        <v>0</v>
      </c>
      <c r="X58" s="2718"/>
      <c r="Y58" s="2687">
        <f t="shared" si="14"/>
        <v>0</v>
      </c>
      <c r="Z58" s="2653"/>
      <c r="AA58" s="2650">
        <v>135.5</v>
      </c>
      <c r="AB58" s="2588">
        <f t="shared" si="15"/>
        <v>140.5</v>
      </c>
      <c r="AC58" s="2678"/>
      <c r="AE58" s="2663"/>
      <c r="AI58" s="2689">
        <v>12</v>
      </c>
      <c r="AJ58" s="2718"/>
      <c r="AK58" s="2686">
        <f t="shared" si="9"/>
        <v>0</v>
      </c>
      <c r="AL58" s="2686">
        <f t="shared" si="10"/>
        <v>0</v>
      </c>
      <c r="AM58" s="2718"/>
      <c r="AN58" s="2687">
        <f t="shared" si="16"/>
        <v>0</v>
      </c>
      <c r="AO58" s="2653"/>
      <c r="AP58" s="2650"/>
      <c r="AR58" s="2678"/>
    </row>
    <row r="59" spans="1:44" ht="17.100000000000001" customHeight="1">
      <c r="A59" s="2663"/>
      <c r="B59" s="2588"/>
      <c r="C59" s="2588"/>
      <c r="E59" s="2689"/>
      <c r="F59" s="2719"/>
      <c r="G59" s="2695"/>
      <c r="H59" s="2695"/>
      <c r="I59" s="2719"/>
      <c r="J59" s="2687"/>
      <c r="K59" s="2653"/>
      <c r="L59" s="2722"/>
      <c r="N59" s="2678"/>
      <c r="P59" s="2663"/>
      <c r="T59" s="2689"/>
      <c r="U59" s="2708"/>
      <c r="V59" s="2726"/>
      <c r="W59" s="2695"/>
      <c r="X59" s="2719"/>
      <c r="Y59" s="2687"/>
      <c r="Z59" s="2653"/>
      <c r="AA59" s="2650"/>
      <c r="AC59" s="2678"/>
      <c r="AE59" s="2663"/>
      <c r="AI59" s="2689"/>
      <c r="AJ59" s="2718"/>
      <c r="AK59" s="2686"/>
      <c r="AL59" s="2686"/>
      <c r="AM59" s="2718"/>
      <c r="AN59" s="2687"/>
      <c r="AO59" s="2653"/>
      <c r="AP59" s="2650"/>
      <c r="AR59" s="2678"/>
    </row>
    <row r="60" spans="1:44" ht="17.100000000000001" customHeight="1">
      <c r="A60" s="2663"/>
      <c r="B60" s="2588"/>
      <c r="C60" s="2588"/>
      <c r="E60" s="2689"/>
      <c r="F60" s="2719"/>
      <c r="G60" s="2695"/>
      <c r="H60" s="2695"/>
      <c r="I60" s="2719"/>
      <c r="J60" s="2687"/>
      <c r="K60" s="2653"/>
      <c r="L60" s="2722"/>
      <c r="N60" s="2678"/>
      <c r="P60" s="2663"/>
      <c r="T60" s="2689"/>
      <c r="U60" s="2708"/>
      <c r="V60" s="2726"/>
      <c r="W60" s="2695"/>
      <c r="X60" s="2719"/>
      <c r="Y60" s="2687"/>
      <c r="Z60" s="2653"/>
      <c r="AA60" s="2650"/>
      <c r="AC60" s="2678"/>
      <c r="AE60" s="2663"/>
      <c r="AI60" s="2689"/>
      <c r="AJ60" s="2719"/>
      <c r="AK60" s="2695"/>
      <c r="AL60" s="2695"/>
      <c r="AM60" s="2719"/>
      <c r="AN60" s="2687"/>
      <c r="AO60" s="2653"/>
      <c r="AP60" s="2650"/>
      <c r="AR60" s="2678"/>
    </row>
    <row r="61" spans="1:44" ht="17.100000000000001" customHeight="1">
      <c r="A61" s="2663"/>
      <c r="B61" s="2588"/>
      <c r="C61" s="2588"/>
      <c r="E61" s="2689"/>
      <c r="F61" s="2719"/>
      <c r="G61" s="2695"/>
      <c r="H61" s="2695"/>
      <c r="I61" s="2719"/>
      <c r="J61" s="2687"/>
      <c r="K61" s="2653"/>
      <c r="L61" s="2722"/>
      <c r="N61" s="2678"/>
      <c r="P61" s="2663"/>
      <c r="T61" s="2689"/>
      <c r="U61" s="2708"/>
      <c r="V61" s="2726"/>
      <c r="W61" s="2695"/>
      <c r="X61" s="2719"/>
      <c r="Y61" s="2687"/>
      <c r="Z61" s="2653"/>
      <c r="AA61" s="2650"/>
      <c r="AC61" s="2678"/>
      <c r="AE61" s="2663"/>
      <c r="AI61" s="2689"/>
      <c r="AJ61" s="2719"/>
      <c r="AK61" s="2695"/>
      <c r="AL61" s="2695"/>
      <c r="AM61" s="2719"/>
      <c r="AN61" s="2687"/>
      <c r="AO61" s="2653"/>
      <c r="AP61" s="2650"/>
      <c r="AR61" s="2678"/>
    </row>
    <row r="62" spans="1:44" ht="17.100000000000001" customHeight="1">
      <c r="A62" s="2663"/>
      <c r="B62" s="2588"/>
      <c r="C62" s="2588"/>
      <c r="E62" s="2689"/>
      <c r="F62" s="2719"/>
      <c r="G62" s="2695"/>
      <c r="H62" s="2695"/>
      <c r="I62" s="2719"/>
      <c r="J62" s="2687"/>
      <c r="K62" s="2653"/>
      <c r="L62" s="2722"/>
      <c r="N62" s="2678"/>
      <c r="P62" s="2663"/>
      <c r="T62" s="2689"/>
      <c r="U62" s="2708"/>
      <c r="V62" s="2726"/>
      <c r="W62" s="2695"/>
      <c r="X62" s="2719"/>
      <c r="Y62" s="2687"/>
      <c r="Z62" s="2653"/>
      <c r="AA62" s="2650"/>
      <c r="AC62" s="2678"/>
      <c r="AE62" s="2663"/>
      <c r="AI62" s="2689"/>
      <c r="AJ62" s="2719"/>
      <c r="AK62" s="2695"/>
      <c r="AL62" s="2695"/>
      <c r="AM62" s="2719"/>
      <c r="AN62" s="2687"/>
      <c r="AO62" s="2653"/>
      <c r="AP62" s="2650"/>
      <c r="AR62" s="2678"/>
    </row>
    <row r="63" spans="1:44" ht="17.100000000000001" customHeight="1">
      <c r="A63" s="2663"/>
      <c r="B63" s="2588"/>
      <c r="C63" s="2588"/>
      <c r="E63" s="2689"/>
      <c r="F63" s="2719"/>
      <c r="G63" s="2695"/>
      <c r="H63" s="2687"/>
      <c r="I63" s="2719"/>
      <c r="J63" s="2687"/>
      <c r="K63" s="2653"/>
      <c r="L63" s="2722"/>
      <c r="N63" s="2709"/>
      <c r="P63" s="2663"/>
      <c r="T63" s="2689"/>
      <c r="U63" s="2708"/>
      <c r="V63" s="2726"/>
      <c r="W63" s="2687"/>
      <c r="X63" s="2719"/>
      <c r="Y63" s="2687"/>
      <c r="Z63" s="2653"/>
      <c r="AA63" s="2650"/>
      <c r="AC63" s="2709"/>
      <c r="AE63" s="2663"/>
      <c r="AI63" s="2689"/>
      <c r="AJ63" s="2719"/>
      <c r="AK63" s="2695"/>
      <c r="AL63" s="2687"/>
      <c r="AM63" s="2719"/>
      <c r="AN63" s="2687"/>
      <c r="AO63" s="2653"/>
      <c r="AP63" s="2650"/>
      <c r="AR63" s="2709"/>
    </row>
    <row r="64" spans="1:44" ht="17.100000000000001" customHeight="1">
      <c r="A64" s="2663"/>
      <c r="B64" s="2588"/>
      <c r="C64" s="2588"/>
      <c r="E64" s="2689"/>
      <c r="F64" s="2719"/>
      <c r="G64" s="2695"/>
      <c r="H64" s="2687"/>
      <c r="I64" s="2719"/>
      <c r="J64" s="2687"/>
      <c r="K64" s="2653"/>
      <c r="L64" s="2722"/>
      <c r="N64" s="2709"/>
      <c r="P64" s="2663"/>
      <c r="T64" s="2689"/>
      <c r="U64" s="2708"/>
      <c r="V64" s="2726"/>
      <c r="W64" s="2687"/>
      <c r="X64" s="2719"/>
      <c r="Y64" s="2687"/>
      <c r="Z64" s="2653"/>
      <c r="AA64" s="2650"/>
      <c r="AC64" s="2709"/>
      <c r="AE64" s="2663"/>
      <c r="AI64" s="2689"/>
      <c r="AJ64" s="2719"/>
      <c r="AK64" s="2695"/>
      <c r="AL64" s="2687"/>
      <c r="AM64" s="2719"/>
      <c r="AN64" s="2687"/>
      <c r="AO64" s="2653"/>
      <c r="AP64" s="2650"/>
      <c r="AR64" s="2709"/>
    </row>
    <row r="65" spans="1:44" ht="17.100000000000001" customHeight="1">
      <c r="A65" s="2663"/>
      <c r="B65" s="2588"/>
      <c r="C65" s="2588"/>
      <c r="E65" s="2689"/>
      <c r="F65" s="2719"/>
      <c r="G65" s="2693"/>
      <c r="H65" s="2687"/>
      <c r="I65" s="2719"/>
      <c r="J65" s="2687"/>
      <c r="K65" s="2653"/>
      <c r="L65" s="2722"/>
      <c r="N65" s="2678"/>
      <c r="P65" s="2663"/>
      <c r="T65" s="2689"/>
      <c r="U65" s="2708"/>
      <c r="V65" s="2901"/>
      <c r="W65" s="2687"/>
      <c r="X65" s="2719"/>
      <c r="Y65" s="2687"/>
      <c r="Z65" s="2653"/>
      <c r="AA65" s="2650"/>
      <c r="AC65" s="2678"/>
      <c r="AE65" s="2663"/>
      <c r="AI65" s="2689"/>
      <c r="AJ65" s="2719"/>
      <c r="AK65" s="2693"/>
      <c r="AL65" s="2687"/>
      <c r="AM65" s="2719"/>
      <c r="AN65" s="2687"/>
      <c r="AO65" s="2653"/>
      <c r="AP65" s="2650"/>
      <c r="AR65" s="2678"/>
    </row>
    <row r="66" spans="1:44" ht="17.100000000000001" customHeight="1">
      <c r="A66" s="2663"/>
      <c r="B66" s="2588"/>
      <c r="C66" s="2588"/>
      <c r="E66" s="2689"/>
      <c r="F66" s="2719"/>
      <c r="G66" s="2693"/>
      <c r="H66" s="2687"/>
      <c r="I66" s="2719"/>
      <c r="J66" s="2687"/>
      <c r="K66" s="2653"/>
      <c r="L66" s="2722"/>
      <c r="N66" s="2678"/>
      <c r="P66" s="2663"/>
      <c r="T66" s="2689"/>
      <c r="U66" s="2708"/>
      <c r="V66" s="2901"/>
      <c r="W66" s="2687"/>
      <c r="X66" s="2719"/>
      <c r="Y66" s="2687"/>
      <c r="Z66" s="2653"/>
      <c r="AA66" s="2650"/>
      <c r="AC66" s="2678"/>
      <c r="AE66" s="2663"/>
      <c r="AI66" s="2689"/>
      <c r="AJ66" s="2719"/>
      <c r="AK66" s="2693"/>
      <c r="AL66" s="2687"/>
      <c r="AM66" s="2719"/>
      <c r="AN66" s="2687"/>
      <c r="AO66" s="2653"/>
      <c r="AP66" s="2650"/>
      <c r="AR66" s="2678"/>
    </row>
    <row r="67" spans="1:44" ht="16.5" customHeight="1">
      <c r="A67" s="2663"/>
      <c r="B67" s="2588"/>
      <c r="C67" s="2588"/>
      <c r="E67" s="2689"/>
      <c r="F67" s="2720"/>
      <c r="G67" s="2710"/>
      <c r="H67" s="2665"/>
      <c r="I67" s="2721"/>
      <c r="J67" s="2687"/>
      <c r="K67" s="2711"/>
      <c r="L67" s="2724"/>
      <c r="N67" s="2678"/>
      <c r="P67" s="2663"/>
      <c r="T67" s="2689"/>
      <c r="U67" s="2654"/>
      <c r="V67" s="2902"/>
      <c r="W67" s="2665"/>
      <c r="X67" s="2721"/>
      <c r="Y67" s="2687"/>
      <c r="Z67" s="2711"/>
      <c r="AA67" s="2712"/>
      <c r="AC67" s="2678"/>
      <c r="AE67" s="2663"/>
      <c r="AI67" s="2689"/>
      <c r="AJ67" s="2720"/>
      <c r="AK67" s="2710"/>
      <c r="AL67" s="2665"/>
      <c r="AM67" s="2721"/>
      <c r="AN67" s="2687"/>
      <c r="AO67" s="2711"/>
      <c r="AP67" s="2712"/>
      <c r="AR67" s="2678"/>
    </row>
    <row r="68" spans="1:44">
      <c r="A68" s="2542"/>
      <c r="F68" s="2713"/>
      <c r="G68" s="2713"/>
      <c r="N68" s="2678"/>
      <c r="P68" s="2663"/>
      <c r="U68" s="2713"/>
      <c r="V68" s="2713"/>
      <c r="AC68" s="2678"/>
      <c r="AE68" s="2663"/>
      <c r="AJ68" s="2713"/>
      <c r="AK68" s="2713"/>
      <c r="AR68" s="2678"/>
    </row>
    <row r="69" spans="1:44">
      <c r="A69" s="2542"/>
      <c r="F69" s="2713"/>
      <c r="G69" s="2713"/>
      <c r="N69" s="2678"/>
      <c r="P69" s="2663"/>
      <c r="U69" s="2713"/>
      <c r="V69" s="2713"/>
      <c r="AC69" s="2678"/>
      <c r="AE69" s="2663"/>
      <c r="AJ69" s="2713"/>
      <c r="AK69" s="2713"/>
      <c r="AR69" s="2678"/>
    </row>
    <row r="70" spans="1:44">
      <c r="A70" s="2553"/>
      <c r="B70" s="2554"/>
      <c r="C70" s="2554"/>
      <c r="D70" s="2656"/>
      <c r="E70" s="2656"/>
      <c r="F70" s="2714"/>
      <c r="G70" s="2714"/>
      <c r="H70" s="2656"/>
      <c r="I70" s="2656"/>
      <c r="J70" s="2656"/>
      <c r="K70" s="2656"/>
      <c r="L70" s="2656"/>
      <c r="M70" s="2656"/>
      <c r="N70" s="2715"/>
      <c r="P70" s="2668"/>
      <c r="Q70" s="2656"/>
      <c r="R70" s="2656"/>
      <c r="S70" s="2656"/>
      <c r="T70" s="2656"/>
      <c r="U70" s="2714"/>
      <c r="V70" s="2714"/>
      <c r="W70" s="2656"/>
      <c r="X70" s="2656"/>
      <c r="Y70" s="2656"/>
      <c r="Z70" s="2656"/>
      <c r="AA70" s="2656"/>
      <c r="AB70" s="2656"/>
      <c r="AC70" s="2715"/>
      <c r="AE70" s="2668"/>
      <c r="AF70" s="2656"/>
      <c r="AG70" s="2656"/>
      <c r="AH70" s="2656"/>
      <c r="AI70" s="2656"/>
      <c r="AJ70" s="2714"/>
      <c r="AK70" s="2714"/>
      <c r="AL70" s="2656"/>
      <c r="AM70" s="2656"/>
      <c r="AN70" s="2656"/>
      <c r="AO70" s="2656"/>
      <c r="AP70" s="2656"/>
      <c r="AQ70" s="2656"/>
      <c r="AR70" s="2715"/>
    </row>
    <row r="71" spans="1:44">
      <c r="F71" s="2713"/>
      <c r="G71" s="2713"/>
      <c r="U71" s="2713"/>
      <c r="V71" s="2713"/>
      <c r="AJ71" s="2713"/>
      <c r="AK71" s="2713"/>
    </row>
    <row r="72" spans="1:44">
      <c r="F72" s="2713"/>
      <c r="G72" s="2713"/>
      <c r="U72" s="2713"/>
      <c r="V72" s="2713"/>
      <c r="AJ72" s="2713"/>
      <c r="AK72" s="2713"/>
    </row>
    <row r="73" spans="1:44">
      <c r="F73" s="2713"/>
      <c r="G73" s="2713"/>
      <c r="U73" s="2713"/>
      <c r="V73" s="2713"/>
      <c r="AJ73" s="2713"/>
      <c r="AK73" s="2713"/>
    </row>
    <row r="74" spans="1:44" ht="12.75" customHeight="1">
      <c r="D74" s="2898">
        <v>0</v>
      </c>
      <c r="F74" s="2713"/>
      <c r="G74" s="2713"/>
      <c r="U74" s="2713"/>
      <c r="V74" s="2713"/>
      <c r="AJ74" s="2713"/>
      <c r="AK74" s="2713"/>
    </row>
    <row r="75" spans="1:44">
      <c r="D75" s="2898">
        <v>0.1</v>
      </c>
      <c r="F75" s="2713"/>
      <c r="G75" s="2713"/>
      <c r="U75" s="2713"/>
      <c r="V75" s="2713"/>
      <c r="AJ75" s="2713"/>
      <c r="AK75" s="2713"/>
    </row>
    <row r="76" spans="1:44">
      <c r="D76" s="2898">
        <v>0.25</v>
      </c>
      <c r="F76" s="2713"/>
      <c r="G76" s="2713"/>
      <c r="U76" s="2713"/>
      <c r="V76" s="2713"/>
      <c r="AJ76" s="2713"/>
      <c r="AK76" s="2713"/>
    </row>
    <row r="77" spans="1:44">
      <c r="D77" s="2898">
        <v>0.5</v>
      </c>
      <c r="F77" s="2713"/>
      <c r="G77" s="2713"/>
      <c r="U77" s="2713"/>
      <c r="V77" s="2713"/>
      <c r="AJ77" s="2713"/>
      <c r="AK77" s="2713"/>
    </row>
    <row r="78" spans="1:44">
      <c r="D78" s="2898">
        <v>1</v>
      </c>
      <c r="F78" s="2713"/>
      <c r="G78" s="2713"/>
      <c r="U78" s="2713"/>
      <c r="V78" s="2713"/>
      <c r="AJ78" s="2713"/>
      <c r="AK78" s="2713"/>
    </row>
    <row r="79" spans="1:44">
      <c r="D79" s="2898">
        <v>2</v>
      </c>
      <c r="F79" s="2713"/>
      <c r="G79" s="2713"/>
      <c r="U79" s="2713"/>
      <c r="V79" s="2713"/>
      <c r="AJ79" s="2713"/>
      <c r="AK79" s="2713"/>
    </row>
    <row r="80" spans="1:44">
      <c r="D80" s="2899">
        <v>4</v>
      </c>
      <c r="F80" s="2713"/>
      <c r="G80" s="2713"/>
      <c r="U80" s="2713"/>
      <c r="V80" s="2713"/>
      <c r="AJ80" s="2713"/>
      <c r="AK80" s="2713"/>
    </row>
    <row r="81" spans="4:37">
      <c r="D81" s="2899">
        <v>8</v>
      </c>
      <c r="F81" s="2713"/>
      <c r="G81" s="2713"/>
      <c r="U81" s="2713"/>
      <c r="V81" s="2713"/>
      <c r="AJ81" s="2713"/>
      <c r="AK81" s="2713"/>
    </row>
    <row r="82" spans="4:37">
      <c r="D82" s="2899">
        <v>15</v>
      </c>
      <c r="F82" s="2713"/>
      <c r="G82" s="2713"/>
      <c r="U82" s="2713"/>
      <c r="V82" s="2713"/>
      <c r="AJ82" s="2713"/>
      <c r="AK82" s="2713"/>
    </row>
    <row r="83" spans="4:37">
      <c r="D83" s="2899">
        <v>30</v>
      </c>
      <c r="F83" s="2713"/>
      <c r="G83" s="2713"/>
      <c r="U83" s="2713"/>
      <c r="V83" s="2713"/>
      <c r="AJ83" s="2713"/>
      <c r="AK83" s="2713"/>
    </row>
    <row r="84" spans="4:37">
      <c r="D84" s="2899">
        <v>60</v>
      </c>
      <c r="F84" s="2713"/>
      <c r="G84" s="2713"/>
      <c r="U84" s="2713"/>
      <c r="V84" s="2713"/>
      <c r="AJ84" s="2713"/>
      <c r="AK84" s="2713"/>
    </row>
    <row r="85" spans="4:37">
      <c r="D85" s="2899">
        <v>120</v>
      </c>
      <c r="F85" s="2713"/>
      <c r="G85" s="2713"/>
      <c r="U85" s="2713"/>
      <c r="V85" s="2713"/>
      <c r="AJ85" s="2713"/>
      <c r="AK85" s="2713"/>
    </row>
    <row r="86" spans="4:37">
      <c r="D86" s="2899">
        <v>256</v>
      </c>
      <c r="F86" s="2713"/>
      <c r="G86" s="2713"/>
      <c r="U86" s="2713"/>
      <c r="V86" s="2713"/>
      <c r="AJ86" s="2713"/>
      <c r="AK86" s="2713"/>
    </row>
    <row r="87" spans="4:37">
      <c r="D87" s="2899">
        <v>484</v>
      </c>
      <c r="F87" s="2713"/>
      <c r="G87" s="2713"/>
      <c r="U87" s="2713"/>
      <c r="V87" s="2713"/>
      <c r="AJ87" s="2713"/>
      <c r="AK87" s="2713"/>
    </row>
    <row r="88" spans="4:37">
      <c r="D88" s="2899">
        <v>1440</v>
      </c>
      <c r="F88" s="2713"/>
      <c r="G88" s="2713"/>
      <c r="U88" s="2713"/>
      <c r="V88" s="2713"/>
      <c r="AJ88" s="2713"/>
      <c r="AK88" s="2713"/>
    </row>
    <row r="89" spans="4:37">
      <c r="D89" s="2899"/>
      <c r="F89" s="2713"/>
      <c r="G89" s="2713"/>
      <c r="U89" s="2713"/>
      <c r="V89" s="2713"/>
      <c r="AJ89" s="2713"/>
      <c r="AK89" s="2713"/>
    </row>
    <row r="90" spans="4:37">
      <c r="F90" s="2713"/>
      <c r="G90" s="2713"/>
      <c r="U90" s="2713"/>
      <c r="V90" s="2713"/>
      <c r="AJ90" s="2713"/>
      <c r="AK90" s="2713"/>
    </row>
    <row r="91" spans="4:37">
      <c r="F91" s="2713"/>
      <c r="G91" s="2713"/>
      <c r="U91" s="2713"/>
      <c r="V91" s="2713"/>
      <c r="AJ91" s="2713"/>
      <c r="AK91" s="2713"/>
    </row>
    <row r="92" spans="4:37">
      <c r="F92" s="2713"/>
      <c r="G92" s="2713"/>
      <c r="U92" s="2713"/>
      <c r="V92" s="2713"/>
      <c r="AJ92" s="2713"/>
      <c r="AK92" s="2713"/>
    </row>
    <row r="93" spans="4:37">
      <c r="F93" s="2713"/>
      <c r="G93" s="2713"/>
      <c r="U93" s="2713"/>
      <c r="V93" s="2713"/>
      <c r="AJ93" s="2713"/>
      <c r="AK93" s="2713"/>
    </row>
    <row r="94" spans="4:37">
      <c r="F94" s="2713"/>
      <c r="G94" s="2713"/>
      <c r="U94" s="2713"/>
      <c r="V94" s="2713"/>
      <c r="AJ94" s="2713"/>
      <c r="AK94" s="2713"/>
    </row>
    <row r="95" spans="4:37">
      <c r="F95" s="2713"/>
      <c r="G95" s="2713"/>
      <c r="U95" s="2713"/>
      <c r="V95" s="2713"/>
      <c r="AJ95" s="2713"/>
      <c r="AK95" s="2713"/>
    </row>
    <row r="96" spans="4:37">
      <c r="F96" s="2713"/>
      <c r="G96" s="2713"/>
      <c r="U96" s="2713"/>
      <c r="V96" s="2713"/>
      <c r="AJ96" s="2713"/>
      <c r="AK96" s="2713"/>
    </row>
    <row r="97" spans="6:37">
      <c r="F97" s="2713"/>
      <c r="G97" s="2713"/>
      <c r="U97" s="2713"/>
      <c r="V97" s="2713"/>
      <c r="AJ97" s="2713"/>
      <c r="AK97" s="2713"/>
    </row>
    <row r="98" spans="6:37">
      <c r="F98" s="2713"/>
      <c r="G98" s="2713"/>
      <c r="U98" s="2713"/>
      <c r="V98" s="2713"/>
      <c r="AJ98" s="2713"/>
      <c r="AK98" s="2713"/>
    </row>
    <row r="99" spans="6:37">
      <c r="F99" s="2713"/>
      <c r="G99" s="2713"/>
      <c r="U99" s="2713"/>
      <c r="V99" s="2713"/>
      <c r="AJ99" s="2713"/>
      <c r="AK99" s="2713"/>
    </row>
    <row r="100" spans="6:37">
      <c r="F100" s="2713"/>
      <c r="G100" s="2713"/>
      <c r="U100" s="2713"/>
      <c r="V100" s="2713"/>
      <c r="AJ100" s="2713"/>
      <c r="AK100" s="2713"/>
    </row>
    <row r="101" spans="6:37">
      <c r="F101" s="2713"/>
      <c r="G101" s="2713"/>
      <c r="U101" s="2713"/>
      <c r="V101" s="2713"/>
      <c r="AJ101" s="2713"/>
      <c r="AK101" s="2713"/>
    </row>
    <row r="102" spans="6:37">
      <c r="F102" s="2713"/>
      <c r="G102" s="2713"/>
      <c r="U102" s="2713"/>
      <c r="V102" s="2713"/>
      <c r="AJ102" s="2713"/>
      <c r="AK102" s="2713"/>
    </row>
    <row r="103" spans="6:37">
      <c r="F103" s="2713"/>
      <c r="G103" s="2713"/>
      <c r="U103" s="2713"/>
      <c r="V103" s="2713"/>
      <c r="AJ103" s="2713"/>
      <c r="AK103" s="2713"/>
    </row>
    <row r="104" spans="6:37">
      <c r="F104" s="2713"/>
      <c r="G104" s="2713"/>
      <c r="U104" s="2713"/>
      <c r="V104" s="2713"/>
      <c r="AJ104" s="2713"/>
      <c r="AK104" s="2713"/>
    </row>
    <row r="105" spans="6:37">
      <c r="F105" s="2713"/>
      <c r="G105" s="2713"/>
      <c r="U105" s="2713"/>
      <c r="V105" s="2713"/>
      <c r="AJ105" s="2713"/>
      <c r="AK105" s="2713"/>
    </row>
    <row r="106" spans="6:37">
      <c r="F106" s="2713"/>
      <c r="G106" s="2713"/>
      <c r="U106" s="2713"/>
      <c r="V106" s="2713"/>
      <c r="AJ106" s="2713"/>
      <c r="AK106" s="2713"/>
    </row>
    <row r="107" spans="6:37">
      <c r="F107" s="2713"/>
      <c r="G107" s="2713"/>
      <c r="U107" s="2713"/>
      <c r="V107" s="2713"/>
      <c r="AJ107" s="2713"/>
      <c r="AK107" s="2713"/>
    </row>
    <row r="108" spans="6:37">
      <c r="F108" s="2713"/>
      <c r="G108" s="2713"/>
      <c r="U108" s="2713"/>
      <c r="V108" s="2713"/>
      <c r="AJ108" s="2713"/>
      <c r="AK108" s="2713"/>
    </row>
    <row r="109" spans="6:37">
      <c r="F109" s="2713"/>
      <c r="G109" s="2713"/>
      <c r="U109" s="2713"/>
      <c r="V109" s="2713"/>
      <c r="AJ109" s="2713"/>
      <c r="AK109" s="2713"/>
    </row>
    <row r="110" spans="6:37">
      <c r="F110" s="2713"/>
      <c r="G110" s="2713"/>
      <c r="U110" s="2713"/>
      <c r="V110" s="2713"/>
      <c r="AJ110" s="2713"/>
      <c r="AK110" s="2713"/>
    </row>
    <row r="111" spans="6:37">
      <c r="F111" s="2713"/>
      <c r="G111" s="2713"/>
      <c r="U111" s="2713"/>
      <c r="V111" s="2713"/>
      <c r="AJ111" s="2713"/>
      <c r="AK111" s="2713"/>
    </row>
    <row r="112" spans="6:37">
      <c r="F112" s="2713"/>
      <c r="G112" s="2713"/>
      <c r="U112" s="2713"/>
      <c r="V112" s="2713"/>
      <c r="AJ112" s="2713"/>
      <c r="AK112" s="2713"/>
    </row>
    <row r="113" spans="6:37">
      <c r="F113" s="2713"/>
      <c r="G113" s="2713"/>
      <c r="U113" s="2713"/>
      <c r="V113" s="2713"/>
      <c r="AJ113" s="2713"/>
      <c r="AK113" s="2713"/>
    </row>
    <row r="114" spans="6:37">
      <c r="F114" s="2713"/>
      <c r="G114" s="2713"/>
      <c r="U114" s="2713"/>
      <c r="V114" s="2713"/>
      <c r="AJ114" s="2713"/>
      <c r="AK114" s="2713"/>
    </row>
    <row r="115" spans="6:37">
      <c r="F115" s="2713"/>
      <c r="G115" s="2713"/>
      <c r="U115" s="2713"/>
      <c r="V115" s="2713"/>
      <c r="AJ115" s="2713"/>
      <c r="AK115" s="2713"/>
    </row>
    <row r="116" spans="6:37">
      <c r="F116" s="2713"/>
      <c r="G116" s="2713"/>
      <c r="U116" s="2713"/>
      <c r="V116" s="2713"/>
      <c r="AJ116" s="2713"/>
      <c r="AK116" s="2713"/>
    </row>
    <row r="117" spans="6:37">
      <c r="F117" s="2713"/>
      <c r="G117" s="2713"/>
      <c r="U117" s="2713"/>
      <c r="V117" s="2713"/>
      <c r="AJ117" s="2713"/>
      <c r="AK117" s="2713"/>
    </row>
    <row r="118" spans="6:37">
      <c r="F118" s="2713"/>
      <c r="G118" s="2713"/>
      <c r="U118" s="2713"/>
      <c r="V118" s="2713"/>
      <c r="AJ118" s="2713"/>
      <c r="AK118" s="2713"/>
    </row>
    <row r="119" spans="6:37">
      <c r="F119" s="2713"/>
      <c r="G119" s="2713"/>
      <c r="U119" s="2713"/>
      <c r="V119" s="2713"/>
      <c r="AJ119" s="2713"/>
      <c r="AK119" s="2713"/>
    </row>
    <row r="120" spans="6:37">
      <c r="F120" s="2713"/>
      <c r="G120" s="2713"/>
      <c r="U120" s="2713"/>
      <c r="V120" s="2713"/>
      <c r="AJ120" s="2713"/>
      <c r="AK120" s="2713"/>
    </row>
    <row r="121" spans="6:37">
      <c r="F121" s="2713"/>
      <c r="G121" s="2713"/>
      <c r="U121" s="2713"/>
      <c r="V121" s="2713"/>
      <c r="AJ121" s="2713"/>
      <c r="AK121" s="2713"/>
    </row>
    <row r="122" spans="6:37">
      <c r="F122" s="2713"/>
      <c r="G122" s="2713"/>
      <c r="U122" s="2713"/>
      <c r="V122" s="2713"/>
      <c r="AJ122" s="2713"/>
      <c r="AK122" s="2713"/>
    </row>
    <row r="123" spans="6:37">
      <c r="F123" s="2713"/>
      <c r="G123" s="2713"/>
      <c r="U123" s="2713"/>
      <c r="V123" s="2713"/>
      <c r="AJ123" s="2713"/>
      <c r="AK123" s="2713"/>
    </row>
    <row r="124" spans="6:37">
      <c r="F124" s="2713"/>
      <c r="G124" s="2713"/>
      <c r="U124" s="2713"/>
      <c r="V124" s="2713"/>
      <c r="AJ124" s="2713"/>
      <c r="AK124" s="2713"/>
    </row>
    <row r="125" spans="6:37">
      <c r="F125" s="2713"/>
      <c r="G125" s="2713"/>
      <c r="U125" s="2713"/>
      <c r="V125" s="2713"/>
      <c r="AJ125" s="2713"/>
      <c r="AK125" s="2713"/>
    </row>
    <row r="126" spans="6:37">
      <c r="F126" s="2713"/>
      <c r="G126" s="2713"/>
      <c r="U126" s="2713"/>
      <c r="V126" s="2713"/>
      <c r="AJ126" s="2713"/>
      <c r="AK126" s="2713"/>
    </row>
    <row r="127" spans="6:37">
      <c r="F127" s="2713"/>
      <c r="G127" s="2713"/>
      <c r="U127" s="2713"/>
      <c r="V127" s="2713"/>
      <c r="AJ127" s="2713"/>
      <c r="AK127" s="2713"/>
    </row>
    <row r="128" spans="6:37">
      <c r="F128" s="2713"/>
      <c r="G128" s="2713"/>
      <c r="U128" s="2713"/>
      <c r="V128" s="2713"/>
      <c r="AJ128" s="2713"/>
      <c r="AK128" s="2713"/>
    </row>
    <row r="129" spans="6:37">
      <c r="F129" s="2713"/>
      <c r="G129" s="2713"/>
      <c r="U129" s="2713"/>
      <c r="V129" s="2713"/>
      <c r="AJ129" s="2713"/>
      <c r="AK129" s="2713"/>
    </row>
    <row r="130" spans="6:37">
      <c r="F130" s="2713"/>
      <c r="G130" s="2713"/>
      <c r="U130" s="2713"/>
      <c r="V130" s="2713"/>
      <c r="AJ130" s="2713"/>
      <c r="AK130" s="2713"/>
    </row>
    <row r="131" spans="6:37">
      <c r="F131" s="2713"/>
      <c r="G131" s="2713"/>
      <c r="U131" s="2713"/>
      <c r="V131" s="2713"/>
      <c r="AJ131" s="2713"/>
      <c r="AK131" s="2713"/>
    </row>
    <row r="132" spans="6:37">
      <c r="F132" s="2713"/>
      <c r="G132" s="2713"/>
      <c r="U132" s="2713"/>
      <c r="V132" s="2713"/>
      <c r="AJ132" s="2713"/>
      <c r="AK132" s="2713"/>
    </row>
    <row r="133" spans="6:37">
      <c r="F133" s="2713"/>
      <c r="G133" s="2713"/>
      <c r="U133" s="2713"/>
      <c r="V133" s="2713"/>
      <c r="AJ133" s="2713"/>
      <c r="AK133" s="2713"/>
    </row>
    <row r="134" spans="6:37">
      <c r="F134" s="2713"/>
      <c r="G134" s="2713"/>
      <c r="U134" s="2713"/>
      <c r="V134" s="2713"/>
      <c r="AJ134" s="2713"/>
      <c r="AK134" s="2713"/>
    </row>
    <row r="135" spans="6:37">
      <c r="F135" s="2713"/>
      <c r="G135" s="2713"/>
      <c r="U135" s="2713"/>
      <c r="V135" s="2713"/>
      <c r="AJ135" s="2713"/>
      <c r="AK135" s="2713"/>
    </row>
    <row r="136" spans="6:37">
      <c r="F136" s="2713"/>
      <c r="G136" s="2713"/>
      <c r="U136" s="2713"/>
      <c r="V136" s="2713"/>
      <c r="AJ136" s="2713"/>
      <c r="AK136" s="2713"/>
    </row>
    <row r="137" spans="6:37">
      <c r="F137" s="2713"/>
      <c r="G137" s="2713"/>
      <c r="U137" s="2713"/>
      <c r="V137" s="2713"/>
      <c r="AJ137" s="2713"/>
      <c r="AK137" s="2713"/>
    </row>
    <row r="138" spans="6:37">
      <c r="F138" s="2713"/>
      <c r="G138" s="2713"/>
      <c r="U138" s="2713"/>
      <c r="V138" s="2713"/>
      <c r="AJ138" s="2713"/>
      <c r="AK138" s="2713"/>
    </row>
    <row r="139" spans="6:37">
      <c r="F139" s="2713"/>
      <c r="G139" s="2713"/>
      <c r="U139" s="2713"/>
      <c r="V139" s="2713"/>
      <c r="AJ139" s="2713"/>
      <c r="AK139" s="2713"/>
    </row>
    <row r="140" spans="6:37">
      <c r="F140" s="2713"/>
      <c r="G140" s="2713"/>
      <c r="U140" s="2713"/>
      <c r="V140" s="2713"/>
      <c r="AJ140" s="2713"/>
      <c r="AK140" s="2713"/>
    </row>
    <row r="141" spans="6:37">
      <c r="F141" s="2713"/>
      <c r="G141" s="2713"/>
      <c r="U141" s="2713"/>
      <c r="V141" s="2713"/>
      <c r="AJ141" s="2713"/>
      <c r="AK141" s="2713"/>
    </row>
    <row r="142" spans="6:37">
      <c r="F142" s="2713"/>
      <c r="G142" s="2713"/>
      <c r="U142" s="2713"/>
      <c r="V142" s="2713"/>
      <c r="AJ142" s="2713"/>
      <c r="AK142" s="2713"/>
    </row>
    <row r="143" spans="6:37">
      <c r="F143" s="2713"/>
      <c r="G143" s="2713"/>
      <c r="U143" s="2713"/>
      <c r="V143" s="2713"/>
      <c r="AJ143" s="2713"/>
      <c r="AK143" s="2713"/>
    </row>
    <row r="144" spans="6:37">
      <c r="F144" s="2713"/>
      <c r="G144" s="2713"/>
      <c r="U144" s="2713"/>
      <c r="V144" s="2713"/>
      <c r="AJ144" s="2713"/>
      <c r="AK144" s="2713"/>
    </row>
    <row r="145" spans="6:37">
      <c r="F145" s="2713"/>
      <c r="G145" s="2713"/>
      <c r="U145" s="2713"/>
      <c r="V145" s="2713"/>
      <c r="AJ145" s="2713"/>
      <c r="AK145" s="2713"/>
    </row>
    <row r="146" spans="6:37">
      <c r="F146" s="2713"/>
      <c r="G146" s="2713"/>
      <c r="U146" s="2713"/>
      <c r="V146" s="2713"/>
      <c r="AJ146" s="2713"/>
      <c r="AK146" s="2713"/>
    </row>
    <row r="147" spans="6:37">
      <c r="F147" s="2713"/>
      <c r="G147" s="2713"/>
      <c r="U147" s="2713"/>
      <c r="V147" s="2713"/>
      <c r="AJ147" s="2713"/>
      <c r="AK147" s="2713"/>
    </row>
    <row r="148" spans="6:37">
      <c r="F148" s="2713"/>
      <c r="G148" s="2713"/>
      <c r="U148" s="2713"/>
      <c r="V148" s="2713"/>
      <c r="AJ148" s="2713"/>
      <c r="AK148" s="2713"/>
    </row>
    <row r="149" spans="6:37">
      <c r="F149" s="2713"/>
      <c r="G149" s="2713"/>
      <c r="U149" s="2713"/>
      <c r="V149" s="2713"/>
      <c r="AJ149" s="2713"/>
      <c r="AK149" s="2713"/>
    </row>
    <row r="150" spans="6:37">
      <c r="F150" s="2713"/>
      <c r="G150" s="2713"/>
      <c r="U150" s="2713"/>
      <c r="V150" s="2713"/>
      <c r="AJ150" s="2713"/>
      <c r="AK150" s="2713"/>
    </row>
    <row r="151" spans="6:37">
      <c r="F151" s="2713"/>
      <c r="G151" s="2713"/>
      <c r="U151" s="2713"/>
      <c r="V151" s="2713"/>
      <c r="AJ151" s="2713"/>
      <c r="AK151" s="2713"/>
    </row>
    <row r="152" spans="6:37">
      <c r="F152" s="2713"/>
      <c r="G152" s="2713"/>
      <c r="U152" s="2713"/>
      <c r="V152" s="2713"/>
      <c r="AJ152" s="2713"/>
      <c r="AK152" s="2713"/>
    </row>
    <row r="153" spans="6:37">
      <c r="F153" s="2713"/>
      <c r="G153" s="2713"/>
      <c r="U153" s="2713"/>
      <c r="V153" s="2713"/>
      <c r="AJ153" s="2713"/>
      <c r="AK153" s="2713"/>
    </row>
    <row r="154" spans="6:37">
      <c r="F154" s="2713"/>
      <c r="G154" s="2713"/>
      <c r="U154" s="2713"/>
      <c r="V154" s="2713"/>
      <c r="AJ154" s="2713"/>
      <c r="AK154" s="2713"/>
    </row>
    <row r="155" spans="6:37">
      <c r="F155" s="2713"/>
      <c r="G155" s="2713"/>
      <c r="U155" s="2713"/>
      <c r="V155" s="2713"/>
      <c r="AJ155" s="2713"/>
      <c r="AK155" s="2713"/>
    </row>
    <row r="156" spans="6:37">
      <c r="F156" s="2713"/>
      <c r="G156" s="2713"/>
      <c r="U156" s="2713"/>
      <c r="V156" s="2713"/>
      <c r="AJ156" s="2713"/>
      <c r="AK156" s="2713"/>
    </row>
    <row r="157" spans="6:37">
      <c r="F157" s="2713"/>
      <c r="G157" s="2713"/>
      <c r="U157" s="2713"/>
      <c r="V157" s="2713"/>
      <c r="AJ157" s="2713"/>
      <c r="AK157" s="2713"/>
    </row>
    <row r="158" spans="6:37">
      <c r="F158" s="2713"/>
      <c r="G158" s="2713"/>
      <c r="U158" s="2713"/>
      <c r="V158" s="2713"/>
      <c r="AJ158" s="2713"/>
      <c r="AK158" s="2713"/>
    </row>
    <row r="159" spans="6:37">
      <c r="F159" s="2713"/>
      <c r="G159" s="2713"/>
      <c r="U159" s="2713"/>
      <c r="V159" s="2713"/>
      <c r="AJ159" s="2713"/>
      <c r="AK159" s="2713"/>
    </row>
    <row r="160" spans="6:37">
      <c r="F160" s="2713"/>
      <c r="G160" s="2713"/>
      <c r="U160" s="2713"/>
      <c r="V160" s="2713"/>
      <c r="AJ160" s="2713"/>
      <c r="AK160" s="2713"/>
    </row>
    <row r="161" spans="6:37">
      <c r="F161" s="2713"/>
      <c r="G161" s="2713"/>
      <c r="U161" s="2713"/>
      <c r="V161" s="2713"/>
      <c r="AJ161" s="2713"/>
      <c r="AK161" s="2713"/>
    </row>
    <row r="162" spans="6:37">
      <c r="F162" s="2713"/>
      <c r="G162" s="2713"/>
      <c r="U162" s="2713"/>
      <c r="V162" s="2713"/>
      <c r="AJ162" s="2713"/>
      <c r="AK162" s="2713"/>
    </row>
    <row r="163" spans="6:37">
      <c r="F163" s="2713"/>
      <c r="G163" s="2713"/>
      <c r="U163" s="2713"/>
      <c r="V163" s="2713"/>
      <c r="AJ163" s="2713"/>
      <c r="AK163" s="2713"/>
    </row>
    <row r="164" spans="6:37">
      <c r="F164" s="2713"/>
      <c r="G164" s="2713"/>
      <c r="U164" s="2713"/>
      <c r="V164" s="2713"/>
      <c r="AJ164" s="2713"/>
      <c r="AK164" s="2713"/>
    </row>
    <row r="165" spans="6:37">
      <c r="F165" s="2713"/>
      <c r="G165" s="2713"/>
      <c r="U165" s="2713"/>
      <c r="V165" s="2713"/>
      <c r="AJ165" s="2713"/>
      <c r="AK165" s="2713"/>
    </row>
    <row r="166" spans="6:37">
      <c r="F166" s="2713"/>
      <c r="G166" s="2713"/>
      <c r="U166" s="2713"/>
      <c r="V166" s="2713"/>
      <c r="AJ166" s="2713"/>
      <c r="AK166" s="2713"/>
    </row>
    <row r="167" spans="6:37">
      <c r="F167" s="2713"/>
      <c r="G167" s="2713"/>
      <c r="U167" s="2713"/>
      <c r="V167" s="2713"/>
      <c r="AJ167" s="2713"/>
      <c r="AK167" s="2713"/>
    </row>
    <row r="168" spans="6:37">
      <c r="F168" s="2713"/>
      <c r="G168" s="2713"/>
      <c r="U168" s="2713"/>
      <c r="V168" s="2713"/>
      <c r="AJ168" s="2713"/>
      <c r="AK168" s="2713"/>
    </row>
    <row r="169" spans="6:37">
      <c r="F169" s="2713"/>
      <c r="G169" s="2713"/>
      <c r="U169" s="2713"/>
      <c r="V169" s="2713"/>
      <c r="AJ169" s="2713"/>
      <c r="AK169" s="2713"/>
    </row>
    <row r="170" spans="6:37">
      <c r="F170" s="2713"/>
      <c r="G170" s="2713"/>
      <c r="U170" s="2713"/>
      <c r="V170" s="2713"/>
      <c r="AJ170" s="2713"/>
      <c r="AK170" s="2713"/>
    </row>
    <row r="171" spans="6:37">
      <c r="F171" s="2713"/>
      <c r="G171" s="2713"/>
      <c r="U171" s="2713"/>
      <c r="V171" s="2713"/>
      <c r="AJ171" s="2713"/>
      <c r="AK171" s="2713"/>
    </row>
    <row r="172" spans="6:37">
      <c r="F172" s="2713"/>
      <c r="G172" s="2713"/>
      <c r="U172" s="2713"/>
      <c r="V172" s="2713"/>
      <c r="AJ172" s="2713"/>
      <c r="AK172" s="2713"/>
    </row>
    <row r="173" spans="6:37">
      <c r="F173" s="2713"/>
      <c r="G173" s="2713"/>
      <c r="U173" s="2713"/>
      <c r="V173" s="2713"/>
      <c r="AJ173" s="2713"/>
      <c r="AK173" s="2713"/>
    </row>
    <row r="174" spans="6:37">
      <c r="F174" s="2713"/>
      <c r="G174" s="2713"/>
      <c r="U174" s="2713"/>
      <c r="V174" s="2713"/>
      <c r="AJ174" s="2713"/>
      <c r="AK174" s="2713"/>
    </row>
    <row r="175" spans="6:37">
      <c r="F175" s="2713"/>
      <c r="G175" s="2713"/>
      <c r="U175" s="2713"/>
      <c r="V175" s="2713"/>
      <c r="AJ175" s="2713"/>
      <c r="AK175" s="2713"/>
    </row>
    <row r="176" spans="6:37">
      <c r="F176" s="2713"/>
      <c r="G176" s="2713"/>
      <c r="U176" s="2713"/>
      <c r="V176" s="2713"/>
      <c r="AJ176" s="2713"/>
      <c r="AK176" s="2713"/>
    </row>
    <row r="177" spans="6:37">
      <c r="F177" s="2713"/>
      <c r="G177" s="2713"/>
      <c r="U177" s="2713"/>
      <c r="V177" s="2713"/>
      <c r="AJ177" s="2713"/>
      <c r="AK177" s="2713"/>
    </row>
    <row r="178" spans="6:37">
      <c r="F178" s="2713"/>
      <c r="G178" s="2713"/>
      <c r="U178" s="2713"/>
      <c r="V178" s="2713"/>
      <c r="AJ178" s="2713"/>
      <c r="AK178" s="2713"/>
    </row>
    <row r="179" spans="6:37">
      <c r="F179" s="2713"/>
      <c r="G179" s="2713"/>
      <c r="U179" s="2713"/>
      <c r="V179" s="2713"/>
      <c r="AJ179" s="2713"/>
      <c r="AK179" s="2713"/>
    </row>
    <row r="180" spans="6:37">
      <c r="F180" s="2713"/>
      <c r="G180" s="2713"/>
      <c r="U180" s="2713"/>
      <c r="V180" s="2713"/>
      <c r="AJ180" s="2713"/>
      <c r="AK180" s="2713"/>
    </row>
    <row r="181" spans="6:37">
      <c r="F181" s="2713"/>
      <c r="G181" s="2713"/>
      <c r="U181" s="2713"/>
      <c r="V181" s="2713"/>
      <c r="AJ181" s="2713"/>
      <c r="AK181" s="2713"/>
    </row>
    <row r="182" spans="6:37">
      <c r="F182" s="2713"/>
      <c r="G182" s="2713"/>
      <c r="U182" s="2713"/>
      <c r="V182" s="2713"/>
      <c r="AJ182" s="2713"/>
      <c r="AK182" s="2713"/>
    </row>
    <row r="183" spans="6:37">
      <c r="F183" s="2713"/>
      <c r="G183" s="2713"/>
      <c r="U183" s="2713"/>
      <c r="V183" s="2713"/>
      <c r="AJ183" s="2713"/>
      <c r="AK183" s="2713"/>
    </row>
    <row r="184" spans="6:37">
      <c r="F184" s="2713"/>
      <c r="G184" s="2713"/>
      <c r="U184" s="2713"/>
      <c r="V184" s="2713"/>
      <c r="AJ184" s="2713"/>
      <c r="AK184" s="2713"/>
    </row>
    <row r="185" spans="6:37">
      <c r="F185" s="2713"/>
      <c r="G185" s="2713"/>
      <c r="U185" s="2713"/>
      <c r="V185" s="2713"/>
      <c r="AJ185" s="2713"/>
      <c r="AK185" s="2713"/>
    </row>
    <row r="186" spans="6:37">
      <c r="F186" s="2713"/>
      <c r="G186" s="2713"/>
      <c r="U186" s="2713"/>
      <c r="V186" s="2713"/>
      <c r="AJ186" s="2713"/>
      <c r="AK186" s="2713"/>
    </row>
    <row r="187" spans="6:37">
      <c r="F187" s="2713"/>
      <c r="G187" s="2713"/>
      <c r="U187" s="2713"/>
      <c r="V187" s="2713"/>
      <c r="AJ187" s="2713"/>
      <c r="AK187" s="2713"/>
    </row>
    <row r="188" spans="6:37">
      <c r="F188" s="2713"/>
      <c r="G188" s="2713"/>
      <c r="U188" s="2713"/>
      <c r="V188" s="2713"/>
      <c r="AJ188" s="2713"/>
      <c r="AK188" s="2713"/>
    </row>
    <row r="189" spans="6:37">
      <c r="F189" s="2713"/>
      <c r="G189" s="2713"/>
      <c r="U189" s="2713"/>
      <c r="V189" s="2713"/>
      <c r="AJ189" s="2713"/>
      <c r="AK189" s="2713"/>
    </row>
    <row r="190" spans="6:37">
      <c r="F190" s="2713"/>
      <c r="G190" s="2713"/>
      <c r="U190" s="2713"/>
      <c r="V190" s="2713"/>
      <c r="AJ190" s="2713"/>
      <c r="AK190" s="2713"/>
    </row>
    <row r="191" spans="6:37">
      <c r="F191" s="2713"/>
      <c r="G191" s="2713"/>
      <c r="U191" s="2713"/>
      <c r="V191" s="2713"/>
      <c r="AJ191" s="2713"/>
      <c r="AK191" s="2713"/>
    </row>
    <row r="192" spans="6:37">
      <c r="F192" s="2713"/>
      <c r="G192" s="2713"/>
      <c r="U192" s="2713"/>
      <c r="V192" s="2713"/>
      <c r="AJ192" s="2713"/>
      <c r="AK192" s="2713"/>
    </row>
    <row r="193" spans="6:37">
      <c r="F193" s="2713"/>
      <c r="G193" s="2713"/>
      <c r="U193" s="2713"/>
      <c r="V193" s="2713"/>
      <c r="AJ193" s="2713"/>
      <c r="AK193" s="2713"/>
    </row>
    <row r="194" spans="6:37">
      <c r="F194" s="2713"/>
      <c r="G194" s="2713"/>
      <c r="U194" s="2713"/>
      <c r="V194" s="2713"/>
      <c r="AJ194" s="2713"/>
      <c r="AK194" s="2713"/>
    </row>
    <row r="195" spans="6:37">
      <c r="F195" s="2713"/>
      <c r="G195" s="2713"/>
      <c r="U195" s="2713"/>
      <c r="V195" s="2713"/>
      <c r="AJ195" s="2713"/>
      <c r="AK195" s="2713"/>
    </row>
    <row r="196" spans="6:37">
      <c r="F196" s="2713"/>
      <c r="G196" s="2713"/>
      <c r="U196" s="2713"/>
      <c r="V196" s="2713"/>
      <c r="AJ196" s="2713"/>
      <c r="AK196" s="2713"/>
    </row>
    <row r="197" spans="6:37">
      <c r="F197" s="2713"/>
      <c r="G197" s="2713"/>
      <c r="U197" s="2713"/>
      <c r="V197" s="2713"/>
      <c r="AJ197" s="2713"/>
      <c r="AK197" s="2713"/>
    </row>
    <row r="198" spans="6:37">
      <c r="F198" s="2713"/>
      <c r="G198" s="2713"/>
      <c r="U198" s="2713"/>
      <c r="V198" s="2713"/>
      <c r="AJ198" s="2713"/>
      <c r="AK198" s="2713"/>
    </row>
    <row r="199" spans="6:37">
      <c r="F199" s="2713"/>
      <c r="G199" s="2713"/>
      <c r="U199" s="2713"/>
      <c r="V199" s="2713"/>
      <c r="AJ199" s="2713"/>
      <c r="AK199" s="2713"/>
    </row>
    <row r="200" spans="6:37">
      <c r="F200" s="2713"/>
      <c r="G200" s="2713"/>
      <c r="U200" s="2713"/>
      <c r="V200" s="2713"/>
      <c r="AJ200" s="2713"/>
      <c r="AK200" s="2713"/>
    </row>
    <row r="201" spans="6:37">
      <c r="F201" s="2713"/>
      <c r="G201" s="2713"/>
      <c r="U201" s="2713"/>
      <c r="V201" s="2713"/>
      <c r="AJ201" s="2713"/>
      <c r="AK201" s="2713"/>
    </row>
    <row r="202" spans="6:37">
      <c r="F202" s="2713"/>
      <c r="G202" s="2713"/>
      <c r="U202" s="2713"/>
      <c r="V202" s="2713"/>
      <c r="AJ202" s="2713"/>
      <c r="AK202" s="2713"/>
    </row>
    <row r="203" spans="6:37">
      <c r="F203" s="2713"/>
      <c r="G203" s="2713"/>
      <c r="U203" s="2713"/>
      <c r="V203" s="2713"/>
      <c r="AJ203" s="2713"/>
      <c r="AK203" s="2713"/>
    </row>
    <row r="204" spans="6:37">
      <c r="F204" s="2713"/>
      <c r="G204" s="2713"/>
      <c r="U204" s="2713"/>
      <c r="V204" s="2713"/>
      <c r="AJ204" s="2713"/>
      <c r="AK204" s="2713"/>
    </row>
    <row r="205" spans="6:37">
      <c r="F205" s="2713"/>
      <c r="G205" s="2713"/>
      <c r="U205" s="2713"/>
      <c r="V205" s="2713"/>
      <c r="AJ205" s="2713"/>
      <c r="AK205" s="2713"/>
    </row>
    <row r="206" spans="6:37">
      <c r="F206" s="2713"/>
      <c r="G206" s="2713"/>
      <c r="U206" s="2713"/>
      <c r="V206" s="2713"/>
      <c r="AJ206" s="2713"/>
      <c r="AK206" s="2713"/>
    </row>
    <row r="207" spans="6:37">
      <c r="F207" s="2713"/>
      <c r="G207" s="2713"/>
      <c r="U207" s="2713"/>
      <c r="V207" s="2713"/>
      <c r="AJ207" s="2713"/>
      <c r="AK207" s="2713"/>
    </row>
    <row r="208" spans="6:37">
      <c r="F208" s="2713"/>
      <c r="G208" s="2713"/>
      <c r="U208" s="2713"/>
      <c r="V208" s="2713"/>
      <c r="AJ208" s="2713"/>
      <c r="AK208" s="2713"/>
    </row>
    <row r="209" spans="6:37">
      <c r="F209" s="2713"/>
      <c r="G209" s="2713"/>
      <c r="U209" s="2713"/>
      <c r="V209" s="2713"/>
      <c r="AJ209" s="2713"/>
      <c r="AK209" s="2713"/>
    </row>
    <row r="210" spans="6:37">
      <c r="F210" s="2713"/>
      <c r="G210" s="2713"/>
      <c r="U210" s="2713"/>
      <c r="V210" s="2713"/>
      <c r="AJ210" s="2713"/>
      <c r="AK210" s="2713"/>
    </row>
    <row r="211" spans="6:37">
      <c r="F211" s="2713"/>
      <c r="G211" s="2713"/>
      <c r="U211" s="2713"/>
      <c r="V211" s="2713"/>
      <c r="AJ211" s="2713"/>
      <c r="AK211" s="2713"/>
    </row>
    <row r="212" spans="6:37">
      <c r="F212" s="2713"/>
      <c r="G212" s="2713"/>
      <c r="U212" s="2713"/>
      <c r="V212" s="2713"/>
      <c r="AJ212" s="2713"/>
      <c r="AK212" s="2713"/>
    </row>
    <row r="213" spans="6:37">
      <c r="F213" s="2713"/>
      <c r="G213" s="2713"/>
      <c r="U213" s="2713"/>
      <c r="V213" s="2713"/>
      <c r="AJ213" s="2713"/>
      <c r="AK213" s="2713"/>
    </row>
    <row r="214" spans="6:37">
      <c r="F214" s="2713"/>
      <c r="G214" s="2713"/>
      <c r="U214" s="2713"/>
      <c r="V214" s="2713"/>
      <c r="AJ214" s="2713"/>
      <c r="AK214" s="2713"/>
    </row>
    <row r="215" spans="6:37">
      <c r="F215" s="2713"/>
      <c r="G215" s="2713"/>
      <c r="U215" s="2713"/>
      <c r="V215" s="2713"/>
      <c r="AJ215" s="2713"/>
      <c r="AK215" s="2713"/>
    </row>
    <row r="216" spans="6:37">
      <c r="F216" s="2713"/>
      <c r="G216" s="2713"/>
      <c r="U216" s="2713"/>
      <c r="V216" s="2713"/>
      <c r="AJ216" s="2713"/>
      <c r="AK216" s="2713"/>
    </row>
    <row r="217" spans="6:37">
      <c r="F217" s="2713"/>
      <c r="G217" s="2713"/>
      <c r="U217" s="2713"/>
      <c r="V217" s="2713"/>
      <c r="AJ217" s="2713"/>
      <c r="AK217" s="2713"/>
    </row>
    <row r="218" spans="6:37">
      <c r="F218" s="2713"/>
      <c r="G218" s="2713"/>
      <c r="U218" s="2713"/>
      <c r="V218" s="2713"/>
      <c r="AJ218" s="2713"/>
      <c r="AK218" s="2713"/>
    </row>
    <row r="219" spans="6:37">
      <c r="F219" s="2713"/>
      <c r="G219" s="2713"/>
      <c r="U219" s="2713"/>
      <c r="V219" s="2713"/>
      <c r="AJ219" s="2713"/>
      <c r="AK219" s="2713"/>
    </row>
    <row r="220" spans="6:37">
      <c r="F220" s="2713"/>
      <c r="G220" s="2713"/>
      <c r="U220" s="2713"/>
      <c r="V220" s="2713"/>
      <c r="AJ220" s="2713"/>
      <c r="AK220" s="2713"/>
    </row>
    <row r="221" spans="6:37">
      <c r="F221" s="2713"/>
      <c r="G221" s="2713"/>
      <c r="U221" s="2713"/>
      <c r="V221" s="2713"/>
      <c r="AJ221" s="2713"/>
      <c r="AK221" s="2713"/>
    </row>
    <row r="222" spans="6:37">
      <c r="F222" s="2713"/>
      <c r="G222" s="2713"/>
      <c r="U222" s="2713"/>
      <c r="V222" s="2713"/>
      <c r="AJ222" s="2713"/>
      <c r="AK222" s="2713"/>
    </row>
    <row r="223" spans="6:37">
      <c r="F223" s="2713"/>
      <c r="G223" s="2713"/>
      <c r="U223" s="2713"/>
      <c r="V223" s="2713"/>
      <c r="AJ223" s="2713"/>
      <c r="AK223" s="2713"/>
    </row>
    <row r="224" spans="6:37">
      <c r="F224" s="2713"/>
      <c r="G224" s="2713"/>
      <c r="U224" s="2713"/>
      <c r="V224" s="2713"/>
      <c r="AJ224" s="2713"/>
      <c r="AK224" s="2713"/>
    </row>
    <row r="225" spans="6:37">
      <c r="F225" s="2713"/>
      <c r="G225" s="2713"/>
      <c r="U225" s="2713"/>
      <c r="V225" s="2713"/>
      <c r="AJ225" s="2713"/>
      <c r="AK225" s="2713"/>
    </row>
    <row r="226" spans="6:37">
      <c r="F226" s="2713"/>
      <c r="G226" s="2713"/>
      <c r="U226" s="2713"/>
      <c r="V226" s="2713"/>
      <c r="AJ226" s="2713"/>
      <c r="AK226" s="2713"/>
    </row>
    <row r="227" spans="6:37">
      <c r="F227" s="2713"/>
      <c r="G227" s="2713"/>
      <c r="U227" s="2713"/>
      <c r="V227" s="2713"/>
      <c r="AJ227" s="2713"/>
      <c r="AK227" s="2713"/>
    </row>
    <row r="228" spans="6:37">
      <c r="F228" s="2713"/>
      <c r="G228" s="2713"/>
      <c r="U228" s="2713"/>
      <c r="V228" s="2713"/>
      <c r="AJ228" s="2713"/>
      <c r="AK228" s="2713"/>
    </row>
    <row r="229" spans="6:37">
      <c r="F229" s="2713"/>
      <c r="G229" s="2713"/>
      <c r="U229" s="2713"/>
      <c r="V229" s="2713"/>
      <c r="AJ229" s="2713"/>
      <c r="AK229" s="2713"/>
    </row>
    <row r="230" spans="6:37">
      <c r="F230" s="2713"/>
      <c r="G230" s="2713"/>
      <c r="U230" s="2713"/>
      <c r="V230" s="2713"/>
      <c r="AJ230" s="2713"/>
      <c r="AK230" s="2713"/>
    </row>
    <row r="231" spans="6:37">
      <c r="F231" s="2713"/>
      <c r="G231" s="2713"/>
      <c r="U231" s="2713"/>
      <c r="V231" s="2713"/>
      <c r="AJ231" s="2713"/>
      <c r="AK231" s="2713"/>
    </row>
    <row r="232" spans="6:37">
      <c r="F232" s="2713"/>
      <c r="G232" s="2713"/>
      <c r="U232" s="2713"/>
      <c r="V232" s="2713"/>
      <c r="AJ232" s="2713"/>
      <c r="AK232" s="2713"/>
    </row>
    <row r="233" spans="6:37">
      <c r="F233" s="2713"/>
      <c r="G233" s="2713"/>
      <c r="U233" s="2713"/>
      <c r="V233" s="2713"/>
      <c r="AJ233" s="2713"/>
      <c r="AK233" s="2713"/>
    </row>
    <row r="234" spans="6:37">
      <c r="F234" s="2713"/>
      <c r="G234" s="2713"/>
      <c r="U234" s="2713"/>
      <c r="V234" s="2713"/>
      <c r="AJ234" s="2713"/>
      <c r="AK234" s="2713"/>
    </row>
    <row r="235" spans="6:37">
      <c r="F235" s="2713"/>
      <c r="G235" s="2713"/>
      <c r="U235" s="2713"/>
      <c r="V235" s="2713"/>
      <c r="AJ235" s="2713"/>
      <c r="AK235" s="2713"/>
    </row>
    <row r="236" spans="6:37">
      <c r="F236" s="2713"/>
      <c r="G236" s="2713"/>
      <c r="U236" s="2713"/>
      <c r="V236" s="2713"/>
      <c r="AJ236" s="2713"/>
      <c r="AK236" s="2713"/>
    </row>
    <row r="237" spans="6:37">
      <c r="F237" s="2713"/>
      <c r="G237" s="2713"/>
      <c r="U237" s="2713"/>
      <c r="V237" s="2713"/>
      <c r="AJ237" s="2713"/>
      <c r="AK237" s="2713"/>
    </row>
    <row r="238" spans="6:37">
      <c r="F238" s="2713"/>
      <c r="G238" s="2713"/>
      <c r="U238" s="2713"/>
      <c r="V238" s="2713"/>
      <c r="AJ238" s="2713"/>
      <c r="AK238" s="2713"/>
    </row>
    <row r="239" spans="6:37">
      <c r="F239" s="2713"/>
      <c r="G239" s="2713"/>
      <c r="U239" s="2713"/>
      <c r="V239" s="2713"/>
      <c r="AJ239" s="2713"/>
      <c r="AK239" s="2713"/>
    </row>
    <row r="240" spans="6:37">
      <c r="F240" s="2713"/>
      <c r="G240" s="2713"/>
      <c r="U240" s="2713"/>
      <c r="V240" s="2713"/>
      <c r="AJ240" s="2713"/>
      <c r="AK240" s="2713"/>
    </row>
    <row r="241" spans="6:37">
      <c r="F241" s="2713"/>
      <c r="G241" s="2713"/>
      <c r="U241" s="2713"/>
      <c r="V241" s="2713"/>
      <c r="AJ241" s="2713"/>
      <c r="AK241" s="2713"/>
    </row>
    <row r="242" spans="6:37">
      <c r="F242" s="2713"/>
      <c r="G242" s="2713"/>
      <c r="U242" s="2713"/>
      <c r="V242" s="2713"/>
      <c r="AJ242" s="2713"/>
      <c r="AK242" s="2713"/>
    </row>
    <row r="243" spans="6:37">
      <c r="F243" s="2713"/>
      <c r="G243" s="2713"/>
      <c r="U243" s="2713"/>
      <c r="V243" s="2713"/>
      <c r="AJ243" s="2713"/>
      <c r="AK243" s="2713"/>
    </row>
    <row r="244" spans="6:37">
      <c r="F244" s="2713"/>
      <c r="G244" s="2713"/>
      <c r="U244" s="2713"/>
      <c r="V244" s="2713"/>
      <c r="AJ244" s="2713"/>
      <c r="AK244" s="2713"/>
    </row>
    <row r="245" spans="6:37">
      <c r="F245" s="2713"/>
      <c r="G245" s="2713"/>
      <c r="U245" s="2713"/>
      <c r="V245" s="2713"/>
      <c r="AJ245" s="2713"/>
      <c r="AK245" s="2713"/>
    </row>
    <row r="246" spans="6:37">
      <c r="F246" s="2713"/>
      <c r="G246" s="2713"/>
      <c r="U246" s="2713"/>
      <c r="V246" s="2713"/>
      <c r="AJ246" s="2713"/>
      <c r="AK246" s="2713"/>
    </row>
    <row r="247" spans="6:37">
      <c r="F247" s="2713"/>
      <c r="G247" s="2713"/>
      <c r="U247" s="2713"/>
      <c r="V247" s="2713"/>
      <c r="AJ247" s="2713"/>
      <c r="AK247" s="2713"/>
    </row>
    <row r="248" spans="6:37">
      <c r="F248" s="2713"/>
      <c r="G248" s="2713"/>
      <c r="U248" s="2713"/>
      <c r="V248" s="2713"/>
      <c r="AJ248" s="2713"/>
      <c r="AK248" s="2713"/>
    </row>
    <row r="249" spans="6:37">
      <c r="F249" s="2713"/>
      <c r="G249" s="2713"/>
      <c r="U249" s="2713"/>
      <c r="V249" s="2713"/>
      <c r="AJ249" s="2713"/>
      <c r="AK249" s="2713"/>
    </row>
    <row r="250" spans="6:37">
      <c r="F250" s="2713"/>
      <c r="G250" s="2713"/>
      <c r="U250" s="2713"/>
      <c r="V250" s="2713"/>
      <c r="AJ250" s="2713"/>
      <c r="AK250" s="2713"/>
    </row>
    <row r="251" spans="6:37">
      <c r="F251" s="2713"/>
      <c r="G251" s="2713"/>
      <c r="U251" s="2713"/>
      <c r="V251" s="2713"/>
      <c r="AJ251" s="2713"/>
      <c r="AK251" s="2713"/>
    </row>
    <row r="252" spans="6:37">
      <c r="F252" s="2713"/>
      <c r="G252" s="2713"/>
      <c r="U252" s="2713"/>
      <c r="V252" s="2713"/>
      <c r="AJ252" s="2713"/>
      <c r="AK252" s="2713"/>
    </row>
    <row r="253" spans="6:37">
      <c r="F253" s="2713"/>
      <c r="G253" s="2713"/>
      <c r="U253" s="2713"/>
      <c r="V253" s="2713"/>
      <c r="AJ253" s="2713"/>
      <c r="AK253" s="2713"/>
    </row>
    <row r="254" spans="6:37">
      <c r="F254" s="2713"/>
      <c r="G254" s="2713"/>
      <c r="U254" s="2713"/>
      <c r="V254" s="2713"/>
      <c r="AJ254" s="2713"/>
      <c r="AK254" s="2713"/>
    </row>
  </sheetData>
  <mergeCells count="1">
    <mergeCell ref="A29:C29"/>
  </mergeCells>
  <printOptions horizontalCentered="1" verticalCentered="1"/>
  <pageMargins left="0.86614173228346458" right="0.35433070866141736" top="0.6692913385826772" bottom="0.78740157480314965" header="0.51181102362204722" footer="0.51181102362204722"/>
  <pageSetup paperSize="9" scale="61" fitToWidth="3" orientation="portrait" r:id="rId1"/>
  <headerFooter alignWithMargins="0">
    <oddFooter>&amp;LC/LAB DATA/TEMPLATE/LAB/SOIL/&amp;F/&amp;A</oddFooter>
  </headerFooter>
  <colBreaks count="1" manualBreakCount="1">
    <brk id="14" min="1" max="69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00C44-6B42-4ABB-A4A5-A0CBABE3AFA2}">
  <sheetPr>
    <tabColor rgb="FFFF0000"/>
  </sheetPr>
  <dimension ref="A2:BA254"/>
  <sheetViews>
    <sheetView showGridLines="0" topLeftCell="A7" zoomScale="85" zoomScaleNormal="85" workbookViewId="0">
      <selection activeCell="V41" sqref="V41"/>
    </sheetView>
  </sheetViews>
  <sheetFormatPr defaultColWidth="6.875" defaultRowHeight="13.5"/>
  <cols>
    <col min="1" max="3" width="6.375" style="2535" customWidth="1"/>
    <col min="4" max="4" width="1.5" style="2535" customWidth="1"/>
    <col min="5" max="10" width="11.125" style="2535" customWidth="1"/>
    <col min="11" max="11" width="1.5" style="2535" customWidth="1"/>
    <col min="12" max="12" width="10.25" style="2535" customWidth="1"/>
    <col min="13" max="14" width="11.125" style="2535" customWidth="1"/>
    <col min="15" max="15" width="1.5" style="2919" customWidth="1"/>
    <col min="16" max="16" width="3.25" style="2535" customWidth="1"/>
    <col min="17" max="18" width="6" style="2535" customWidth="1"/>
    <col min="19" max="19" width="1.5" style="2535" customWidth="1"/>
    <col min="20" max="25" width="11.125" style="2535" customWidth="1"/>
    <col min="26" max="26" width="1.5" style="2535" customWidth="1"/>
    <col min="27" max="27" width="10.25" style="2535" customWidth="1"/>
    <col min="28" max="29" width="11.125" style="2535" customWidth="1"/>
    <col min="30" max="30" width="1.5" style="2920" customWidth="1"/>
    <col min="31" max="31" width="3.25" style="2535" customWidth="1"/>
    <col min="32" max="33" width="6" style="2535" customWidth="1"/>
    <col min="34" max="34" width="1.5" style="2535" customWidth="1"/>
    <col min="35" max="40" width="11.125" style="2535" customWidth="1"/>
    <col min="41" max="41" width="1.5" style="2535" customWidth="1"/>
    <col min="42" max="42" width="10.25" style="2535" customWidth="1"/>
    <col min="43" max="44" width="11.125" style="2535" customWidth="1"/>
    <col min="45" max="45" width="1.5" style="2535" customWidth="1"/>
    <col min="46" max="47" width="6.875" style="2535" customWidth="1"/>
    <col min="48" max="48" width="9.875" style="2535" customWidth="1"/>
    <col min="49" max="50" width="7" style="2535" bestFit="1" customWidth="1"/>
    <col min="51" max="51" width="8.125" style="2535" bestFit="1" customWidth="1"/>
    <col min="52" max="53" width="7.875" style="2535" bestFit="1" customWidth="1"/>
    <col min="54" max="256" width="6.875" style="2535"/>
    <col min="257" max="257" width="3.25" style="2535" customWidth="1"/>
    <col min="258" max="259" width="11.125" style="2535" customWidth="1"/>
    <col min="260" max="260" width="1.5" style="2535" customWidth="1"/>
    <col min="261" max="266" width="11.125" style="2535" customWidth="1"/>
    <col min="267" max="267" width="1.5" style="2535" customWidth="1"/>
    <col min="268" max="268" width="10.25" style="2535" customWidth="1"/>
    <col min="269" max="270" width="11.125" style="2535" customWidth="1"/>
    <col min="271" max="271" width="1.5" style="2535" customWidth="1"/>
    <col min="272" max="272" width="3.25" style="2535" customWidth="1"/>
    <col min="273" max="274" width="11.125" style="2535" customWidth="1"/>
    <col min="275" max="275" width="1.5" style="2535" customWidth="1"/>
    <col min="276" max="281" width="11.125" style="2535" customWidth="1"/>
    <col min="282" max="282" width="1.5" style="2535" customWidth="1"/>
    <col min="283" max="283" width="10.25" style="2535" customWidth="1"/>
    <col min="284" max="285" width="11.125" style="2535" customWidth="1"/>
    <col min="286" max="286" width="1.5" style="2535" customWidth="1"/>
    <col min="287" max="287" width="3.25" style="2535" customWidth="1"/>
    <col min="288" max="289" width="11.125" style="2535" customWidth="1"/>
    <col min="290" max="290" width="1.5" style="2535" customWidth="1"/>
    <col min="291" max="296" width="11.125" style="2535" customWidth="1"/>
    <col min="297" max="297" width="1.5" style="2535" customWidth="1"/>
    <col min="298" max="298" width="10.25" style="2535" customWidth="1"/>
    <col min="299" max="300" width="11.125" style="2535" customWidth="1"/>
    <col min="301" max="301" width="1.5" style="2535" customWidth="1"/>
    <col min="302" max="303" width="6.875" style="2535"/>
    <col min="304" max="304" width="9.875" style="2535" customWidth="1"/>
    <col min="305" max="512" width="6.875" style="2535"/>
    <col min="513" max="513" width="3.25" style="2535" customWidth="1"/>
    <col min="514" max="515" width="11.125" style="2535" customWidth="1"/>
    <col min="516" max="516" width="1.5" style="2535" customWidth="1"/>
    <col min="517" max="522" width="11.125" style="2535" customWidth="1"/>
    <col min="523" max="523" width="1.5" style="2535" customWidth="1"/>
    <col min="524" max="524" width="10.25" style="2535" customWidth="1"/>
    <col min="525" max="526" width="11.125" style="2535" customWidth="1"/>
    <col min="527" max="527" width="1.5" style="2535" customWidth="1"/>
    <col min="528" max="528" width="3.25" style="2535" customWidth="1"/>
    <col min="529" max="530" width="11.125" style="2535" customWidth="1"/>
    <col min="531" max="531" width="1.5" style="2535" customWidth="1"/>
    <col min="532" max="537" width="11.125" style="2535" customWidth="1"/>
    <col min="538" max="538" width="1.5" style="2535" customWidth="1"/>
    <col min="539" max="539" width="10.25" style="2535" customWidth="1"/>
    <col min="540" max="541" width="11.125" style="2535" customWidth="1"/>
    <col min="542" max="542" width="1.5" style="2535" customWidth="1"/>
    <col min="543" max="543" width="3.25" style="2535" customWidth="1"/>
    <col min="544" max="545" width="11.125" style="2535" customWidth="1"/>
    <col min="546" max="546" width="1.5" style="2535" customWidth="1"/>
    <col min="547" max="552" width="11.125" style="2535" customWidth="1"/>
    <col min="553" max="553" width="1.5" style="2535" customWidth="1"/>
    <col min="554" max="554" width="10.25" style="2535" customWidth="1"/>
    <col min="555" max="556" width="11.125" style="2535" customWidth="1"/>
    <col min="557" max="557" width="1.5" style="2535" customWidth="1"/>
    <col min="558" max="559" width="6.875" style="2535"/>
    <col min="560" max="560" width="9.875" style="2535" customWidth="1"/>
    <col min="561" max="768" width="6.875" style="2535"/>
    <col min="769" max="769" width="3.25" style="2535" customWidth="1"/>
    <col min="770" max="771" width="11.125" style="2535" customWidth="1"/>
    <col min="772" max="772" width="1.5" style="2535" customWidth="1"/>
    <col min="773" max="778" width="11.125" style="2535" customWidth="1"/>
    <col min="779" max="779" width="1.5" style="2535" customWidth="1"/>
    <col min="780" max="780" width="10.25" style="2535" customWidth="1"/>
    <col min="781" max="782" width="11.125" style="2535" customWidth="1"/>
    <col min="783" max="783" width="1.5" style="2535" customWidth="1"/>
    <col min="784" max="784" width="3.25" style="2535" customWidth="1"/>
    <col min="785" max="786" width="11.125" style="2535" customWidth="1"/>
    <col min="787" max="787" width="1.5" style="2535" customWidth="1"/>
    <col min="788" max="793" width="11.125" style="2535" customWidth="1"/>
    <col min="794" max="794" width="1.5" style="2535" customWidth="1"/>
    <col min="795" max="795" width="10.25" style="2535" customWidth="1"/>
    <col min="796" max="797" width="11.125" style="2535" customWidth="1"/>
    <col min="798" max="798" width="1.5" style="2535" customWidth="1"/>
    <col min="799" max="799" width="3.25" style="2535" customWidth="1"/>
    <col min="800" max="801" width="11.125" style="2535" customWidth="1"/>
    <col min="802" max="802" width="1.5" style="2535" customWidth="1"/>
    <col min="803" max="808" width="11.125" style="2535" customWidth="1"/>
    <col min="809" max="809" width="1.5" style="2535" customWidth="1"/>
    <col min="810" max="810" width="10.25" style="2535" customWidth="1"/>
    <col min="811" max="812" width="11.125" style="2535" customWidth="1"/>
    <col min="813" max="813" width="1.5" style="2535" customWidth="1"/>
    <col min="814" max="815" width="6.875" style="2535"/>
    <col min="816" max="816" width="9.875" style="2535" customWidth="1"/>
    <col min="817" max="1024" width="6.875" style="2535"/>
    <col min="1025" max="1025" width="3.25" style="2535" customWidth="1"/>
    <col min="1026" max="1027" width="11.125" style="2535" customWidth="1"/>
    <col min="1028" max="1028" width="1.5" style="2535" customWidth="1"/>
    <col min="1029" max="1034" width="11.125" style="2535" customWidth="1"/>
    <col min="1035" max="1035" width="1.5" style="2535" customWidth="1"/>
    <col min="1036" max="1036" width="10.25" style="2535" customWidth="1"/>
    <col min="1037" max="1038" width="11.125" style="2535" customWidth="1"/>
    <col min="1039" max="1039" width="1.5" style="2535" customWidth="1"/>
    <col min="1040" max="1040" width="3.25" style="2535" customWidth="1"/>
    <col min="1041" max="1042" width="11.125" style="2535" customWidth="1"/>
    <col min="1043" max="1043" width="1.5" style="2535" customWidth="1"/>
    <col min="1044" max="1049" width="11.125" style="2535" customWidth="1"/>
    <col min="1050" max="1050" width="1.5" style="2535" customWidth="1"/>
    <col min="1051" max="1051" width="10.25" style="2535" customWidth="1"/>
    <col min="1052" max="1053" width="11.125" style="2535" customWidth="1"/>
    <col min="1054" max="1054" width="1.5" style="2535" customWidth="1"/>
    <col min="1055" max="1055" width="3.25" style="2535" customWidth="1"/>
    <col min="1056" max="1057" width="11.125" style="2535" customWidth="1"/>
    <col min="1058" max="1058" width="1.5" style="2535" customWidth="1"/>
    <col min="1059" max="1064" width="11.125" style="2535" customWidth="1"/>
    <col min="1065" max="1065" width="1.5" style="2535" customWidth="1"/>
    <col min="1066" max="1066" width="10.25" style="2535" customWidth="1"/>
    <col min="1067" max="1068" width="11.125" style="2535" customWidth="1"/>
    <col min="1069" max="1069" width="1.5" style="2535" customWidth="1"/>
    <col min="1070" max="1071" width="6.875" style="2535"/>
    <col min="1072" max="1072" width="9.875" style="2535" customWidth="1"/>
    <col min="1073" max="1280" width="6.875" style="2535"/>
    <col min="1281" max="1281" width="3.25" style="2535" customWidth="1"/>
    <col min="1282" max="1283" width="11.125" style="2535" customWidth="1"/>
    <col min="1284" max="1284" width="1.5" style="2535" customWidth="1"/>
    <col min="1285" max="1290" width="11.125" style="2535" customWidth="1"/>
    <col min="1291" max="1291" width="1.5" style="2535" customWidth="1"/>
    <col min="1292" max="1292" width="10.25" style="2535" customWidth="1"/>
    <col min="1293" max="1294" width="11.125" style="2535" customWidth="1"/>
    <col min="1295" max="1295" width="1.5" style="2535" customWidth="1"/>
    <col min="1296" max="1296" width="3.25" style="2535" customWidth="1"/>
    <col min="1297" max="1298" width="11.125" style="2535" customWidth="1"/>
    <col min="1299" max="1299" width="1.5" style="2535" customWidth="1"/>
    <col min="1300" max="1305" width="11.125" style="2535" customWidth="1"/>
    <col min="1306" max="1306" width="1.5" style="2535" customWidth="1"/>
    <col min="1307" max="1307" width="10.25" style="2535" customWidth="1"/>
    <col min="1308" max="1309" width="11.125" style="2535" customWidth="1"/>
    <col min="1310" max="1310" width="1.5" style="2535" customWidth="1"/>
    <col min="1311" max="1311" width="3.25" style="2535" customWidth="1"/>
    <col min="1312" max="1313" width="11.125" style="2535" customWidth="1"/>
    <col min="1314" max="1314" width="1.5" style="2535" customWidth="1"/>
    <col min="1315" max="1320" width="11.125" style="2535" customWidth="1"/>
    <col min="1321" max="1321" width="1.5" style="2535" customWidth="1"/>
    <col min="1322" max="1322" width="10.25" style="2535" customWidth="1"/>
    <col min="1323" max="1324" width="11.125" style="2535" customWidth="1"/>
    <col min="1325" max="1325" width="1.5" style="2535" customWidth="1"/>
    <col min="1326" max="1327" width="6.875" style="2535"/>
    <col min="1328" max="1328" width="9.875" style="2535" customWidth="1"/>
    <col min="1329" max="1536" width="6.875" style="2535"/>
    <col min="1537" max="1537" width="3.25" style="2535" customWidth="1"/>
    <col min="1538" max="1539" width="11.125" style="2535" customWidth="1"/>
    <col min="1540" max="1540" width="1.5" style="2535" customWidth="1"/>
    <col min="1541" max="1546" width="11.125" style="2535" customWidth="1"/>
    <col min="1547" max="1547" width="1.5" style="2535" customWidth="1"/>
    <col min="1548" max="1548" width="10.25" style="2535" customWidth="1"/>
    <col min="1549" max="1550" width="11.125" style="2535" customWidth="1"/>
    <col min="1551" max="1551" width="1.5" style="2535" customWidth="1"/>
    <col min="1552" max="1552" width="3.25" style="2535" customWidth="1"/>
    <col min="1553" max="1554" width="11.125" style="2535" customWidth="1"/>
    <col min="1555" max="1555" width="1.5" style="2535" customWidth="1"/>
    <col min="1556" max="1561" width="11.125" style="2535" customWidth="1"/>
    <col min="1562" max="1562" width="1.5" style="2535" customWidth="1"/>
    <col min="1563" max="1563" width="10.25" style="2535" customWidth="1"/>
    <col min="1564" max="1565" width="11.125" style="2535" customWidth="1"/>
    <col min="1566" max="1566" width="1.5" style="2535" customWidth="1"/>
    <col min="1567" max="1567" width="3.25" style="2535" customWidth="1"/>
    <col min="1568" max="1569" width="11.125" style="2535" customWidth="1"/>
    <col min="1570" max="1570" width="1.5" style="2535" customWidth="1"/>
    <col min="1571" max="1576" width="11.125" style="2535" customWidth="1"/>
    <col min="1577" max="1577" width="1.5" style="2535" customWidth="1"/>
    <col min="1578" max="1578" width="10.25" style="2535" customWidth="1"/>
    <col min="1579" max="1580" width="11.125" style="2535" customWidth="1"/>
    <col min="1581" max="1581" width="1.5" style="2535" customWidth="1"/>
    <col min="1582" max="1583" width="6.875" style="2535"/>
    <col min="1584" max="1584" width="9.875" style="2535" customWidth="1"/>
    <col min="1585" max="1792" width="6.875" style="2535"/>
    <col min="1793" max="1793" width="3.25" style="2535" customWidth="1"/>
    <col min="1794" max="1795" width="11.125" style="2535" customWidth="1"/>
    <col min="1796" max="1796" width="1.5" style="2535" customWidth="1"/>
    <col min="1797" max="1802" width="11.125" style="2535" customWidth="1"/>
    <col min="1803" max="1803" width="1.5" style="2535" customWidth="1"/>
    <col min="1804" max="1804" width="10.25" style="2535" customWidth="1"/>
    <col min="1805" max="1806" width="11.125" style="2535" customWidth="1"/>
    <col min="1807" max="1807" width="1.5" style="2535" customWidth="1"/>
    <col min="1808" max="1808" width="3.25" style="2535" customWidth="1"/>
    <col min="1809" max="1810" width="11.125" style="2535" customWidth="1"/>
    <col min="1811" max="1811" width="1.5" style="2535" customWidth="1"/>
    <col min="1812" max="1817" width="11.125" style="2535" customWidth="1"/>
    <col min="1818" max="1818" width="1.5" style="2535" customWidth="1"/>
    <col min="1819" max="1819" width="10.25" style="2535" customWidth="1"/>
    <col min="1820" max="1821" width="11.125" style="2535" customWidth="1"/>
    <col min="1822" max="1822" width="1.5" style="2535" customWidth="1"/>
    <col min="1823" max="1823" width="3.25" style="2535" customWidth="1"/>
    <col min="1824" max="1825" width="11.125" style="2535" customWidth="1"/>
    <col min="1826" max="1826" width="1.5" style="2535" customWidth="1"/>
    <col min="1827" max="1832" width="11.125" style="2535" customWidth="1"/>
    <col min="1833" max="1833" width="1.5" style="2535" customWidth="1"/>
    <col min="1834" max="1834" width="10.25" style="2535" customWidth="1"/>
    <col min="1835" max="1836" width="11.125" style="2535" customWidth="1"/>
    <col min="1837" max="1837" width="1.5" style="2535" customWidth="1"/>
    <col min="1838" max="1839" width="6.875" style="2535"/>
    <col min="1840" max="1840" width="9.875" style="2535" customWidth="1"/>
    <col min="1841" max="2048" width="6.875" style="2535"/>
    <col min="2049" max="2049" width="3.25" style="2535" customWidth="1"/>
    <col min="2050" max="2051" width="11.125" style="2535" customWidth="1"/>
    <col min="2052" max="2052" width="1.5" style="2535" customWidth="1"/>
    <col min="2053" max="2058" width="11.125" style="2535" customWidth="1"/>
    <col min="2059" max="2059" width="1.5" style="2535" customWidth="1"/>
    <col min="2060" max="2060" width="10.25" style="2535" customWidth="1"/>
    <col min="2061" max="2062" width="11.125" style="2535" customWidth="1"/>
    <col min="2063" max="2063" width="1.5" style="2535" customWidth="1"/>
    <col min="2064" max="2064" width="3.25" style="2535" customWidth="1"/>
    <col min="2065" max="2066" width="11.125" style="2535" customWidth="1"/>
    <col min="2067" max="2067" width="1.5" style="2535" customWidth="1"/>
    <col min="2068" max="2073" width="11.125" style="2535" customWidth="1"/>
    <col min="2074" max="2074" width="1.5" style="2535" customWidth="1"/>
    <col min="2075" max="2075" width="10.25" style="2535" customWidth="1"/>
    <col min="2076" max="2077" width="11.125" style="2535" customWidth="1"/>
    <col min="2078" max="2078" width="1.5" style="2535" customWidth="1"/>
    <col min="2079" max="2079" width="3.25" style="2535" customWidth="1"/>
    <col min="2080" max="2081" width="11.125" style="2535" customWidth="1"/>
    <col min="2082" max="2082" width="1.5" style="2535" customWidth="1"/>
    <col min="2083" max="2088" width="11.125" style="2535" customWidth="1"/>
    <col min="2089" max="2089" width="1.5" style="2535" customWidth="1"/>
    <col min="2090" max="2090" width="10.25" style="2535" customWidth="1"/>
    <col min="2091" max="2092" width="11.125" style="2535" customWidth="1"/>
    <col min="2093" max="2093" width="1.5" style="2535" customWidth="1"/>
    <col min="2094" max="2095" width="6.875" style="2535"/>
    <col min="2096" max="2096" width="9.875" style="2535" customWidth="1"/>
    <col min="2097" max="2304" width="6.875" style="2535"/>
    <col min="2305" max="2305" width="3.25" style="2535" customWidth="1"/>
    <col min="2306" max="2307" width="11.125" style="2535" customWidth="1"/>
    <col min="2308" max="2308" width="1.5" style="2535" customWidth="1"/>
    <col min="2309" max="2314" width="11.125" style="2535" customWidth="1"/>
    <col min="2315" max="2315" width="1.5" style="2535" customWidth="1"/>
    <col min="2316" max="2316" width="10.25" style="2535" customWidth="1"/>
    <col min="2317" max="2318" width="11.125" style="2535" customWidth="1"/>
    <col min="2319" max="2319" width="1.5" style="2535" customWidth="1"/>
    <col min="2320" max="2320" width="3.25" style="2535" customWidth="1"/>
    <col min="2321" max="2322" width="11.125" style="2535" customWidth="1"/>
    <col min="2323" max="2323" width="1.5" style="2535" customWidth="1"/>
    <col min="2324" max="2329" width="11.125" style="2535" customWidth="1"/>
    <col min="2330" max="2330" width="1.5" style="2535" customWidth="1"/>
    <col min="2331" max="2331" width="10.25" style="2535" customWidth="1"/>
    <col min="2332" max="2333" width="11.125" style="2535" customWidth="1"/>
    <col min="2334" max="2334" width="1.5" style="2535" customWidth="1"/>
    <col min="2335" max="2335" width="3.25" style="2535" customWidth="1"/>
    <col min="2336" max="2337" width="11.125" style="2535" customWidth="1"/>
    <col min="2338" max="2338" width="1.5" style="2535" customWidth="1"/>
    <col min="2339" max="2344" width="11.125" style="2535" customWidth="1"/>
    <col min="2345" max="2345" width="1.5" style="2535" customWidth="1"/>
    <col min="2346" max="2346" width="10.25" style="2535" customWidth="1"/>
    <col min="2347" max="2348" width="11.125" style="2535" customWidth="1"/>
    <col min="2349" max="2349" width="1.5" style="2535" customWidth="1"/>
    <col min="2350" max="2351" width="6.875" style="2535"/>
    <col min="2352" max="2352" width="9.875" style="2535" customWidth="1"/>
    <col min="2353" max="2560" width="6.875" style="2535"/>
    <col min="2561" max="2561" width="3.25" style="2535" customWidth="1"/>
    <col min="2562" max="2563" width="11.125" style="2535" customWidth="1"/>
    <col min="2564" max="2564" width="1.5" style="2535" customWidth="1"/>
    <col min="2565" max="2570" width="11.125" style="2535" customWidth="1"/>
    <col min="2571" max="2571" width="1.5" style="2535" customWidth="1"/>
    <col min="2572" max="2572" width="10.25" style="2535" customWidth="1"/>
    <col min="2573" max="2574" width="11.125" style="2535" customWidth="1"/>
    <col min="2575" max="2575" width="1.5" style="2535" customWidth="1"/>
    <col min="2576" max="2576" width="3.25" style="2535" customWidth="1"/>
    <col min="2577" max="2578" width="11.125" style="2535" customWidth="1"/>
    <col min="2579" max="2579" width="1.5" style="2535" customWidth="1"/>
    <col min="2580" max="2585" width="11.125" style="2535" customWidth="1"/>
    <col min="2586" max="2586" width="1.5" style="2535" customWidth="1"/>
    <col min="2587" max="2587" width="10.25" style="2535" customWidth="1"/>
    <col min="2588" max="2589" width="11.125" style="2535" customWidth="1"/>
    <col min="2590" max="2590" width="1.5" style="2535" customWidth="1"/>
    <col min="2591" max="2591" width="3.25" style="2535" customWidth="1"/>
    <col min="2592" max="2593" width="11.125" style="2535" customWidth="1"/>
    <col min="2594" max="2594" width="1.5" style="2535" customWidth="1"/>
    <col min="2595" max="2600" width="11.125" style="2535" customWidth="1"/>
    <col min="2601" max="2601" width="1.5" style="2535" customWidth="1"/>
    <col min="2602" max="2602" width="10.25" style="2535" customWidth="1"/>
    <col min="2603" max="2604" width="11.125" style="2535" customWidth="1"/>
    <col min="2605" max="2605" width="1.5" style="2535" customWidth="1"/>
    <col min="2606" max="2607" width="6.875" style="2535"/>
    <col min="2608" max="2608" width="9.875" style="2535" customWidth="1"/>
    <col min="2609" max="2816" width="6.875" style="2535"/>
    <col min="2817" max="2817" width="3.25" style="2535" customWidth="1"/>
    <col min="2818" max="2819" width="11.125" style="2535" customWidth="1"/>
    <col min="2820" max="2820" width="1.5" style="2535" customWidth="1"/>
    <col min="2821" max="2826" width="11.125" style="2535" customWidth="1"/>
    <col min="2827" max="2827" width="1.5" style="2535" customWidth="1"/>
    <col min="2828" max="2828" width="10.25" style="2535" customWidth="1"/>
    <col min="2829" max="2830" width="11.125" style="2535" customWidth="1"/>
    <col min="2831" max="2831" width="1.5" style="2535" customWidth="1"/>
    <col min="2832" max="2832" width="3.25" style="2535" customWidth="1"/>
    <col min="2833" max="2834" width="11.125" style="2535" customWidth="1"/>
    <col min="2835" max="2835" width="1.5" style="2535" customWidth="1"/>
    <col min="2836" max="2841" width="11.125" style="2535" customWidth="1"/>
    <col min="2842" max="2842" width="1.5" style="2535" customWidth="1"/>
    <col min="2843" max="2843" width="10.25" style="2535" customWidth="1"/>
    <col min="2844" max="2845" width="11.125" style="2535" customWidth="1"/>
    <col min="2846" max="2846" width="1.5" style="2535" customWidth="1"/>
    <col min="2847" max="2847" width="3.25" style="2535" customWidth="1"/>
    <col min="2848" max="2849" width="11.125" style="2535" customWidth="1"/>
    <col min="2850" max="2850" width="1.5" style="2535" customWidth="1"/>
    <col min="2851" max="2856" width="11.125" style="2535" customWidth="1"/>
    <col min="2857" max="2857" width="1.5" style="2535" customWidth="1"/>
    <col min="2858" max="2858" width="10.25" style="2535" customWidth="1"/>
    <col min="2859" max="2860" width="11.125" style="2535" customWidth="1"/>
    <col min="2861" max="2861" width="1.5" style="2535" customWidth="1"/>
    <col min="2862" max="2863" width="6.875" style="2535"/>
    <col min="2864" max="2864" width="9.875" style="2535" customWidth="1"/>
    <col min="2865" max="3072" width="6.875" style="2535"/>
    <col min="3073" max="3073" width="3.25" style="2535" customWidth="1"/>
    <col min="3074" max="3075" width="11.125" style="2535" customWidth="1"/>
    <col min="3076" max="3076" width="1.5" style="2535" customWidth="1"/>
    <col min="3077" max="3082" width="11.125" style="2535" customWidth="1"/>
    <col min="3083" max="3083" width="1.5" style="2535" customWidth="1"/>
    <col min="3084" max="3084" width="10.25" style="2535" customWidth="1"/>
    <col min="3085" max="3086" width="11.125" style="2535" customWidth="1"/>
    <col min="3087" max="3087" width="1.5" style="2535" customWidth="1"/>
    <col min="3088" max="3088" width="3.25" style="2535" customWidth="1"/>
    <col min="3089" max="3090" width="11.125" style="2535" customWidth="1"/>
    <col min="3091" max="3091" width="1.5" style="2535" customWidth="1"/>
    <col min="3092" max="3097" width="11.125" style="2535" customWidth="1"/>
    <col min="3098" max="3098" width="1.5" style="2535" customWidth="1"/>
    <col min="3099" max="3099" width="10.25" style="2535" customWidth="1"/>
    <col min="3100" max="3101" width="11.125" style="2535" customWidth="1"/>
    <col min="3102" max="3102" width="1.5" style="2535" customWidth="1"/>
    <col min="3103" max="3103" width="3.25" style="2535" customWidth="1"/>
    <col min="3104" max="3105" width="11.125" style="2535" customWidth="1"/>
    <col min="3106" max="3106" width="1.5" style="2535" customWidth="1"/>
    <col min="3107" max="3112" width="11.125" style="2535" customWidth="1"/>
    <col min="3113" max="3113" width="1.5" style="2535" customWidth="1"/>
    <col min="3114" max="3114" width="10.25" style="2535" customWidth="1"/>
    <col min="3115" max="3116" width="11.125" style="2535" customWidth="1"/>
    <col min="3117" max="3117" width="1.5" style="2535" customWidth="1"/>
    <col min="3118" max="3119" width="6.875" style="2535"/>
    <col min="3120" max="3120" width="9.875" style="2535" customWidth="1"/>
    <col min="3121" max="3328" width="6.875" style="2535"/>
    <col min="3329" max="3329" width="3.25" style="2535" customWidth="1"/>
    <col min="3330" max="3331" width="11.125" style="2535" customWidth="1"/>
    <col min="3332" max="3332" width="1.5" style="2535" customWidth="1"/>
    <col min="3333" max="3338" width="11.125" style="2535" customWidth="1"/>
    <col min="3339" max="3339" width="1.5" style="2535" customWidth="1"/>
    <col min="3340" max="3340" width="10.25" style="2535" customWidth="1"/>
    <col min="3341" max="3342" width="11.125" style="2535" customWidth="1"/>
    <col min="3343" max="3343" width="1.5" style="2535" customWidth="1"/>
    <col min="3344" max="3344" width="3.25" style="2535" customWidth="1"/>
    <col min="3345" max="3346" width="11.125" style="2535" customWidth="1"/>
    <col min="3347" max="3347" width="1.5" style="2535" customWidth="1"/>
    <col min="3348" max="3353" width="11.125" style="2535" customWidth="1"/>
    <col min="3354" max="3354" width="1.5" style="2535" customWidth="1"/>
    <col min="3355" max="3355" width="10.25" style="2535" customWidth="1"/>
    <col min="3356" max="3357" width="11.125" style="2535" customWidth="1"/>
    <col min="3358" max="3358" width="1.5" style="2535" customWidth="1"/>
    <col min="3359" max="3359" width="3.25" style="2535" customWidth="1"/>
    <col min="3360" max="3361" width="11.125" style="2535" customWidth="1"/>
    <col min="3362" max="3362" width="1.5" style="2535" customWidth="1"/>
    <col min="3363" max="3368" width="11.125" style="2535" customWidth="1"/>
    <col min="3369" max="3369" width="1.5" style="2535" customWidth="1"/>
    <col min="3370" max="3370" width="10.25" style="2535" customWidth="1"/>
    <col min="3371" max="3372" width="11.125" style="2535" customWidth="1"/>
    <col min="3373" max="3373" width="1.5" style="2535" customWidth="1"/>
    <col min="3374" max="3375" width="6.875" style="2535"/>
    <col min="3376" max="3376" width="9.875" style="2535" customWidth="1"/>
    <col min="3377" max="3584" width="6.875" style="2535"/>
    <col min="3585" max="3585" width="3.25" style="2535" customWidth="1"/>
    <col min="3586" max="3587" width="11.125" style="2535" customWidth="1"/>
    <col min="3588" max="3588" width="1.5" style="2535" customWidth="1"/>
    <col min="3589" max="3594" width="11.125" style="2535" customWidth="1"/>
    <col min="3595" max="3595" width="1.5" style="2535" customWidth="1"/>
    <col min="3596" max="3596" width="10.25" style="2535" customWidth="1"/>
    <col min="3597" max="3598" width="11.125" style="2535" customWidth="1"/>
    <col min="3599" max="3599" width="1.5" style="2535" customWidth="1"/>
    <col min="3600" max="3600" width="3.25" style="2535" customWidth="1"/>
    <col min="3601" max="3602" width="11.125" style="2535" customWidth="1"/>
    <col min="3603" max="3603" width="1.5" style="2535" customWidth="1"/>
    <col min="3604" max="3609" width="11.125" style="2535" customWidth="1"/>
    <col min="3610" max="3610" width="1.5" style="2535" customWidth="1"/>
    <col min="3611" max="3611" width="10.25" style="2535" customWidth="1"/>
    <col min="3612" max="3613" width="11.125" style="2535" customWidth="1"/>
    <col min="3614" max="3614" width="1.5" style="2535" customWidth="1"/>
    <col min="3615" max="3615" width="3.25" style="2535" customWidth="1"/>
    <col min="3616" max="3617" width="11.125" style="2535" customWidth="1"/>
    <col min="3618" max="3618" width="1.5" style="2535" customWidth="1"/>
    <col min="3619" max="3624" width="11.125" style="2535" customWidth="1"/>
    <col min="3625" max="3625" width="1.5" style="2535" customWidth="1"/>
    <col min="3626" max="3626" width="10.25" style="2535" customWidth="1"/>
    <col min="3627" max="3628" width="11.125" style="2535" customWidth="1"/>
    <col min="3629" max="3629" width="1.5" style="2535" customWidth="1"/>
    <col min="3630" max="3631" width="6.875" style="2535"/>
    <col min="3632" max="3632" width="9.875" style="2535" customWidth="1"/>
    <col min="3633" max="3840" width="6.875" style="2535"/>
    <col min="3841" max="3841" width="3.25" style="2535" customWidth="1"/>
    <col min="3842" max="3843" width="11.125" style="2535" customWidth="1"/>
    <col min="3844" max="3844" width="1.5" style="2535" customWidth="1"/>
    <col min="3845" max="3850" width="11.125" style="2535" customWidth="1"/>
    <col min="3851" max="3851" width="1.5" style="2535" customWidth="1"/>
    <col min="3852" max="3852" width="10.25" style="2535" customWidth="1"/>
    <col min="3853" max="3854" width="11.125" style="2535" customWidth="1"/>
    <col min="3855" max="3855" width="1.5" style="2535" customWidth="1"/>
    <col min="3856" max="3856" width="3.25" style="2535" customWidth="1"/>
    <col min="3857" max="3858" width="11.125" style="2535" customWidth="1"/>
    <col min="3859" max="3859" width="1.5" style="2535" customWidth="1"/>
    <col min="3860" max="3865" width="11.125" style="2535" customWidth="1"/>
    <col min="3866" max="3866" width="1.5" style="2535" customWidth="1"/>
    <col min="3867" max="3867" width="10.25" style="2535" customWidth="1"/>
    <col min="3868" max="3869" width="11.125" style="2535" customWidth="1"/>
    <col min="3870" max="3870" width="1.5" style="2535" customWidth="1"/>
    <col min="3871" max="3871" width="3.25" style="2535" customWidth="1"/>
    <col min="3872" max="3873" width="11.125" style="2535" customWidth="1"/>
    <col min="3874" max="3874" width="1.5" style="2535" customWidth="1"/>
    <col min="3875" max="3880" width="11.125" style="2535" customWidth="1"/>
    <col min="3881" max="3881" width="1.5" style="2535" customWidth="1"/>
    <col min="3882" max="3882" width="10.25" style="2535" customWidth="1"/>
    <col min="3883" max="3884" width="11.125" style="2535" customWidth="1"/>
    <col min="3885" max="3885" width="1.5" style="2535" customWidth="1"/>
    <col min="3886" max="3887" width="6.875" style="2535"/>
    <col min="3888" max="3888" width="9.875" style="2535" customWidth="1"/>
    <col min="3889" max="4096" width="6.875" style="2535"/>
    <col min="4097" max="4097" width="3.25" style="2535" customWidth="1"/>
    <col min="4098" max="4099" width="11.125" style="2535" customWidth="1"/>
    <col min="4100" max="4100" width="1.5" style="2535" customWidth="1"/>
    <col min="4101" max="4106" width="11.125" style="2535" customWidth="1"/>
    <col min="4107" max="4107" width="1.5" style="2535" customWidth="1"/>
    <col min="4108" max="4108" width="10.25" style="2535" customWidth="1"/>
    <col min="4109" max="4110" width="11.125" style="2535" customWidth="1"/>
    <col min="4111" max="4111" width="1.5" style="2535" customWidth="1"/>
    <col min="4112" max="4112" width="3.25" style="2535" customWidth="1"/>
    <col min="4113" max="4114" width="11.125" style="2535" customWidth="1"/>
    <col min="4115" max="4115" width="1.5" style="2535" customWidth="1"/>
    <col min="4116" max="4121" width="11.125" style="2535" customWidth="1"/>
    <col min="4122" max="4122" width="1.5" style="2535" customWidth="1"/>
    <col min="4123" max="4123" width="10.25" style="2535" customWidth="1"/>
    <col min="4124" max="4125" width="11.125" style="2535" customWidth="1"/>
    <col min="4126" max="4126" width="1.5" style="2535" customWidth="1"/>
    <col min="4127" max="4127" width="3.25" style="2535" customWidth="1"/>
    <col min="4128" max="4129" width="11.125" style="2535" customWidth="1"/>
    <col min="4130" max="4130" width="1.5" style="2535" customWidth="1"/>
    <col min="4131" max="4136" width="11.125" style="2535" customWidth="1"/>
    <col min="4137" max="4137" width="1.5" style="2535" customWidth="1"/>
    <col min="4138" max="4138" width="10.25" style="2535" customWidth="1"/>
    <col min="4139" max="4140" width="11.125" style="2535" customWidth="1"/>
    <col min="4141" max="4141" width="1.5" style="2535" customWidth="1"/>
    <col min="4142" max="4143" width="6.875" style="2535"/>
    <col min="4144" max="4144" width="9.875" style="2535" customWidth="1"/>
    <col min="4145" max="4352" width="6.875" style="2535"/>
    <col min="4353" max="4353" width="3.25" style="2535" customWidth="1"/>
    <col min="4354" max="4355" width="11.125" style="2535" customWidth="1"/>
    <col min="4356" max="4356" width="1.5" style="2535" customWidth="1"/>
    <col min="4357" max="4362" width="11.125" style="2535" customWidth="1"/>
    <col min="4363" max="4363" width="1.5" style="2535" customWidth="1"/>
    <col min="4364" max="4364" width="10.25" style="2535" customWidth="1"/>
    <col min="4365" max="4366" width="11.125" style="2535" customWidth="1"/>
    <col min="4367" max="4367" width="1.5" style="2535" customWidth="1"/>
    <col min="4368" max="4368" width="3.25" style="2535" customWidth="1"/>
    <col min="4369" max="4370" width="11.125" style="2535" customWidth="1"/>
    <col min="4371" max="4371" width="1.5" style="2535" customWidth="1"/>
    <col min="4372" max="4377" width="11.125" style="2535" customWidth="1"/>
    <col min="4378" max="4378" width="1.5" style="2535" customWidth="1"/>
    <col min="4379" max="4379" width="10.25" style="2535" customWidth="1"/>
    <col min="4380" max="4381" width="11.125" style="2535" customWidth="1"/>
    <col min="4382" max="4382" width="1.5" style="2535" customWidth="1"/>
    <col min="4383" max="4383" width="3.25" style="2535" customWidth="1"/>
    <col min="4384" max="4385" width="11.125" style="2535" customWidth="1"/>
    <col min="4386" max="4386" width="1.5" style="2535" customWidth="1"/>
    <col min="4387" max="4392" width="11.125" style="2535" customWidth="1"/>
    <col min="4393" max="4393" width="1.5" style="2535" customWidth="1"/>
    <col min="4394" max="4394" width="10.25" style="2535" customWidth="1"/>
    <col min="4395" max="4396" width="11.125" style="2535" customWidth="1"/>
    <col min="4397" max="4397" width="1.5" style="2535" customWidth="1"/>
    <col min="4398" max="4399" width="6.875" style="2535"/>
    <col min="4400" max="4400" width="9.875" style="2535" customWidth="1"/>
    <col min="4401" max="4608" width="6.875" style="2535"/>
    <col min="4609" max="4609" width="3.25" style="2535" customWidth="1"/>
    <col min="4610" max="4611" width="11.125" style="2535" customWidth="1"/>
    <col min="4612" max="4612" width="1.5" style="2535" customWidth="1"/>
    <col min="4613" max="4618" width="11.125" style="2535" customWidth="1"/>
    <col min="4619" max="4619" width="1.5" style="2535" customWidth="1"/>
    <col min="4620" max="4620" width="10.25" style="2535" customWidth="1"/>
    <col min="4621" max="4622" width="11.125" style="2535" customWidth="1"/>
    <col min="4623" max="4623" width="1.5" style="2535" customWidth="1"/>
    <col min="4624" max="4624" width="3.25" style="2535" customWidth="1"/>
    <col min="4625" max="4626" width="11.125" style="2535" customWidth="1"/>
    <col min="4627" max="4627" width="1.5" style="2535" customWidth="1"/>
    <col min="4628" max="4633" width="11.125" style="2535" customWidth="1"/>
    <col min="4634" max="4634" width="1.5" style="2535" customWidth="1"/>
    <col min="4635" max="4635" width="10.25" style="2535" customWidth="1"/>
    <col min="4636" max="4637" width="11.125" style="2535" customWidth="1"/>
    <col min="4638" max="4638" width="1.5" style="2535" customWidth="1"/>
    <col min="4639" max="4639" width="3.25" style="2535" customWidth="1"/>
    <col min="4640" max="4641" width="11.125" style="2535" customWidth="1"/>
    <col min="4642" max="4642" width="1.5" style="2535" customWidth="1"/>
    <col min="4643" max="4648" width="11.125" style="2535" customWidth="1"/>
    <col min="4649" max="4649" width="1.5" style="2535" customWidth="1"/>
    <col min="4650" max="4650" width="10.25" style="2535" customWidth="1"/>
    <col min="4651" max="4652" width="11.125" style="2535" customWidth="1"/>
    <col min="4653" max="4653" width="1.5" style="2535" customWidth="1"/>
    <col min="4654" max="4655" width="6.875" style="2535"/>
    <col min="4656" max="4656" width="9.875" style="2535" customWidth="1"/>
    <col min="4657" max="4864" width="6.875" style="2535"/>
    <col min="4865" max="4865" width="3.25" style="2535" customWidth="1"/>
    <col min="4866" max="4867" width="11.125" style="2535" customWidth="1"/>
    <col min="4868" max="4868" width="1.5" style="2535" customWidth="1"/>
    <col min="4869" max="4874" width="11.125" style="2535" customWidth="1"/>
    <col min="4875" max="4875" width="1.5" style="2535" customWidth="1"/>
    <col min="4876" max="4876" width="10.25" style="2535" customWidth="1"/>
    <col min="4877" max="4878" width="11.125" style="2535" customWidth="1"/>
    <col min="4879" max="4879" width="1.5" style="2535" customWidth="1"/>
    <col min="4880" max="4880" width="3.25" style="2535" customWidth="1"/>
    <col min="4881" max="4882" width="11.125" style="2535" customWidth="1"/>
    <col min="4883" max="4883" width="1.5" style="2535" customWidth="1"/>
    <col min="4884" max="4889" width="11.125" style="2535" customWidth="1"/>
    <col min="4890" max="4890" width="1.5" style="2535" customWidth="1"/>
    <col min="4891" max="4891" width="10.25" style="2535" customWidth="1"/>
    <col min="4892" max="4893" width="11.125" style="2535" customWidth="1"/>
    <col min="4894" max="4894" width="1.5" style="2535" customWidth="1"/>
    <col min="4895" max="4895" width="3.25" style="2535" customWidth="1"/>
    <col min="4896" max="4897" width="11.125" style="2535" customWidth="1"/>
    <col min="4898" max="4898" width="1.5" style="2535" customWidth="1"/>
    <col min="4899" max="4904" width="11.125" style="2535" customWidth="1"/>
    <col min="4905" max="4905" width="1.5" style="2535" customWidth="1"/>
    <col min="4906" max="4906" width="10.25" style="2535" customWidth="1"/>
    <col min="4907" max="4908" width="11.125" style="2535" customWidth="1"/>
    <col min="4909" max="4909" width="1.5" style="2535" customWidth="1"/>
    <col min="4910" max="4911" width="6.875" style="2535"/>
    <col min="4912" max="4912" width="9.875" style="2535" customWidth="1"/>
    <col min="4913" max="5120" width="6.875" style="2535"/>
    <col min="5121" max="5121" width="3.25" style="2535" customWidth="1"/>
    <col min="5122" max="5123" width="11.125" style="2535" customWidth="1"/>
    <col min="5124" max="5124" width="1.5" style="2535" customWidth="1"/>
    <col min="5125" max="5130" width="11.125" style="2535" customWidth="1"/>
    <col min="5131" max="5131" width="1.5" style="2535" customWidth="1"/>
    <col min="5132" max="5132" width="10.25" style="2535" customWidth="1"/>
    <col min="5133" max="5134" width="11.125" style="2535" customWidth="1"/>
    <col min="5135" max="5135" width="1.5" style="2535" customWidth="1"/>
    <col min="5136" max="5136" width="3.25" style="2535" customWidth="1"/>
    <col min="5137" max="5138" width="11.125" style="2535" customWidth="1"/>
    <col min="5139" max="5139" width="1.5" style="2535" customWidth="1"/>
    <col min="5140" max="5145" width="11.125" style="2535" customWidth="1"/>
    <col min="5146" max="5146" width="1.5" style="2535" customWidth="1"/>
    <col min="5147" max="5147" width="10.25" style="2535" customWidth="1"/>
    <col min="5148" max="5149" width="11.125" style="2535" customWidth="1"/>
    <col min="5150" max="5150" width="1.5" style="2535" customWidth="1"/>
    <col min="5151" max="5151" width="3.25" style="2535" customWidth="1"/>
    <col min="5152" max="5153" width="11.125" style="2535" customWidth="1"/>
    <col min="5154" max="5154" width="1.5" style="2535" customWidth="1"/>
    <col min="5155" max="5160" width="11.125" style="2535" customWidth="1"/>
    <col min="5161" max="5161" width="1.5" style="2535" customWidth="1"/>
    <col min="5162" max="5162" width="10.25" style="2535" customWidth="1"/>
    <col min="5163" max="5164" width="11.125" style="2535" customWidth="1"/>
    <col min="5165" max="5165" width="1.5" style="2535" customWidth="1"/>
    <col min="5166" max="5167" width="6.875" style="2535"/>
    <col min="5168" max="5168" width="9.875" style="2535" customWidth="1"/>
    <col min="5169" max="5376" width="6.875" style="2535"/>
    <col min="5377" max="5377" width="3.25" style="2535" customWidth="1"/>
    <col min="5378" max="5379" width="11.125" style="2535" customWidth="1"/>
    <col min="5380" max="5380" width="1.5" style="2535" customWidth="1"/>
    <col min="5381" max="5386" width="11.125" style="2535" customWidth="1"/>
    <col min="5387" max="5387" width="1.5" style="2535" customWidth="1"/>
    <col min="5388" max="5388" width="10.25" style="2535" customWidth="1"/>
    <col min="5389" max="5390" width="11.125" style="2535" customWidth="1"/>
    <col min="5391" max="5391" width="1.5" style="2535" customWidth="1"/>
    <col min="5392" max="5392" width="3.25" style="2535" customWidth="1"/>
    <col min="5393" max="5394" width="11.125" style="2535" customWidth="1"/>
    <col min="5395" max="5395" width="1.5" style="2535" customWidth="1"/>
    <col min="5396" max="5401" width="11.125" style="2535" customWidth="1"/>
    <col min="5402" max="5402" width="1.5" style="2535" customWidth="1"/>
    <col min="5403" max="5403" width="10.25" style="2535" customWidth="1"/>
    <col min="5404" max="5405" width="11.125" style="2535" customWidth="1"/>
    <col min="5406" max="5406" width="1.5" style="2535" customWidth="1"/>
    <col min="5407" max="5407" width="3.25" style="2535" customWidth="1"/>
    <col min="5408" max="5409" width="11.125" style="2535" customWidth="1"/>
    <col min="5410" max="5410" width="1.5" style="2535" customWidth="1"/>
    <col min="5411" max="5416" width="11.125" style="2535" customWidth="1"/>
    <col min="5417" max="5417" width="1.5" style="2535" customWidth="1"/>
    <col min="5418" max="5418" width="10.25" style="2535" customWidth="1"/>
    <col min="5419" max="5420" width="11.125" style="2535" customWidth="1"/>
    <col min="5421" max="5421" width="1.5" style="2535" customWidth="1"/>
    <col min="5422" max="5423" width="6.875" style="2535"/>
    <col min="5424" max="5424" width="9.875" style="2535" customWidth="1"/>
    <col min="5425" max="5632" width="6.875" style="2535"/>
    <col min="5633" max="5633" width="3.25" style="2535" customWidth="1"/>
    <col min="5634" max="5635" width="11.125" style="2535" customWidth="1"/>
    <col min="5636" max="5636" width="1.5" style="2535" customWidth="1"/>
    <col min="5637" max="5642" width="11.125" style="2535" customWidth="1"/>
    <col min="5643" max="5643" width="1.5" style="2535" customWidth="1"/>
    <col min="5644" max="5644" width="10.25" style="2535" customWidth="1"/>
    <col min="5645" max="5646" width="11.125" style="2535" customWidth="1"/>
    <col min="5647" max="5647" width="1.5" style="2535" customWidth="1"/>
    <col min="5648" max="5648" width="3.25" style="2535" customWidth="1"/>
    <col min="5649" max="5650" width="11.125" style="2535" customWidth="1"/>
    <col min="5651" max="5651" width="1.5" style="2535" customWidth="1"/>
    <col min="5652" max="5657" width="11.125" style="2535" customWidth="1"/>
    <col min="5658" max="5658" width="1.5" style="2535" customWidth="1"/>
    <col min="5659" max="5659" width="10.25" style="2535" customWidth="1"/>
    <col min="5660" max="5661" width="11.125" style="2535" customWidth="1"/>
    <col min="5662" max="5662" width="1.5" style="2535" customWidth="1"/>
    <col min="5663" max="5663" width="3.25" style="2535" customWidth="1"/>
    <col min="5664" max="5665" width="11.125" style="2535" customWidth="1"/>
    <col min="5666" max="5666" width="1.5" style="2535" customWidth="1"/>
    <col min="5667" max="5672" width="11.125" style="2535" customWidth="1"/>
    <col min="5673" max="5673" width="1.5" style="2535" customWidth="1"/>
    <col min="5674" max="5674" width="10.25" style="2535" customWidth="1"/>
    <col min="5675" max="5676" width="11.125" style="2535" customWidth="1"/>
    <col min="5677" max="5677" width="1.5" style="2535" customWidth="1"/>
    <col min="5678" max="5679" width="6.875" style="2535"/>
    <col min="5680" max="5680" width="9.875" style="2535" customWidth="1"/>
    <col min="5681" max="5888" width="6.875" style="2535"/>
    <col min="5889" max="5889" width="3.25" style="2535" customWidth="1"/>
    <col min="5890" max="5891" width="11.125" style="2535" customWidth="1"/>
    <col min="5892" max="5892" width="1.5" style="2535" customWidth="1"/>
    <col min="5893" max="5898" width="11.125" style="2535" customWidth="1"/>
    <col min="5899" max="5899" width="1.5" style="2535" customWidth="1"/>
    <col min="5900" max="5900" width="10.25" style="2535" customWidth="1"/>
    <col min="5901" max="5902" width="11.125" style="2535" customWidth="1"/>
    <col min="5903" max="5903" width="1.5" style="2535" customWidth="1"/>
    <col min="5904" max="5904" width="3.25" style="2535" customWidth="1"/>
    <col min="5905" max="5906" width="11.125" style="2535" customWidth="1"/>
    <col min="5907" max="5907" width="1.5" style="2535" customWidth="1"/>
    <col min="5908" max="5913" width="11.125" style="2535" customWidth="1"/>
    <col min="5914" max="5914" width="1.5" style="2535" customWidth="1"/>
    <col min="5915" max="5915" width="10.25" style="2535" customWidth="1"/>
    <col min="5916" max="5917" width="11.125" style="2535" customWidth="1"/>
    <col min="5918" max="5918" width="1.5" style="2535" customWidth="1"/>
    <col min="5919" max="5919" width="3.25" style="2535" customWidth="1"/>
    <col min="5920" max="5921" width="11.125" style="2535" customWidth="1"/>
    <col min="5922" max="5922" width="1.5" style="2535" customWidth="1"/>
    <col min="5923" max="5928" width="11.125" style="2535" customWidth="1"/>
    <col min="5929" max="5929" width="1.5" style="2535" customWidth="1"/>
    <col min="5930" max="5930" width="10.25" style="2535" customWidth="1"/>
    <col min="5931" max="5932" width="11.125" style="2535" customWidth="1"/>
    <col min="5933" max="5933" width="1.5" style="2535" customWidth="1"/>
    <col min="5934" max="5935" width="6.875" style="2535"/>
    <col min="5936" max="5936" width="9.875" style="2535" customWidth="1"/>
    <col min="5937" max="6144" width="6.875" style="2535"/>
    <col min="6145" max="6145" width="3.25" style="2535" customWidth="1"/>
    <col min="6146" max="6147" width="11.125" style="2535" customWidth="1"/>
    <col min="6148" max="6148" width="1.5" style="2535" customWidth="1"/>
    <col min="6149" max="6154" width="11.125" style="2535" customWidth="1"/>
    <col min="6155" max="6155" width="1.5" style="2535" customWidth="1"/>
    <col min="6156" max="6156" width="10.25" style="2535" customWidth="1"/>
    <col min="6157" max="6158" width="11.125" style="2535" customWidth="1"/>
    <col min="6159" max="6159" width="1.5" style="2535" customWidth="1"/>
    <col min="6160" max="6160" width="3.25" style="2535" customWidth="1"/>
    <col min="6161" max="6162" width="11.125" style="2535" customWidth="1"/>
    <col min="6163" max="6163" width="1.5" style="2535" customWidth="1"/>
    <col min="6164" max="6169" width="11.125" style="2535" customWidth="1"/>
    <col min="6170" max="6170" width="1.5" style="2535" customWidth="1"/>
    <col min="6171" max="6171" width="10.25" style="2535" customWidth="1"/>
    <col min="6172" max="6173" width="11.125" style="2535" customWidth="1"/>
    <col min="6174" max="6174" width="1.5" style="2535" customWidth="1"/>
    <col min="6175" max="6175" width="3.25" style="2535" customWidth="1"/>
    <col min="6176" max="6177" width="11.125" style="2535" customWidth="1"/>
    <col min="6178" max="6178" width="1.5" style="2535" customWidth="1"/>
    <col min="6179" max="6184" width="11.125" style="2535" customWidth="1"/>
    <col min="6185" max="6185" width="1.5" style="2535" customWidth="1"/>
    <col min="6186" max="6186" width="10.25" style="2535" customWidth="1"/>
    <col min="6187" max="6188" width="11.125" style="2535" customWidth="1"/>
    <col min="6189" max="6189" width="1.5" style="2535" customWidth="1"/>
    <col min="6190" max="6191" width="6.875" style="2535"/>
    <col min="6192" max="6192" width="9.875" style="2535" customWidth="1"/>
    <col min="6193" max="6400" width="6.875" style="2535"/>
    <col min="6401" max="6401" width="3.25" style="2535" customWidth="1"/>
    <col min="6402" max="6403" width="11.125" style="2535" customWidth="1"/>
    <col min="6404" max="6404" width="1.5" style="2535" customWidth="1"/>
    <col min="6405" max="6410" width="11.125" style="2535" customWidth="1"/>
    <col min="6411" max="6411" width="1.5" style="2535" customWidth="1"/>
    <col min="6412" max="6412" width="10.25" style="2535" customWidth="1"/>
    <col min="6413" max="6414" width="11.125" style="2535" customWidth="1"/>
    <col min="6415" max="6415" width="1.5" style="2535" customWidth="1"/>
    <col min="6416" max="6416" width="3.25" style="2535" customWidth="1"/>
    <col min="6417" max="6418" width="11.125" style="2535" customWidth="1"/>
    <col min="6419" max="6419" width="1.5" style="2535" customWidth="1"/>
    <col min="6420" max="6425" width="11.125" style="2535" customWidth="1"/>
    <col min="6426" max="6426" width="1.5" style="2535" customWidth="1"/>
    <col min="6427" max="6427" width="10.25" style="2535" customWidth="1"/>
    <col min="6428" max="6429" width="11.125" style="2535" customWidth="1"/>
    <col min="6430" max="6430" width="1.5" style="2535" customWidth="1"/>
    <col min="6431" max="6431" width="3.25" style="2535" customWidth="1"/>
    <col min="6432" max="6433" width="11.125" style="2535" customWidth="1"/>
    <col min="6434" max="6434" width="1.5" style="2535" customWidth="1"/>
    <col min="6435" max="6440" width="11.125" style="2535" customWidth="1"/>
    <col min="6441" max="6441" width="1.5" style="2535" customWidth="1"/>
    <col min="6442" max="6442" width="10.25" style="2535" customWidth="1"/>
    <col min="6443" max="6444" width="11.125" style="2535" customWidth="1"/>
    <col min="6445" max="6445" width="1.5" style="2535" customWidth="1"/>
    <col min="6446" max="6447" width="6.875" style="2535"/>
    <col min="6448" max="6448" width="9.875" style="2535" customWidth="1"/>
    <col min="6449" max="6656" width="6.875" style="2535"/>
    <col min="6657" max="6657" width="3.25" style="2535" customWidth="1"/>
    <col min="6658" max="6659" width="11.125" style="2535" customWidth="1"/>
    <col min="6660" max="6660" width="1.5" style="2535" customWidth="1"/>
    <col min="6661" max="6666" width="11.125" style="2535" customWidth="1"/>
    <col min="6667" max="6667" width="1.5" style="2535" customWidth="1"/>
    <col min="6668" max="6668" width="10.25" style="2535" customWidth="1"/>
    <col min="6669" max="6670" width="11.125" style="2535" customWidth="1"/>
    <col min="6671" max="6671" width="1.5" style="2535" customWidth="1"/>
    <col min="6672" max="6672" width="3.25" style="2535" customWidth="1"/>
    <col min="6673" max="6674" width="11.125" style="2535" customWidth="1"/>
    <col min="6675" max="6675" width="1.5" style="2535" customWidth="1"/>
    <col min="6676" max="6681" width="11.125" style="2535" customWidth="1"/>
    <col min="6682" max="6682" width="1.5" style="2535" customWidth="1"/>
    <col min="6683" max="6683" width="10.25" style="2535" customWidth="1"/>
    <col min="6684" max="6685" width="11.125" style="2535" customWidth="1"/>
    <col min="6686" max="6686" width="1.5" style="2535" customWidth="1"/>
    <col min="6687" max="6687" width="3.25" style="2535" customWidth="1"/>
    <col min="6688" max="6689" width="11.125" style="2535" customWidth="1"/>
    <col min="6690" max="6690" width="1.5" style="2535" customWidth="1"/>
    <col min="6691" max="6696" width="11.125" style="2535" customWidth="1"/>
    <col min="6697" max="6697" width="1.5" style="2535" customWidth="1"/>
    <col min="6698" max="6698" width="10.25" style="2535" customWidth="1"/>
    <col min="6699" max="6700" width="11.125" style="2535" customWidth="1"/>
    <col min="6701" max="6701" width="1.5" style="2535" customWidth="1"/>
    <col min="6702" max="6703" width="6.875" style="2535"/>
    <col min="6704" max="6704" width="9.875" style="2535" customWidth="1"/>
    <col min="6705" max="6912" width="6.875" style="2535"/>
    <col min="6913" max="6913" width="3.25" style="2535" customWidth="1"/>
    <col min="6914" max="6915" width="11.125" style="2535" customWidth="1"/>
    <col min="6916" max="6916" width="1.5" style="2535" customWidth="1"/>
    <col min="6917" max="6922" width="11.125" style="2535" customWidth="1"/>
    <col min="6923" max="6923" width="1.5" style="2535" customWidth="1"/>
    <col min="6924" max="6924" width="10.25" style="2535" customWidth="1"/>
    <col min="6925" max="6926" width="11.125" style="2535" customWidth="1"/>
    <col min="6927" max="6927" width="1.5" style="2535" customWidth="1"/>
    <col min="6928" max="6928" width="3.25" style="2535" customWidth="1"/>
    <col min="6929" max="6930" width="11.125" style="2535" customWidth="1"/>
    <col min="6931" max="6931" width="1.5" style="2535" customWidth="1"/>
    <col min="6932" max="6937" width="11.125" style="2535" customWidth="1"/>
    <col min="6938" max="6938" width="1.5" style="2535" customWidth="1"/>
    <col min="6939" max="6939" width="10.25" style="2535" customWidth="1"/>
    <col min="6940" max="6941" width="11.125" style="2535" customWidth="1"/>
    <col min="6942" max="6942" width="1.5" style="2535" customWidth="1"/>
    <col min="6943" max="6943" width="3.25" style="2535" customWidth="1"/>
    <col min="6944" max="6945" width="11.125" style="2535" customWidth="1"/>
    <col min="6946" max="6946" width="1.5" style="2535" customWidth="1"/>
    <col min="6947" max="6952" width="11.125" style="2535" customWidth="1"/>
    <col min="6953" max="6953" width="1.5" style="2535" customWidth="1"/>
    <col min="6954" max="6954" width="10.25" style="2535" customWidth="1"/>
    <col min="6955" max="6956" width="11.125" style="2535" customWidth="1"/>
    <col min="6957" max="6957" width="1.5" style="2535" customWidth="1"/>
    <col min="6958" max="6959" width="6.875" style="2535"/>
    <col min="6960" max="6960" width="9.875" style="2535" customWidth="1"/>
    <col min="6961" max="7168" width="6.875" style="2535"/>
    <col min="7169" max="7169" width="3.25" style="2535" customWidth="1"/>
    <col min="7170" max="7171" width="11.125" style="2535" customWidth="1"/>
    <col min="7172" max="7172" width="1.5" style="2535" customWidth="1"/>
    <col min="7173" max="7178" width="11.125" style="2535" customWidth="1"/>
    <col min="7179" max="7179" width="1.5" style="2535" customWidth="1"/>
    <col min="7180" max="7180" width="10.25" style="2535" customWidth="1"/>
    <col min="7181" max="7182" width="11.125" style="2535" customWidth="1"/>
    <col min="7183" max="7183" width="1.5" style="2535" customWidth="1"/>
    <col min="7184" max="7184" width="3.25" style="2535" customWidth="1"/>
    <col min="7185" max="7186" width="11.125" style="2535" customWidth="1"/>
    <col min="7187" max="7187" width="1.5" style="2535" customWidth="1"/>
    <col min="7188" max="7193" width="11.125" style="2535" customWidth="1"/>
    <col min="7194" max="7194" width="1.5" style="2535" customWidth="1"/>
    <col min="7195" max="7195" width="10.25" style="2535" customWidth="1"/>
    <col min="7196" max="7197" width="11.125" style="2535" customWidth="1"/>
    <col min="7198" max="7198" width="1.5" style="2535" customWidth="1"/>
    <col min="7199" max="7199" width="3.25" style="2535" customWidth="1"/>
    <col min="7200" max="7201" width="11.125" style="2535" customWidth="1"/>
    <col min="7202" max="7202" width="1.5" style="2535" customWidth="1"/>
    <col min="7203" max="7208" width="11.125" style="2535" customWidth="1"/>
    <col min="7209" max="7209" width="1.5" style="2535" customWidth="1"/>
    <col min="7210" max="7210" width="10.25" style="2535" customWidth="1"/>
    <col min="7211" max="7212" width="11.125" style="2535" customWidth="1"/>
    <col min="7213" max="7213" width="1.5" style="2535" customWidth="1"/>
    <col min="7214" max="7215" width="6.875" style="2535"/>
    <col min="7216" max="7216" width="9.875" style="2535" customWidth="1"/>
    <col min="7217" max="7424" width="6.875" style="2535"/>
    <col min="7425" max="7425" width="3.25" style="2535" customWidth="1"/>
    <col min="7426" max="7427" width="11.125" style="2535" customWidth="1"/>
    <col min="7428" max="7428" width="1.5" style="2535" customWidth="1"/>
    <col min="7429" max="7434" width="11.125" style="2535" customWidth="1"/>
    <col min="7435" max="7435" width="1.5" style="2535" customWidth="1"/>
    <col min="7436" max="7436" width="10.25" style="2535" customWidth="1"/>
    <col min="7437" max="7438" width="11.125" style="2535" customWidth="1"/>
    <col min="7439" max="7439" width="1.5" style="2535" customWidth="1"/>
    <col min="7440" max="7440" width="3.25" style="2535" customWidth="1"/>
    <col min="7441" max="7442" width="11.125" style="2535" customWidth="1"/>
    <col min="7443" max="7443" width="1.5" style="2535" customWidth="1"/>
    <col min="7444" max="7449" width="11.125" style="2535" customWidth="1"/>
    <col min="7450" max="7450" width="1.5" style="2535" customWidth="1"/>
    <col min="7451" max="7451" width="10.25" style="2535" customWidth="1"/>
    <col min="7452" max="7453" width="11.125" style="2535" customWidth="1"/>
    <col min="7454" max="7454" width="1.5" style="2535" customWidth="1"/>
    <col min="7455" max="7455" width="3.25" style="2535" customWidth="1"/>
    <col min="7456" max="7457" width="11.125" style="2535" customWidth="1"/>
    <col min="7458" max="7458" width="1.5" style="2535" customWidth="1"/>
    <col min="7459" max="7464" width="11.125" style="2535" customWidth="1"/>
    <col min="7465" max="7465" width="1.5" style="2535" customWidth="1"/>
    <col min="7466" max="7466" width="10.25" style="2535" customWidth="1"/>
    <col min="7467" max="7468" width="11.125" style="2535" customWidth="1"/>
    <col min="7469" max="7469" width="1.5" style="2535" customWidth="1"/>
    <col min="7470" max="7471" width="6.875" style="2535"/>
    <col min="7472" max="7472" width="9.875" style="2535" customWidth="1"/>
    <col min="7473" max="7680" width="6.875" style="2535"/>
    <col min="7681" max="7681" width="3.25" style="2535" customWidth="1"/>
    <col min="7682" max="7683" width="11.125" style="2535" customWidth="1"/>
    <col min="7684" max="7684" width="1.5" style="2535" customWidth="1"/>
    <col min="7685" max="7690" width="11.125" style="2535" customWidth="1"/>
    <col min="7691" max="7691" width="1.5" style="2535" customWidth="1"/>
    <col min="7692" max="7692" width="10.25" style="2535" customWidth="1"/>
    <col min="7693" max="7694" width="11.125" style="2535" customWidth="1"/>
    <col min="7695" max="7695" width="1.5" style="2535" customWidth="1"/>
    <col min="7696" max="7696" width="3.25" style="2535" customWidth="1"/>
    <col min="7697" max="7698" width="11.125" style="2535" customWidth="1"/>
    <col min="7699" max="7699" width="1.5" style="2535" customWidth="1"/>
    <col min="7700" max="7705" width="11.125" style="2535" customWidth="1"/>
    <col min="7706" max="7706" width="1.5" style="2535" customWidth="1"/>
    <col min="7707" max="7707" width="10.25" style="2535" customWidth="1"/>
    <col min="7708" max="7709" width="11.125" style="2535" customWidth="1"/>
    <col min="7710" max="7710" width="1.5" style="2535" customWidth="1"/>
    <col min="7711" max="7711" width="3.25" style="2535" customWidth="1"/>
    <col min="7712" max="7713" width="11.125" style="2535" customWidth="1"/>
    <col min="7714" max="7714" width="1.5" style="2535" customWidth="1"/>
    <col min="7715" max="7720" width="11.125" style="2535" customWidth="1"/>
    <col min="7721" max="7721" width="1.5" style="2535" customWidth="1"/>
    <col min="7722" max="7722" width="10.25" style="2535" customWidth="1"/>
    <col min="7723" max="7724" width="11.125" style="2535" customWidth="1"/>
    <col min="7725" max="7725" width="1.5" style="2535" customWidth="1"/>
    <col min="7726" max="7727" width="6.875" style="2535"/>
    <col min="7728" max="7728" width="9.875" style="2535" customWidth="1"/>
    <col min="7729" max="7936" width="6.875" style="2535"/>
    <col min="7937" max="7937" width="3.25" style="2535" customWidth="1"/>
    <col min="7938" max="7939" width="11.125" style="2535" customWidth="1"/>
    <col min="7940" max="7940" width="1.5" style="2535" customWidth="1"/>
    <col min="7941" max="7946" width="11.125" style="2535" customWidth="1"/>
    <col min="7947" max="7947" width="1.5" style="2535" customWidth="1"/>
    <col min="7948" max="7948" width="10.25" style="2535" customWidth="1"/>
    <col min="7949" max="7950" width="11.125" style="2535" customWidth="1"/>
    <col min="7951" max="7951" width="1.5" style="2535" customWidth="1"/>
    <col min="7952" max="7952" width="3.25" style="2535" customWidth="1"/>
    <col min="7953" max="7954" width="11.125" style="2535" customWidth="1"/>
    <col min="7955" max="7955" width="1.5" style="2535" customWidth="1"/>
    <col min="7956" max="7961" width="11.125" style="2535" customWidth="1"/>
    <col min="7962" max="7962" width="1.5" style="2535" customWidth="1"/>
    <col min="7963" max="7963" width="10.25" style="2535" customWidth="1"/>
    <col min="7964" max="7965" width="11.125" style="2535" customWidth="1"/>
    <col min="7966" max="7966" width="1.5" style="2535" customWidth="1"/>
    <col min="7967" max="7967" width="3.25" style="2535" customWidth="1"/>
    <col min="7968" max="7969" width="11.125" style="2535" customWidth="1"/>
    <col min="7970" max="7970" width="1.5" style="2535" customWidth="1"/>
    <col min="7971" max="7976" width="11.125" style="2535" customWidth="1"/>
    <col min="7977" max="7977" width="1.5" style="2535" customWidth="1"/>
    <col min="7978" max="7978" width="10.25" style="2535" customWidth="1"/>
    <col min="7979" max="7980" width="11.125" style="2535" customWidth="1"/>
    <col min="7981" max="7981" width="1.5" style="2535" customWidth="1"/>
    <col min="7982" max="7983" width="6.875" style="2535"/>
    <col min="7984" max="7984" width="9.875" style="2535" customWidth="1"/>
    <col min="7985" max="8192" width="6.875" style="2535"/>
    <col min="8193" max="8193" width="3.25" style="2535" customWidth="1"/>
    <col min="8194" max="8195" width="11.125" style="2535" customWidth="1"/>
    <col min="8196" max="8196" width="1.5" style="2535" customWidth="1"/>
    <col min="8197" max="8202" width="11.125" style="2535" customWidth="1"/>
    <col min="8203" max="8203" width="1.5" style="2535" customWidth="1"/>
    <col min="8204" max="8204" width="10.25" style="2535" customWidth="1"/>
    <col min="8205" max="8206" width="11.125" style="2535" customWidth="1"/>
    <col min="8207" max="8207" width="1.5" style="2535" customWidth="1"/>
    <col min="8208" max="8208" width="3.25" style="2535" customWidth="1"/>
    <col min="8209" max="8210" width="11.125" style="2535" customWidth="1"/>
    <col min="8211" max="8211" width="1.5" style="2535" customWidth="1"/>
    <col min="8212" max="8217" width="11.125" style="2535" customWidth="1"/>
    <col min="8218" max="8218" width="1.5" style="2535" customWidth="1"/>
    <col min="8219" max="8219" width="10.25" style="2535" customWidth="1"/>
    <col min="8220" max="8221" width="11.125" style="2535" customWidth="1"/>
    <col min="8222" max="8222" width="1.5" style="2535" customWidth="1"/>
    <col min="8223" max="8223" width="3.25" style="2535" customWidth="1"/>
    <col min="8224" max="8225" width="11.125" style="2535" customWidth="1"/>
    <col min="8226" max="8226" width="1.5" style="2535" customWidth="1"/>
    <col min="8227" max="8232" width="11.125" style="2535" customWidth="1"/>
    <col min="8233" max="8233" width="1.5" style="2535" customWidth="1"/>
    <col min="8234" max="8234" width="10.25" style="2535" customWidth="1"/>
    <col min="8235" max="8236" width="11.125" style="2535" customWidth="1"/>
    <col min="8237" max="8237" width="1.5" style="2535" customWidth="1"/>
    <col min="8238" max="8239" width="6.875" style="2535"/>
    <col min="8240" max="8240" width="9.875" style="2535" customWidth="1"/>
    <col min="8241" max="8448" width="6.875" style="2535"/>
    <col min="8449" max="8449" width="3.25" style="2535" customWidth="1"/>
    <col min="8450" max="8451" width="11.125" style="2535" customWidth="1"/>
    <col min="8452" max="8452" width="1.5" style="2535" customWidth="1"/>
    <col min="8453" max="8458" width="11.125" style="2535" customWidth="1"/>
    <col min="8459" max="8459" width="1.5" style="2535" customWidth="1"/>
    <col min="8460" max="8460" width="10.25" style="2535" customWidth="1"/>
    <col min="8461" max="8462" width="11.125" style="2535" customWidth="1"/>
    <col min="8463" max="8463" width="1.5" style="2535" customWidth="1"/>
    <col min="8464" max="8464" width="3.25" style="2535" customWidth="1"/>
    <col min="8465" max="8466" width="11.125" style="2535" customWidth="1"/>
    <col min="8467" max="8467" width="1.5" style="2535" customWidth="1"/>
    <col min="8468" max="8473" width="11.125" style="2535" customWidth="1"/>
    <col min="8474" max="8474" width="1.5" style="2535" customWidth="1"/>
    <col min="8475" max="8475" width="10.25" style="2535" customWidth="1"/>
    <col min="8476" max="8477" width="11.125" style="2535" customWidth="1"/>
    <col min="8478" max="8478" width="1.5" style="2535" customWidth="1"/>
    <col min="8479" max="8479" width="3.25" style="2535" customWidth="1"/>
    <col min="8480" max="8481" width="11.125" style="2535" customWidth="1"/>
    <col min="8482" max="8482" width="1.5" style="2535" customWidth="1"/>
    <col min="8483" max="8488" width="11.125" style="2535" customWidth="1"/>
    <col min="8489" max="8489" width="1.5" style="2535" customWidth="1"/>
    <col min="8490" max="8490" width="10.25" style="2535" customWidth="1"/>
    <col min="8491" max="8492" width="11.125" style="2535" customWidth="1"/>
    <col min="8493" max="8493" width="1.5" style="2535" customWidth="1"/>
    <col min="8494" max="8495" width="6.875" style="2535"/>
    <col min="8496" max="8496" width="9.875" style="2535" customWidth="1"/>
    <col min="8497" max="8704" width="6.875" style="2535"/>
    <col min="8705" max="8705" width="3.25" style="2535" customWidth="1"/>
    <col min="8706" max="8707" width="11.125" style="2535" customWidth="1"/>
    <col min="8708" max="8708" width="1.5" style="2535" customWidth="1"/>
    <col min="8709" max="8714" width="11.125" style="2535" customWidth="1"/>
    <col min="8715" max="8715" width="1.5" style="2535" customWidth="1"/>
    <col min="8716" max="8716" width="10.25" style="2535" customWidth="1"/>
    <col min="8717" max="8718" width="11.125" style="2535" customWidth="1"/>
    <col min="8719" max="8719" width="1.5" style="2535" customWidth="1"/>
    <col min="8720" max="8720" width="3.25" style="2535" customWidth="1"/>
    <col min="8721" max="8722" width="11.125" style="2535" customWidth="1"/>
    <col min="8723" max="8723" width="1.5" style="2535" customWidth="1"/>
    <col min="8724" max="8729" width="11.125" style="2535" customWidth="1"/>
    <col min="8730" max="8730" width="1.5" style="2535" customWidth="1"/>
    <col min="8731" max="8731" width="10.25" style="2535" customWidth="1"/>
    <col min="8732" max="8733" width="11.125" style="2535" customWidth="1"/>
    <col min="8734" max="8734" width="1.5" style="2535" customWidth="1"/>
    <col min="8735" max="8735" width="3.25" style="2535" customWidth="1"/>
    <col min="8736" max="8737" width="11.125" style="2535" customWidth="1"/>
    <col min="8738" max="8738" width="1.5" style="2535" customWidth="1"/>
    <col min="8739" max="8744" width="11.125" style="2535" customWidth="1"/>
    <col min="8745" max="8745" width="1.5" style="2535" customWidth="1"/>
    <col min="8746" max="8746" width="10.25" style="2535" customWidth="1"/>
    <col min="8747" max="8748" width="11.125" style="2535" customWidth="1"/>
    <col min="8749" max="8749" width="1.5" style="2535" customWidth="1"/>
    <col min="8750" max="8751" width="6.875" style="2535"/>
    <col min="8752" max="8752" width="9.875" style="2535" customWidth="1"/>
    <col min="8753" max="8960" width="6.875" style="2535"/>
    <col min="8961" max="8961" width="3.25" style="2535" customWidth="1"/>
    <col min="8962" max="8963" width="11.125" style="2535" customWidth="1"/>
    <col min="8964" max="8964" width="1.5" style="2535" customWidth="1"/>
    <col min="8965" max="8970" width="11.125" style="2535" customWidth="1"/>
    <col min="8971" max="8971" width="1.5" style="2535" customWidth="1"/>
    <col min="8972" max="8972" width="10.25" style="2535" customWidth="1"/>
    <col min="8973" max="8974" width="11.125" style="2535" customWidth="1"/>
    <col min="8975" max="8975" width="1.5" style="2535" customWidth="1"/>
    <col min="8976" max="8976" width="3.25" style="2535" customWidth="1"/>
    <col min="8977" max="8978" width="11.125" style="2535" customWidth="1"/>
    <col min="8979" max="8979" width="1.5" style="2535" customWidth="1"/>
    <col min="8980" max="8985" width="11.125" style="2535" customWidth="1"/>
    <col min="8986" max="8986" width="1.5" style="2535" customWidth="1"/>
    <col min="8987" max="8987" width="10.25" style="2535" customWidth="1"/>
    <col min="8988" max="8989" width="11.125" style="2535" customWidth="1"/>
    <col min="8990" max="8990" width="1.5" style="2535" customWidth="1"/>
    <col min="8991" max="8991" width="3.25" style="2535" customWidth="1"/>
    <col min="8992" max="8993" width="11.125" style="2535" customWidth="1"/>
    <col min="8994" max="8994" width="1.5" style="2535" customWidth="1"/>
    <col min="8995" max="9000" width="11.125" style="2535" customWidth="1"/>
    <col min="9001" max="9001" width="1.5" style="2535" customWidth="1"/>
    <col min="9002" max="9002" width="10.25" style="2535" customWidth="1"/>
    <col min="9003" max="9004" width="11.125" style="2535" customWidth="1"/>
    <col min="9005" max="9005" width="1.5" style="2535" customWidth="1"/>
    <col min="9006" max="9007" width="6.875" style="2535"/>
    <col min="9008" max="9008" width="9.875" style="2535" customWidth="1"/>
    <col min="9009" max="9216" width="6.875" style="2535"/>
    <col min="9217" max="9217" width="3.25" style="2535" customWidth="1"/>
    <col min="9218" max="9219" width="11.125" style="2535" customWidth="1"/>
    <col min="9220" max="9220" width="1.5" style="2535" customWidth="1"/>
    <col min="9221" max="9226" width="11.125" style="2535" customWidth="1"/>
    <col min="9227" max="9227" width="1.5" style="2535" customWidth="1"/>
    <col min="9228" max="9228" width="10.25" style="2535" customWidth="1"/>
    <col min="9229" max="9230" width="11.125" style="2535" customWidth="1"/>
    <col min="9231" max="9231" width="1.5" style="2535" customWidth="1"/>
    <col min="9232" max="9232" width="3.25" style="2535" customWidth="1"/>
    <col min="9233" max="9234" width="11.125" style="2535" customWidth="1"/>
    <col min="9235" max="9235" width="1.5" style="2535" customWidth="1"/>
    <col min="9236" max="9241" width="11.125" style="2535" customWidth="1"/>
    <col min="9242" max="9242" width="1.5" style="2535" customWidth="1"/>
    <col min="9243" max="9243" width="10.25" style="2535" customWidth="1"/>
    <col min="9244" max="9245" width="11.125" style="2535" customWidth="1"/>
    <col min="9246" max="9246" width="1.5" style="2535" customWidth="1"/>
    <col min="9247" max="9247" width="3.25" style="2535" customWidth="1"/>
    <col min="9248" max="9249" width="11.125" style="2535" customWidth="1"/>
    <col min="9250" max="9250" width="1.5" style="2535" customWidth="1"/>
    <col min="9251" max="9256" width="11.125" style="2535" customWidth="1"/>
    <col min="9257" max="9257" width="1.5" style="2535" customWidth="1"/>
    <col min="9258" max="9258" width="10.25" style="2535" customWidth="1"/>
    <col min="9259" max="9260" width="11.125" style="2535" customWidth="1"/>
    <col min="9261" max="9261" width="1.5" style="2535" customWidth="1"/>
    <col min="9262" max="9263" width="6.875" style="2535"/>
    <col min="9264" max="9264" width="9.875" style="2535" customWidth="1"/>
    <col min="9265" max="9472" width="6.875" style="2535"/>
    <col min="9473" max="9473" width="3.25" style="2535" customWidth="1"/>
    <col min="9474" max="9475" width="11.125" style="2535" customWidth="1"/>
    <col min="9476" max="9476" width="1.5" style="2535" customWidth="1"/>
    <col min="9477" max="9482" width="11.125" style="2535" customWidth="1"/>
    <col min="9483" max="9483" width="1.5" style="2535" customWidth="1"/>
    <col min="9484" max="9484" width="10.25" style="2535" customWidth="1"/>
    <col min="9485" max="9486" width="11.125" style="2535" customWidth="1"/>
    <col min="9487" max="9487" width="1.5" style="2535" customWidth="1"/>
    <col min="9488" max="9488" width="3.25" style="2535" customWidth="1"/>
    <col min="9489" max="9490" width="11.125" style="2535" customWidth="1"/>
    <col min="9491" max="9491" width="1.5" style="2535" customWidth="1"/>
    <col min="9492" max="9497" width="11.125" style="2535" customWidth="1"/>
    <col min="9498" max="9498" width="1.5" style="2535" customWidth="1"/>
    <col min="9499" max="9499" width="10.25" style="2535" customWidth="1"/>
    <col min="9500" max="9501" width="11.125" style="2535" customWidth="1"/>
    <col min="9502" max="9502" width="1.5" style="2535" customWidth="1"/>
    <col min="9503" max="9503" width="3.25" style="2535" customWidth="1"/>
    <col min="9504" max="9505" width="11.125" style="2535" customWidth="1"/>
    <col min="9506" max="9506" width="1.5" style="2535" customWidth="1"/>
    <col min="9507" max="9512" width="11.125" style="2535" customWidth="1"/>
    <col min="9513" max="9513" width="1.5" style="2535" customWidth="1"/>
    <col min="9514" max="9514" width="10.25" style="2535" customWidth="1"/>
    <col min="9515" max="9516" width="11.125" style="2535" customWidth="1"/>
    <col min="9517" max="9517" width="1.5" style="2535" customWidth="1"/>
    <col min="9518" max="9519" width="6.875" style="2535"/>
    <col min="9520" max="9520" width="9.875" style="2535" customWidth="1"/>
    <col min="9521" max="9728" width="6.875" style="2535"/>
    <col min="9729" max="9729" width="3.25" style="2535" customWidth="1"/>
    <col min="9730" max="9731" width="11.125" style="2535" customWidth="1"/>
    <col min="9732" max="9732" width="1.5" style="2535" customWidth="1"/>
    <col min="9733" max="9738" width="11.125" style="2535" customWidth="1"/>
    <col min="9739" max="9739" width="1.5" style="2535" customWidth="1"/>
    <col min="9740" max="9740" width="10.25" style="2535" customWidth="1"/>
    <col min="9741" max="9742" width="11.125" style="2535" customWidth="1"/>
    <col min="9743" max="9743" width="1.5" style="2535" customWidth="1"/>
    <col min="9744" max="9744" width="3.25" style="2535" customWidth="1"/>
    <col min="9745" max="9746" width="11.125" style="2535" customWidth="1"/>
    <col min="9747" max="9747" width="1.5" style="2535" customWidth="1"/>
    <col min="9748" max="9753" width="11.125" style="2535" customWidth="1"/>
    <col min="9754" max="9754" width="1.5" style="2535" customWidth="1"/>
    <col min="9755" max="9755" width="10.25" style="2535" customWidth="1"/>
    <col min="9756" max="9757" width="11.125" style="2535" customWidth="1"/>
    <col min="9758" max="9758" width="1.5" style="2535" customWidth="1"/>
    <col min="9759" max="9759" width="3.25" style="2535" customWidth="1"/>
    <col min="9760" max="9761" width="11.125" style="2535" customWidth="1"/>
    <col min="9762" max="9762" width="1.5" style="2535" customWidth="1"/>
    <col min="9763" max="9768" width="11.125" style="2535" customWidth="1"/>
    <col min="9769" max="9769" width="1.5" style="2535" customWidth="1"/>
    <col min="9770" max="9770" width="10.25" style="2535" customWidth="1"/>
    <col min="9771" max="9772" width="11.125" style="2535" customWidth="1"/>
    <col min="9773" max="9773" width="1.5" style="2535" customWidth="1"/>
    <col min="9774" max="9775" width="6.875" style="2535"/>
    <col min="9776" max="9776" width="9.875" style="2535" customWidth="1"/>
    <col min="9777" max="9984" width="6.875" style="2535"/>
    <col min="9985" max="9985" width="3.25" style="2535" customWidth="1"/>
    <col min="9986" max="9987" width="11.125" style="2535" customWidth="1"/>
    <col min="9988" max="9988" width="1.5" style="2535" customWidth="1"/>
    <col min="9989" max="9994" width="11.125" style="2535" customWidth="1"/>
    <col min="9995" max="9995" width="1.5" style="2535" customWidth="1"/>
    <col min="9996" max="9996" width="10.25" style="2535" customWidth="1"/>
    <col min="9997" max="9998" width="11.125" style="2535" customWidth="1"/>
    <col min="9999" max="9999" width="1.5" style="2535" customWidth="1"/>
    <col min="10000" max="10000" width="3.25" style="2535" customWidth="1"/>
    <col min="10001" max="10002" width="11.125" style="2535" customWidth="1"/>
    <col min="10003" max="10003" width="1.5" style="2535" customWidth="1"/>
    <col min="10004" max="10009" width="11.125" style="2535" customWidth="1"/>
    <col min="10010" max="10010" width="1.5" style="2535" customWidth="1"/>
    <col min="10011" max="10011" width="10.25" style="2535" customWidth="1"/>
    <col min="10012" max="10013" width="11.125" style="2535" customWidth="1"/>
    <col min="10014" max="10014" width="1.5" style="2535" customWidth="1"/>
    <col min="10015" max="10015" width="3.25" style="2535" customWidth="1"/>
    <col min="10016" max="10017" width="11.125" style="2535" customWidth="1"/>
    <col min="10018" max="10018" width="1.5" style="2535" customWidth="1"/>
    <col min="10019" max="10024" width="11.125" style="2535" customWidth="1"/>
    <col min="10025" max="10025" width="1.5" style="2535" customWidth="1"/>
    <col min="10026" max="10026" width="10.25" style="2535" customWidth="1"/>
    <col min="10027" max="10028" width="11.125" style="2535" customWidth="1"/>
    <col min="10029" max="10029" width="1.5" style="2535" customWidth="1"/>
    <col min="10030" max="10031" width="6.875" style="2535"/>
    <col min="10032" max="10032" width="9.875" style="2535" customWidth="1"/>
    <col min="10033" max="10240" width="6.875" style="2535"/>
    <col min="10241" max="10241" width="3.25" style="2535" customWidth="1"/>
    <col min="10242" max="10243" width="11.125" style="2535" customWidth="1"/>
    <col min="10244" max="10244" width="1.5" style="2535" customWidth="1"/>
    <col min="10245" max="10250" width="11.125" style="2535" customWidth="1"/>
    <col min="10251" max="10251" width="1.5" style="2535" customWidth="1"/>
    <col min="10252" max="10252" width="10.25" style="2535" customWidth="1"/>
    <col min="10253" max="10254" width="11.125" style="2535" customWidth="1"/>
    <col min="10255" max="10255" width="1.5" style="2535" customWidth="1"/>
    <col min="10256" max="10256" width="3.25" style="2535" customWidth="1"/>
    <col min="10257" max="10258" width="11.125" style="2535" customWidth="1"/>
    <col min="10259" max="10259" width="1.5" style="2535" customWidth="1"/>
    <col min="10260" max="10265" width="11.125" style="2535" customWidth="1"/>
    <col min="10266" max="10266" width="1.5" style="2535" customWidth="1"/>
    <col min="10267" max="10267" width="10.25" style="2535" customWidth="1"/>
    <col min="10268" max="10269" width="11.125" style="2535" customWidth="1"/>
    <col min="10270" max="10270" width="1.5" style="2535" customWidth="1"/>
    <col min="10271" max="10271" width="3.25" style="2535" customWidth="1"/>
    <col min="10272" max="10273" width="11.125" style="2535" customWidth="1"/>
    <col min="10274" max="10274" width="1.5" style="2535" customWidth="1"/>
    <col min="10275" max="10280" width="11.125" style="2535" customWidth="1"/>
    <col min="10281" max="10281" width="1.5" style="2535" customWidth="1"/>
    <col min="10282" max="10282" width="10.25" style="2535" customWidth="1"/>
    <col min="10283" max="10284" width="11.125" style="2535" customWidth="1"/>
    <col min="10285" max="10285" width="1.5" style="2535" customWidth="1"/>
    <col min="10286" max="10287" width="6.875" style="2535"/>
    <col min="10288" max="10288" width="9.875" style="2535" customWidth="1"/>
    <col min="10289" max="10496" width="6.875" style="2535"/>
    <col min="10497" max="10497" width="3.25" style="2535" customWidth="1"/>
    <col min="10498" max="10499" width="11.125" style="2535" customWidth="1"/>
    <col min="10500" max="10500" width="1.5" style="2535" customWidth="1"/>
    <col min="10501" max="10506" width="11.125" style="2535" customWidth="1"/>
    <col min="10507" max="10507" width="1.5" style="2535" customWidth="1"/>
    <col min="10508" max="10508" width="10.25" style="2535" customWidth="1"/>
    <col min="10509" max="10510" width="11.125" style="2535" customWidth="1"/>
    <col min="10511" max="10511" width="1.5" style="2535" customWidth="1"/>
    <col min="10512" max="10512" width="3.25" style="2535" customWidth="1"/>
    <col min="10513" max="10514" width="11.125" style="2535" customWidth="1"/>
    <col min="10515" max="10515" width="1.5" style="2535" customWidth="1"/>
    <col min="10516" max="10521" width="11.125" style="2535" customWidth="1"/>
    <col min="10522" max="10522" width="1.5" style="2535" customWidth="1"/>
    <col min="10523" max="10523" width="10.25" style="2535" customWidth="1"/>
    <col min="10524" max="10525" width="11.125" style="2535" customWidth="1"/>
    <col min="10526" max="10526" width="1.5" style="2535" customWidth="1"/>
    <col min="10527" max="10527" width="3.25" style="2535" customWidth="1"/>
    <col min="10528" max="10529" width="11.125" style="2535" customWidth="1"/>
    <col min="10530" max="10530" width="1.5" style="2535" customWidth="1"/>
    <col min="10531" max="10536" width="11.125" style="2535" customWidth="1"/>
    <col min="10537" max="10537" width="1.5" style="2535" customWidth="1"/>
    <col min="10538" max="10538" width="10.25" style="2535" customWidth="1"/>
    <col min="10539" max="10540" width="11.125" style="2535" customWidth="1"/>
    <col min="10541" max="10541" width="1.5" style="2535" customWidth="1"/>
    <col min="10542" max="10543" width="6.875" style="2535"/>
    <col min="10544" max="10544" width="9.875" style="2535" customWidth="1"/>
    <col min="10545" max="10752" width="6.875" style="2535"/>
    <col min="10753" max="10753" width="3.25" style="2535" customWidth="1"/>
    <col min="10754" max="10755" width="11.125" style="2535" customWidth="1"/>
    <col min="10756" max="10756" width="1.5" style="2535" customWidth="1"/>
    <col min="10757" max="10762" width="11.125" style="2535" customWidth="1"/>
    <col min="10763" max="10763" width="1.5" style="2535" customWidth="1"/>
    <col min="10764" max="10764" width="10.25" style="2535" customWidth="1"/>
    <col min="10765" max="10766" width="11.125" style="2535" customWidth="1"/>
    <col min="10767" max="10767" width="1.5" style="2535" customWidth="1"/>
    <col min="10768" max="10768" width="3.25" style="2535" customWidth="1"/>
    <col min="10769" max="10770" width="11.125" style="2535" customWidth="1"/>
    <col min="10771" max="10771" width="1.5" style="2535" customWidth="1"/>
    <col min="10772" max="10777" width="11.125" style="2535" customWidth="1"/>
    <col min="10778" max="10778" width="1.5" style="2535" customWidth="1"/>
    <col min="10779" max="10779" width="10.25" style="2535" customWidth="1"/>
    <col min="10780" max="10781" width="11.125" style="2535" customWidth="1"/>
    <col min="10782" max="10782" width="1.5" style="2535" customWidth="1"/>
    <col min="10783" max="10783" width="3.25" style="2535" customWidth="1"/>
    <col min="10784" max="10785" width="11.125" style="2535" customWidth="1"/>
    <col min="10786" max="10786" width="1.5" style="2535" customWidth="1"/>
    <col min="10787" max="10792" width="11.125" style="2535" customWidth="1"/>
    <col min="10793" max="10793" width="1.5" style="2535" customWidth="1"/>
    <col min="10794" max="10794" width="10.25" style="2535" customWidth="1"/>
    <col min="10795" max="10796" width="11.125" style="2535" customWidth="1"/>
    <col min="10797" max="10797" width="1.5" style="2535" customWidth="1"/>
    <col min="10798" max="10799" width="6.875" style="2535"/>
    <col min="10800" max="10800" width="9.875" style="2535" customWidth="1"/>
    <col min="10801" max="11008" width="6.875" style="2535"/>
    <col min="11009" max="11009" width="3.25" style="2535" customWidth="1"/>
    <col min="11010" max="11011" width="11.125" style="2535" customWidth="1"/>
    <col min="11012" max="11012" width="1.5" style="2535" customWidth="1"/>
    <col min="11013" max="11018" width="11.125" style="2535" customWidth="1"/>
    <col min="11019" max="11019" width="1.5" style="2535" customWidth="1"/>
    <col min="11020" max="11020" width="10.25" style="2535" customWidth="1"/>
    <col min="11021" max="11022" width="11.125" style="2535" customWidth="1"/>
    <col min="11023" max="11023" width="1.5" style="2535" customWidth="1"/>
    <col min="11024" max="11024" width="3.25" style="2535" customWidth="1"/>
    <col min="11025" max="11026" width="11.125" style="2535" customWidth="1"/>
    <col min="11027" max="11027" width="1.5" style="2535" customWidth="1"/>
    <col min="11028" max="11033" width="11.125" style="2535" customWidth="1"/>
    <col min="11034" max="11034" width="1.5" style="2535" customWidth="1"/>
    <col min="11035" max="11035" width="10.25" style="2535" customWidth="1"/>
    <col min="11036" max="11037" width="11.125" style="2535" customWidth="1"/>
    <col min="11038" max="11038" width="1.5" style="2535" customWidth="1"/>
    <col min="11039" max="11039" width="3.25" style="2535" customWidth="1"/>
    <col min="11040" max="11041" width="11.125" style="2535" customWidth="1"/>
    <col min="11042" max="11042" width="1.5" style="2535" customWidth="1"/>
    <col min="11043" max="11048" width="11.125" style="2535" customWidth="1"/>
    <col min="11049" max="11049" width="1.5" style="2535" customWidth="1"/>
    <col min="11050" max="11050" width="10.25" style="2535" customWidth="1"/>
    <col min="11051" max="11052" width="11.125" style="2535" customWidth="1"/>
    <col min="11053" max="11053" width="1.5" style="2535" customWidth="1"/>
    <col min="11054" max="11055" width="6.875" style="2535"/>
    <col min="11056" max="11056" width="9.875" style="2535" customWidth="1"/>
    <col min="11057" max="11264" width="6.875" style="2535"/>
    <col min="11265" max="11265" width="3.25" style="2535" customWidth="1"/>
    <col min="11266" max="11267" width="11.125" style="2535" customWidth="1"/>
    <col min="11268" max="11268" width="1.5" style="2535" customWidth="1"/>
    <col min="11269" max="11274" width="11.125" style="2535" customWidth="1"/>
    <col min="11275" max="11275" width="1.5" style="2535" customWidth="1"/>
    <col min="11276" max="11276" width="10.25" style="2535" customWidth="1"/>
    <col min="11277" max="11278" width="11.125" style="2535" customWidth="1"/>
    <col min="11279" max="11279" width="1.5" style="2535" customWidth="1"/>
    <col min="11280" max="11280" width="3.25" style="2535" customWidth="1"/>
    <col min="11281" max="11282" width="11.125" style="2535" customWidth="1"/>
    <col min="11283" max="11283" width="1.5" style="2535" customWidth="1"/>
    <col min="11284" max="11289" width="11.125" style="2535" customWidth="1"/>
    <col min="11290" max="11290" width="1.5" style="2535" customWidth="1"/>
    <col min="11291" max="11291" width="10.25" style="2535" customWidth="1"/>
    <col min="11292" max="11293" width="11.125" style="2535" customWidth="1"/>
    <col min="11294" max="11294" width="1.5" style="2535" customWidth="1"/>
    <col min="11295" max="11295" width="3.25" style="2535" customWidth="1"/>
    <col min="11296" max="11297" width="11.125" style="2535" customWidth="1"/>
    <col min="11298" max="11298" width="1.5" style="2535" customWidth="1"/>
    <col min="11299" max="11304" width="11.125" style="2535" customWidth="1"/>
    <col min="11305" max="11305" width="1.5" style="2535" customWidth="1"/>
    <col min="11306" max="11306" width="10.25" style="2535" customWidth="1"/>
    <col min="11307" max="11308" width="11.125" style="2535" customWidth="1"/>
    <col min="11309" max="11309" width="1.5" style="2535" customWidth="1"/>
    <col min="11310" max="11311" width="6.875" style="2535"/>
    <col min="11312" max="11312" width="9.875" style="2535" customWidth="1"/>
    <col min="11313" max="11520" width="6.875" style="2535"/>
    <col min="11521" max="11521" width="3.25" style="2535" customWidth="1"/>
    <col min="11522" max="11523" width="11.125" style="2535" customWidth="1"/>
    <col min="11524" max="11524" width="1.5" style="2535" customWidth="1"/>
    <col min="11525" max="11530" width="11.125" style="2535" customWidth="1"/>
    <col min="11531" max="11531" width="1.5" style="2535" customWidth="1"/>
    <col min="11532" max="11532" width="10.25" style="2535" customWidth="1"/>
    <col min="11533" max="11534" width="11.125" style="2535" customWidth="1"/>
    <col min="11535" max="11535" width="1.5" style="2535" customWidth="1"/>
    <col min="11536" max="11536" width="3.25" style="2535" customWidth="1"/>
    <col min="11537" max="11538" width="11.125" style="2535" customWidth="1"/>
    <col min="11539" max="11539" width="1.5" style="2535" customWidth="1"/>
    <col min="11540" max="11545" width="11.125" style="2535" customWidth="1"/>
    <col min="11546" max="11546" width="1.5" style="2535" customWidth="1"/>
    <col min="11547" max="11547" width="10.25" style="2535" customWidth="1"/>
    <col min="11548" max="11549" width="11.125" style="2535" customWidth="1"/>
    <col min="11550" max="11550" width="1.5" style="2535" customWidth="1"/>
    <col min="11551" max="11551" width="3.25" style="2535" customWidth="1"/>
    <col min="11552" max="11553" width="11.125" style="2535" customWidth="1"/>
    <col min="11554" max="11554" width="1.5" style="2535" customWidth="1"/>
    <col min="11555" max="11560" width="11.125" style="2535" customWidth="1"/>
    <col min="11561" max="11561" width="1.5" style="2535" customWidth="1"/>
    <col min="11562" max="11562" width="10.25" style="2535" customWidth="1"/>
    <col min="11563" max="11564" width="11.125" style="2535" customWidth="1"/>
    <col min="11565" max="11565" width="1.5" style="2535" customWidth="1"/>
    <col min="11566" max="11567" width="6.875" style="2535"/>
    <col min="11568" max="11568" width="9.875" style="2535" customWidth="1"/>
    <col min="11569" max="11776" width="6.875" style="2535"/>
    <col min="11777" max="11777" width="3.25" style="2535" customWidth="1"/>
    <col min="11778" max="11779" width="11.125" style="2535" customWidth="1"/>
    <col min="11780" max="11780" width="1.5" style="2535" customWidth="1"/>
    <col min="11781" max="11786" width="11.125" style="2535" customWidth="1"/>
    <col min="11787" max="11787" width="1.5" style="2535" customWidth="1"/>
    <col min="11788" max="11788" width="10.25" style="2535" customWidth="1"/>
    <col min="11789" max="11790" width="11.125" style="2535" customWidth="1"/>
    <col min="11791" max="11791" width="1.5" style="2535" customWidth="1"/>
    <col min="11792" max="11792" width="3.25" style="2535" customWidth="1"/>
    <col min="11793" max="11794" width="11.125" style="2535" customWidth="1"/>
    <col min="11795" max="11795" width="1.5" style="2535" customWidth="1"/>
    <col min="11796" max="11801" width="11.125" style="2535" customWidth="1"/>
    <col min="11802" max="11802" width="1.5" style="2535" customWidth="1"/>
    <col min="11803" max="11803" width="10.25" style="2535" customWidth="1"/>
    <col min="11804" max="11805" width="11.125" style="2535" customWidth="1"/>
    <col min="11806" max="11806" width="1.5" style="2535" customWidth="1"/>
    <col min="11807" max="11807" width="3.25" style="2535" customWidth="1"/>
    <col min="11808" max="11809" width="11.125" style="2535" customWidth="1"/>
    <col min="11810" max="11810" width="1.5" style="2535" customWidth="1"/>
    <col min="11811" max="11816" width="11.125" style="2535" customWidth="1"/>
    <col min="11817" max="11817" width="1.5" style="2535" customWidth="1"/>
    <col min="11818" max="11818" width="10.25" style="2535" customWidth="1"/>
    <col min="11819" max="11820" width="11.125" style="2535" customWidth="1"/>
    <col min="11821" max="11821" width="1.5" style="2535" customWidth="1"/>
    <col min="11822" max="11823" width="6.875" style="2535"/>
    <col min="11824" max="11824" width="9.875" style="2535" customWidth="1"/>
    <col min="11825" max="12032" width="6.875" style="2535"/>
    <col min="12033" max="12033" width="3.25" style="2535" customWidth="1"/>
    <col min="12034" max="12035" width="11.125" style="2535" customWidth="1"/>
    <col min="12036" max="12036" width="1.5" style="2535" customWidth="1"/>
    <col min="12037" max="12042" width="11.125" style="2535" customWidth="1"/>
    <col min="12043" max="12043" width="1.5" style="2535" customWidth="1"/>
    <col min="12044" max="12044" width="10.25" style="2535" customWidth="1"/>
    <col min="12045" max="12046" width="11.125" style="2535" customWidth="1"/>
    <col min="12047" max="12047" width="1.5" style="2535" customWidth="1"/>
    <col min="12048" max="12048" width="3.25" style="2535" customWidth="1"/>
    <col min="12049" max="12050" width="11.125" style="2535" customWidth="1"/>
    <col min="12051" max="12051" width="1.5" style="2535" customWidth="1"/>
    <col min="12052" max="12057" width="11.125" style="2535" customWidth="1"/>
    <col min="12058" max="12058" width="1.5" style="2535" customWidth="1"/>
    <col min="12059" max="12059" width="10.25" style="2535" customWidth="1"/>
    <col min="12060" max="12061" width="11.125" style="2535" customWidth="1"/>
    <col min="12062" max="12062" width="1.5" style="2535" customWidth="1"/>
    <col min="12063" max="12063" width="3.25" style="2535" customWidth="1"/>
    <col min="12064" max="12065" width="11.125" style="2535" customWidth="1"/>
    <col min="12066" max="12066" width="1.5" style="2535" customWidth="1"/>
    <col min="12067" max="12072" width="11.125" style="2535" customWidth="1"/>
    <col min="12073" max="12073" width="1.5" style="2535" customWidth="1"/>
    <col min="12074" max="12074" width="10.25" style="2535" customWidth="1"/>
    <col min="12075" max="12076" width="11.125" style="2535" customWidth="1"/>
    <col min="12077" max="12077" width="1.5" style="2535" customWidth="1"/>
    <col min="12078" max="12079" width="6.875" style="2535"/>
    <col min="12080" max="12080" width="9.875" style="2535" customWidth="1"/>
    <col min="12081" max="12288" width="6.875" style="2535"/>
    <col min="12289" max="12289" width="3.25" style="2535" customWidth="1"/>
    <col min="12290" max="12291" width="11.125" style="2535" customWidth="1"/>
    <col min="12292" max="12292" width="1.5" style="2535" customWidth="1"/>
    <col min="12293" max="12298" width="11.125" style="2535" customWidth="1"/>
    <col min="12299" max="12299" width="1.5" style="2535" customWidth="1"/>
    <col min="12300" max="12300" width="10.25" style="2535" customWidth="1"/>
    <col min="12301" max="12302" width="11.125" style="2535" customWidth="1"/>
    <col min="12303" max="12303" width="1.5" style="2535" customWidth="1"/>
    <col min="12304" max="12304" width="3.25" style="2535" customWidth="1"/>
    <col min="12305" max="12306" width="11.125" style="2535" customWidth="1"/>
    <col min="12307" max="12307" width="1.5" style="2535" customWidth="1"/>
    <col min="12308" max="12313" width="11.125" style="2535" customWidth="1"/>
    <col min="12314" max="12314" width="1.5" style="2535" customWidth="1"/>
    <col min="12315" max="12315" width="10.25" style="2535" customWidth="1"/>
    <col min="12316" max="12317" width="11.125" style="2535" customWidth="1"/>
    <col min="12318" max="12318" width="1.5" style="2535" customWidth="1"/>
    <col min="12319" max="12319" width="3.25" style="2535" customWidth="1"/>
    <col min="12320" max="12321" width="11.125" style="2535" customWidth="1"/>
    <col min="12322" max="12322" width="1.5" style="2535" customWidth="1"/>
    <col min="12323" max="12328" width="11.125" style="2535" customWidth="1"/>
    <col min="12329" max="12329" width="1.5" style="2535" customWidth="1"/>
    <col min="12330" max="12330" width="10.25" style="2535" customWidth="1"/>
    <col min="12331" max="12332" width="11.125" style="2535" customWidth="1"/>
    <col min="12333" max="12333" width="1.5" style="2535" customWidth="1"/>
    <col min="12334" max="12335" width="6.875" style="2535"/>
    <col min="12336" max="12336" width="9.875" style="2535" customWidth="1"/>
    <col min="12337" max="12544" width="6.875" style="2535"/>
    <col min="12545" max="12545" width="3.25" style="2535" customWidth="1"/>
    <col min="12546" max="12547" width="11.125" style="2535" customWidth="1"/>
    <col min="12548" max="12548" width="1.5" style="2535" customWidth="1"/>
    <col min="12549" max="12554" width="11.125" style="2535" customWidth="1"/>
    <col min="12555" max="12555" width="1.5" style="2535" customWidth="1"/>
    <col min="12556" max="12556" width="10.25" style="2535" customWidth="1"/>
    <col min="12557" max="12558" width="11.125" style="2535" customWidth="1"/>
    <col min="12559" max="12559" width="1.5" style="2535" customWidth="1"/>
    <col min="12560" max="12560" width="3.25" style="2535" customWidth="1"/>
    <col min="12561" max="12562" width="11.125" style="2535" customWidth="1"/>
    <col min="12563" max="12563" width="1.5" style="2535" customWidth="1"/>
    <col min="12564" max="12569" width="11.125" style="2535" customWidth="1"/>
    <col min="12570" max="12570" width="1.5" style="2535" customWidth="1"/>
    <col min="12571" max="12571" width="10.25" style="2535" customWidth="1"/>
    <col min="12572" max="12573" width="11.125" style="2535" customWidth="1"/>
    <col min="12574" max="12574" width="1.5" style="2535" customWidth="1"/>
    <col min="12575" max="12575" width="3.25" style="2535" customWidth="1"/>
    <col min="12576" max="12577" width="11.125" style="2535" customWidth="1"/>
    <col min="12578" max="12578" width="1.5" style="2535" customWidth="1"/>
    <col min="12579" max="12584" width="11.125" style="2535" customWidth="1"/>
    <col min="12585" max="12585" width="1.5" style="2535" customWidth="1"/>
    <col min="12586" max="12586" width="10.25" style="2535" customWidth="1"/>
    <col min="12587" max="12588" width="11.125" style="2535" customWidth="1"/>
    <col min="12589" max="12589" width="1.5" style="2535" customWidth="1"/>
    <col min="12590" max="12591" width="6.875" style="2535"/>
    <col min="12592" max="12592" width="9.875" style="2535" customWidth="1"/>
    <col min="12593" max="12800" width="6.875" style="2535"/>
    <col min="12801" max="12801" width="3.25" style="2535" customWidth="1"/>
    <col min="12802" max="12803" width="11.125" style="2535" customWidth="1"/>
    <col min="12804" max="12804" width="1.5" style="2535" customWidth="1"/>
    <col min="12805" max="12810" width="11.125" style="2535" customWidth="1"/>
    <col min="12811" max="12811" width="1.5" style="2535" customWidth="1"/>
    <col min="12812" max="12812" width="10.25" style="2535" customWidth="1"/>
    <col min="12813" max="12814" width="11.125" style="2535" customWidth="1"/>
    <col min="12815" max="12815" width="1.5" style="2535" customWidth="1"/>
    <col min="12816" max="12816" width="3.25" style="2535" customWidth="1"/>
    <col min="12817" max="12818" width="11.125" style="2535" customWidth="1"/>
    <col min="12819" max="12819" width="1.5" style="2535" customWidth="1"/>
    <col min="12820" max="12825" width="11.125" style="2535" customWidth="1"/>
    <col min="12826" max="12826" width="1.5" style="2535" customWidth="1"/>
    <col min="12827" max="12827" width="10.25" style="2535" customWidth="1"/>
    <col min="12828" max="12829" width="11.125" style="2535" customWidth="1"/>
    <col min="12830" max="12830" width="1.5" style="2535" customWidth="1"/>
    <col min="12831" max="12831" width="3.25" style="2535" customWidth="1"/>
    <col min="12832" max="12833" width="11.125" style="2535" customWidth="1"/>
    <col min="12834" max="12834" width="1.5" style="2535" customWidth="1"/>
    <col min="12835" max="12840" width="11.125" style="2535" customWidth="1"/>
    <col min="12841" max="12841" width="1.5" style="2535" customWidth="1"/>
    <col min="12842" max="12842" width="10.25" style="2535" customWidth="1"/>
    <col min="12843" max="12844" width="11.125" style="2535" customWidth="1"/>
    <col min="12845" max="12845" width="1.5" style="2535" customWidth="1"/>
    <col min="12846" max="12847" width="6.875" style="2535"/>
    <col min="12848" max="12848" width="9.875" style="2535" customWidth="1"/>
    <col min="12849" max="13056" width="6.875" style="2535"/>
    <col min="13057" max="13057" width="3.25" style="2535" customWidth="1"/>
    <col min="13058" max="13059" width="11.125" style="2535" customWidth="1"/>
    <col min="13060" max="13060" width="1.5" style="2535" customWidth="1"/>
    <col min="13061" max="13066" width="11.125" style="2535" customWidth="1"/>
    <col min="13067" max="13067" width="1.5" style="2535" customWidth="1"/>
    <col min="13068" max="13068" width="10.25" style="2535" customWidth="1"/>
    <col min="13069" max="13070" width="11.125" style="2535" customWidth="1"/>
    <col min="13071" max="13071" width="1.5" style="2535" customWidth="1"/>
    <col min="13072" max="13072" width="3.25" style="2535" customWidth="1"/>
    <col min="13073" max="13074" width="11.125" style="2535" customWidth="1"/>
    <col min="13075" max="13075" width="1.5" style="2535" customWidth="1"/>
    <col min="13076" max="13081" width="11.125" style="2535" customWidth="1"/>
    <col min="13082" max="13082" width="1.5" style="2535" customWidth="1"/>
    <col min="13083" max="13083" width="10.25" style="2535" customWidth="1"/>
    <col min="13084" max="13085" width="11.125" style="2535" customWidth="1"/>
    <col min="13086" max="13086" width="1.5" style="2535" customWidth="1"/>
    <col min="13087" max="13087" width="3.25" style="2535" customWidth="1"/>
    <col min="13088" max="13089" width="11.125" style="2535" customWidth="1"/>
    <col min="13090" max="13090" width="1.5" style="2535" customWidth="1"/>
    <col min="13091" max="13096" width="11.125" style="2535" customWidth="1"/>
    <col min="13097" max="13097" width="1.5" style="2535" customWidth="1"/>
    <col min="13098" max="13098" width="10.25" style="2535" customWidth="1"/>
    <col min="13099" max="13100" width="11.125" style="2535" customWidth="1"/>
    <col min="13101" max="13101" width="1.5" style="2535" customWidth="1"/>
    <col min="13102" max="13103" width="6.875" style="2535"/>
    <col min="13104" max="13104" width="9.875" style="2535" customWidth="1"/>
    <col min="13105" max="13312" width="6.875" style="2535"/>
    <col min="13313" max="13313" width="3.25" style="2535" customWidth="1"/>
    <col min="13314" max="13315" width="11.125" style="2535" customWidth="1"/>
    <col min="13316" max="13316" width="1.5" style="2535" customWidth="1"/>
    <col min="13317" max="13322" width="11.125" style="2535" customWidth="1"/>
    <col min="13323" max="13323" width="1.5" style="2535" customWidth="1"/>
    <col min="13324" max="13324" width="10.25" style="2535" customWidth="1"/>
    <col min="13325" max="13326" width="11.125" style="2535" customWidth="1"/>
    <col min="13327" max="13327" width="1.5" style="2535" customWidth="1"/>
    <col min="13328" max="13328" width="3.25" style="2535" customWidth="1"/>
    <col min="13329" max="13330" width="11.125" style="2535" customWidth="1"/>
    <col min="13331" max="13331" width="1.5" style="2535" customWidth="1"/>
    <col min="13332" max="13337" width="11.125" style="2535" customWidth="1"/>
    <col min="13338" max="13338" width="1.5" style="2535" customWidth="1"/>
    <col min="13339" max="13339" width="10.25" style="2535" customWidth="1"/>
    <col min="13340" max="13341" width="11.125" style="2535" customWidth="1"/>
    <col min="13342" max="13342" width="1.5" style="2535" customWidth="1"/>
    <col min="13343" max="13343" width="3.25" style="2535" customWidth="1"/>
    <col min="13344" max="13345" width="11.125" style="2535" customWidth="1"/>
    <col min="13346" max="13346" width="1.5" style="2535" customWidth="1"/>
    <col min="13347" max="13352" width="11.125" style="2535" customWidth="1"/>
    <col min="13353" max="13353" width="1.5" style="2535" customWidth="1"/>
    <col min="13354" max="13354" width="10.25" style="2535" customWidth="1"/>
    <col min="13355" max="13356" width="11.125" style="2535" customWidth="1"/>
    <col min="13357" max="13357" width="1.5" style="2535" customWidth="1"/>
    <col min="13358" max="13359" width="6.875" style="2535"/>
    <col min="13360" max="13360" width="9.875" style="2535" customWidth="1"/>
    <col min="13361" max="13568" width="6.875" style="2535"/>
    <col min="13569" max="13569" width="3.25" style="2535" customWidth="1"/>
    <col min="13570" max="13571" width="11.125" style="2535" customWidth="1"/>
    <col min="13572" max="13572" width="1.5" style="2535" customWidth="1"/>
    <col min="13573" max="13578" width="11.125" style="2535" customWidth="1"/>
    <col min="13579" max="13579" width="1.5" style="2535" customWidth="1"/>
    <col min="13580" max="13580" width="10.25" style="2535" customWidth="1"/>
    <col min="13581" max="13582" width="11.125" style="2535" customWidth="1"/>
    <col min="13583" max="13583" width="1.5" style="2535" customWidth="1"/>
    <col min="13584" max="13584" width="3.25" style="2535" customWidth="1"/>
    <col min="13585" max="13586" width="11.125" style="2535" customWidth="1"/>
    <col min="13587" max="13587" width="1.5" style="2535" customWidth="1"/>
    <col min="13588" max="13593" width="11.125" style="2535" customWidth="1"/>
    <col min="13594" max="13594" width="1.5" style="2535" customWidth="1"/>
    <col min="13595" max="13595" width="10.25" style="2535" customWidth="1"/>
    <col min="13596" max="13597" width="11.125" style="2535" customWidth="1"/>
    <col min="13598" max="13598" width="1.5" style="2535" customWidth="1"/>
    <col min="13599" max="13599" width="3.25" style="2535" customWidth="1"/>
    <col min="13600" max="13601" width="11.125" style="2535" customWidth="1"/>
    <col min="13602" max="13602" width="1.5" style="2535" customWidth="1"/>
    <col min="13603" max="13608" width="11.125" style="2535" customWidth="1"/>
    <col min="13609" max="13609" width="1.5" style="2535" customWidth="1"/>
    <col min="13610" max="13610" width="10.25" style="2535" customWidth="1"/>
    <col min="13611" max="13612" width="11.125" style="2535" customWidth="1"/>
    <col min="13613" max="13613" width="1.5" style="2535" customWidth="1"/>
    <col min="13614" max="13615" width="6.875" style="2535"/>
    <col min="13616" max="13616" width="9.875" style="2535" customWidth="1"/>
    <col min="13617" max="13824" width="6.875" style="2535"/>
    <col min="13825" max="13825" width="3.25" style="2535" customWidth="1"/>
    <col min="13826" max="13827" width="11.125" style="2535" customWidth="1"/>
    <col min="13828" max="13828" width="1.5" style="2535" customWidth="1"/>
    <col min="13829" max="13834" width="11.125" style="2535" customWidth="1"/>
    <col min="13835" max="13835" width="1.5" style="2535" customWidth="1"/>
    <col min="13836" max="13836" width="10.25" style="2535" customWidth="1"/>
    <col min="13837" max="13838" width="11.125" style="2535" customWidth="1"/>
    <col min="13839" max="13839" width="1.5" style="2535" customWidth="1"/>
    <col min="13840" max="13840" width="3.25" style="2535" customWidth="1"/>
    <col min="13841" max="13842" width="11.125" style="2535" customWidth="1"/>
    <col min="13843" max="13843" width="1.5" style="2535" customWidth="1"/>
    <col min="13844" max="13849" width="11.125" style="2535" customWidth="1"/>
    <col min="13850" max="13850" width="1.5" style="2535" customWidth="1"/>
    <col min="13851" max="13851" width="10.25" style="2535" customWidth="1"/>
    <col min="13852" max="13853" width="11.125" style="2535" customWidth="1"/>
    <col min="13854" max="13854" width="1.5" style="2535" customWidth="1"/>
    <col min="13855" max="13855" width="3.25" style="2535" customWidth="1"/>
    <col min="13856" max="13857" width="11.125" style="2535" customWidth="1"/>
    <col min="13858" max="13858" width="1.5" style="2535" customWidth="1"/>
    <col min="13859" max="13864" width="11.125" style="2535" customWidth="1"/>
    <col min="13865" max="13865" width="1.5" style="2535" customWidth="1"/>
    <col min="13866" max="13866" width="10.25" style="2535" customWidth="1"/>
    <col min="13867" max="13868" width="11.125" style="2535" customWidth="1"/>
    <col min="13869" max="13869" width="1.5" style="2535" customWidth="1"/>
    <col min="13870" max="13871" width="6.875" style="2535"/>
    <col min="13872" max="13872" width="9.875" style="2535" customWidth="1"/>
    <col min="13873" max="14080" width="6.875" style="2535"/>
    <col min="14081" max="14081" width="3.25" style="2535" customWidth="1"/>
    <col min="14082" max="14083" width="11.125" style="2535" customWidth="1"/>
    <col min="14084" max="14084" width="1.5" style="2535" customWidth="1"/>
    <col min="14085" max="14090" width="11.125" style="2535" customWidth="1"/>
    <col min="14091" max="14091" width="1.5" style="2535" customWidth="1"/>
    <col min="14092" max="14092" width="10.25" style="2535" customWidth="1"/>
    <col min="14093" max="14094" width="11.125" style="2535" customWidth="1"/>
    <col min="14095" max="14095" width="1.5" style="2535" customWidth="1"/>
    <col min="14096" max="14096" width="3.25" style="2535" customWidth="1"/>
    <col min="14097" max="14098" width="11.125" style="2535" customWidth="1"/>
    <col min="14099" max="14099" width="1.5" style="2535" customWidth="1"/>
    <col min="14100" max="14105" width="11.125" style="2535" customWidth="1"/>
    <col min="14106" max="14106" width="1.5" style="2535" customWidth="1"/>
    <col min="14107" max="14107" width="10.25" style="2535" customWidth="1"/>
    <col min="14108" max="14109" width="11.125" style="2535" customWidth="1"/>
    <col min="14110" max="14110" width="1.5" style="2535" customWidth="1"/>
    <col min="14111" max="14111" width="3.25" style="2535" customWidth="1"/>
    <col min="14112" max="14113" width="11.125" style="2535" customWidth="1"/>
    <col min="14114" max="14114" width="1.5" style="2535" customWidth="1"/>
    <col min="14115" max="14120" width="11.125" style="2535" customWidth="1"/>
    <col min="14121" max="14121" width="1.5" style="2535" customWidth="1"/>
    <col min="14122" max="14122" width="10.25" style="2535" customWidth="1"/>
    <col min="14123" max="14124" width="11.125" style="2535" customWidth="1"/>
    <col min="14125" max="14125" width="1.5" style="2535" customWidth="1"/>
    <col min="14126" max="14127" width="6.875" style="2535"/>
    <col min="14128" max="14128" width="9.875" style="2535" customWidth="1"/>
    <col min="14129" max="14336" width="6.875" style="2535"/>
    <col min="14337" max="14337" width="3.25" style="2535" customWidth="1"/>
    <col min="14338" max="14339" width="11.125" style="2535" customWidth="1"/>
    <col min="14340" max="14340" width="1.5" style="2535" customWidth="1"/>
    <col min="14341" max="14346" width="11.125" style="2535" customWidth="1"/>
    <col min="14347" max="14347" width="1.5" style="2535" customWidth="1"/>
    <col min="14348" max="14348" width="10.25" style="2535" customWidth="1"/>
    <col min="14349" max="14350" width="11.125" style="2535" customWidth="1"/>
    <col min="14351" max="14351" width="1.5" style="2535" customWidth="1"/>
    <col min="14352" max="14352" width="3.25" style="2535" customWidth="1"/>
    <col min="14353" max="14354" width="11.125" style="2535" customWidth="1"/>
    <col min="14355" max="14355" width="1.5" style="2535" customWidth="1"/>
    <col min="14356" max="14361" width="11.125" style="2535" customWidth="1"/>
    <col min="14362" max="14362" width="1.5" style="2535" customWidth="1"/>
    <col min="14363" max="14363" width="10.25" style="2535" customWidth="1"/>
    <col min="14364" max="14365" width="11.125" style="2535" customWidth="1"/>
    <col min="14366" max="14366" width="1.5" style="2535" customWidth="1"/>
    <col min="14367" max="14367" width="3.25" style="2535" customWidth="1"/>
    <col min="14368" max="14369" width="11.125" style="2535" customWidth="1"/>
    <col min="14370" max="14370" width="1.5" style="2535" customWidth="1"/>
    <col min="14371" max="14376" width="11.125" style="2535" customWidth="1"/>
    <col min="14377" max="14377" width="1.5" style="2535" customWidth="1"/>
    <col min="14378" max="14378" width="10.25" style="2535" customWidth="1"/>
    <col min="14379" max="14380" width="11.125" style="2535" customWidth="1"/>
    <col min="14381" max="14381" width="1.5" style="2535" customWidth="1"/>
    <col min="14382" max="14383" width="6.875" style="2535"/>
    <col min="14384" max="14384" width="9.875" style="2535" customWidth="1"/>
    <col min="14385" max="14592" width="6.875" style="2535"/>
    <col min="14593" max="14593" width="3.25" style="2535" customWidth="1"/>
    <col min="14594" max="14595" width="11.125" style="2535" customWidth="1"/>
    <col min="14596" max="14596" width="1.5" style="2535" customWidth="1"/>
    <col min="14597" max="14602" width="11.125" style="2535" customWidth="1"/>
    <col min="14603" max="14603" width="1.5" style="2535" customWidth="1"/>
    <col min="14604" max="14604" width="10.25" style="2535" customWidth="1"/>
    <col min="14605" max="14606" width="11.125" style="2535" customWidth="1"/>
    <col min="14607" max="14607" width="1.5" style="2535" customWidth="1"/>
    <col min="14608" max="14608" width="3.25" style="2535" customWidth="1"/>
    <col min="14609" max="14610" width="11.125" style="2535" customWidth="1"/>
    <col min="14611" max="14611" width="1.5" style="2535" customWidth="1"/>
    <col min="14612" max="14617" width="11.125" style="2535" customWidth="1"/>
    <col min="14618" max="14618" width="1.5" style="2535" customWidth="1"/>
    <col min="14619" max="14619" width="10.25" style="2535" customWidth="1"/>
    <col min="14620" max="14621" width="11.125" style="2535" customWidth="1"/>
    <col min="14622" max="14622" width="1.5" style="2535" customWidth="1"/>
    <col min="14623" max="14623" width="3.25" style="2535" customWidth="1"/>
    <col min="14624" max="14625" width="11.125" style="2535" customWidth="1"/>
    <col min="14626" max="14626" width="1.5" style="2535" customWidth="1"/>
    <col min="14627" max="14632" width="11.125" style="2535" customWidth="1"/>
    <col min="14633" max="14633" width="1.5" style="2535" customWidth="1"/>
    <col min="14634" max="14634" width="10.25" style="2535" customWidth="1"/>
    <col min="14635" max="14636" width="11.125" style="2535" customWidth="1"/>
    <col min="14637" max="14637" width="1.5" style="2535" customWidth="1"/>
    <col min="14638" max="14639" width="6.875" style="2535"/>
    <col min="14640" max="14640" width="9.875" style="2535" customWidth="1"/>
    <col min="14641" max="14848" width="6.875" style="2535"/>
    <col min="14849" max="14849" width="3.25" style="2535" customWidth="1"/>
    <col min="14850" max="14851" width="11.125" style="2535" customWidth="1"/>
    <col min="14852" max="14852" width="1.5" style="2535" customWidth="1"/>
    <col min="14853" max="14858" width="11.125" style="2535" customWidth="1"/>
    <col min="14859" max="14859" width="1.5" style="2535" customWidth="1"/>
    <col min="14860" max="14860" width="10.25" style="2535" customWidth="1"/>
    <col min="14861" max="14862" width="11.125" style="2535" customWidth="1"/>
    <col min="14863" max="14863" width="1.5" style="2535" customWidth="1"/>
    <col min="14864" max="14864" width="3.25" style="2535" customWidth="1"/>
    <col min="14865" max="14866" width="11.125" style="2535" customWidth="1"/>
    <col min="14867" max="14867" width="1.5" style="2535" customWidth="1"/>
    <col min="14868" max="14873" width="11.125" style="2535" customWidth="1"/>
    <col min="14874" max="14874" width="1.5" style="2535" customWidth="1"/>
    <col min="14875" max="14875" width="10.25" style="2535" customWidth="1"/>
    <col min="14876" max="14877" width="11.125" style="2535" customWidth="1"/>
    <col min="14878" max="14878" width="1.5" style="2535" customWidth="1"/>
    <col min="14879" max="14879" width="3.25" style="2535" customWidth="1"/>
    <col min="14880" max="14881" width="11.125" style="2535" customWidth="1"/>
    <col min="14882" max="14882" width="1.5" style="2535" customWidth="1"/>
    <col min="14883" max="14888" width="11.125" style="2535" customWidth="1"/>
    <col min="14889" max="14889" width="1.5" style="2535" customWidth="1"/>
    <col min="14890" max="14890" width="10.25" style="2535" customWidth="1"/>
    <col min="14891" max="14892" width="11.125" style="2535" customWidth="1"/>
    <col min="14893" max="14893" width="1.5" style="2535" customWidth="1"/>
    <col min="14894" max="14895" width="6.875" style="2535"/>
    <col min="14896" max="14896" width="9.875" style="2535" customWidth="1"/>
    <col min="14897" max="15104" width="6.875" style="2535"/>
    <col min="15105" max="15105" width="3.25" style="2535" customWidth="1"/>
    <col min="15106" max="15107" width="11.125" style="2535" customWidth="1"/>
    <col min="15108" max="15108" width="1.5" style="2535" customWidth="1"/>
    <col min="15109" max="15114" width="11.125" style="2535" customWidth="1"/>
    <col min="15115" max="15115" width="1.5" style="2535" customWidth="1"/>
    <col min="15116" max="15116" width="10.25" style="2535" customWidth="1"/>
    <col min="15117" max="15118" width="11.125" style="2535" customWidth="1"/>
    <col min="15119" max="15119" width="1.5" style="2535" customWidth="1"/>
    <col min="15120" max="15120" width="3.25" style="2535" customWidth="1"/>
    <col min="15121" max="15122" width="11.125" style="2535" customWidth="1"/>
    <col min="15123" max="15123" width="1.5" style="2535" customWidth="1"/>
    <col min="15124" max="15129" width="11.125" style="2535" customWidth="1"/>
    <col min="15130" max="15130" width="1.5" style="2535" customWidth="1"/>
    <col min="15131" max="15131" width="10.25" style="2535" customWidth="1"/>
    <col min="15132" max="15133" width="11.125" style="2535" customWidth="1"/>
    <col min="15134" max="15134" width="1.5" style="2535" customWidth="1"/>
    <col min="15135" max="15135" width="3.25" style="2535" customWidth="1"/>
    <col min="15136" max="15137" width="11.125" style="2535" customWidth="1"/>
    <col min="15138" max="15138" width="1.5" style="2535" customWidth="1"/>
    <col min="15139" max="15144" width="11.125" style="2535" customWidth="1"/>
    <col min="15145" max="15145" width="1.5" style="2535" customWidth="1"/>
    <col min="15146" max="15146" width="10.25" style="2535" customWidth="1"/>
    <col min="15147" max="15148" width="11.125" style="2535" customWidth="1"/>
    <col min="15149" max="15149" width="1.5" style="2535" customWidth="1"/>
    <col min="15150" max="15151" width="6.875" style="2535"/>
    <col min="15152" max="15152" width="9.875" style="2535" customWidth="1"/>
    <col min="15153" max="15360" width="6.875" style="2535"/>
    <col min="15361" max="15361" width="3.25" style="2535" customWidth="1"/>
    <col min="15362" max="15363" width="11.125" style="2535" customWidth="1"/>
    <col min="15364" max="15364" width="1.5" style="2535" customWidth="1"/>
    <col min="15365" max="15370" width="11.125" style="2535" customWidth="1"/>
    <col min="15371" max="15371" width="1.5" style="2535" customWidth="1"/>
    <col min="15372" max="15372" width="10.25" style="2535" customWidth="1"/>
    <col min="15373" max="15374" width="11.125" style="2535" customWidth="1"/>
    <col min="15375" max="15375" width="1.5" style="2535" customWidth="1"/>
    <col min="15376" max="15376" width="3.25" style="2535" customWidth="1"/>
    <col min="15377" max="15378" width="11.125" style="2535" customWidth="1"/>
    <col min="15379" max="15379" width="1.5" style="2535" customWidth="1"/>
    <col min="15380" max="15385" width="11.125" style="2535" customWidth="1"/>
    <col min="15386" max="15386" width="1.5" style="2535" customWidth="1"/>
    <col min="15387" max="15387" width="10.25" style="2535" customWidth="1"/>
    <col min="15388" max="15389" width="11.125" style="2535" customWidth="1"/>
    <col min="15390" max="15390" width="1.5" style="2535" customWidth="1"/>
    <col min="15391" max="15391" width="3.25" style="2535" customWidth="1"/>
    <col min="15392" max="15393" width="11.125" style="2535" customWidth="1"/>
    <col min="15394" max="15394" width="1.5" style="2535" customWidth="1"/>
    <col min="15395" max="15400" width="11.125" style="2535" customWidth="1"/>
    <col min="15401" max="15401" width="1.5" style="2535" customWidth="1"/>
    <col min="15402" max="15402" width="10.25" style="2535" customWidth="1"/>
    <col min="15403" max="15404" width="11.125" style="2535" customWidth="1"/>
    <col min="15405" max="15405" width="1.5" style="2535" customWidth="1"/>
    <col min="15406" max="15407" width="6.875" style="2535"/>
    <col min="15408" max="15408" width="9.875" style="2535" customWidth="1"/>
    <col min="15409" max="15616" width="6.875" style="2535"/>
    <col min="15617" max="15617" width="3.25" style="2535" customWidth="1"/>
    <col min="15618" max="15619" width="11.125" style="2535" customWidth="1"/>
    <col min="15620" max="15620" width="1.5" style="2535" customWidth="1"/>
    <col min="15621" max="15626" width="11.125" style="2535" customWidth="1"/>
    <col min="15627" max="15627" width="1.5" style="2535" customWidth="1"/>
    <col min="15628" max="15628" width="10.25" style="2535" customWidth="1"/>
    <col min="15629" max="15630" width="11.125" style="2535" customWidth="1"/>
    <col min="15631" max="15631" width="1.5" style="2535" customWidth="1"/>
    <col min="15632" max="15632" width="3.25" style="2535" customWidth="1"/>
    <col min="15633" max="15634" width="11.125" style="2535" customWidth="1"/>
    <col min="15635" max="15635" width="1.5" style="2535" customWidth="1"/>
    <col min="15636" max="15641" width="11.125" style="2535" customWidth="1"/>
    <col min="15642" max="15642" width="1.5" style="2535" customWidth="1"/>
    <col min="15643" max="15643" width="10.25" style="2535" customWidth="1"/>
    <col min="15644" max="15645" width="11.125" style="2535" customWidth="1"/>
    <col min="15646" max="15646" width="1.5" style="2535" customWidth="1"/>
    <col min="15647" max="15647" width="3.25" style="2535" customWidth="1"/>
    <col min="15648" max="15649" width="11.125" style="2535" customWidth="1"/>
    <col min="15650" max="15650" width="1.5" style="2535" customWidth="1"/>
    <col min="15651" max="15656" width="11.125" style="2535" customWidth="1"/>
    <col min="15657" max="15657" width="1.5" style="2535" customWidth="1"/>
    <col min="15658" max="15658" width="10.25" style="2535" customWidth="1"/>
    <col min="15659" max="15660" width="11.125" style="2535" customWidth="1"/>
    <col min="15661" max="15661" width="1.5" style="2535" customWidth="1"/>
    <col min="15662" max="15663" width="6.875" style="2535"/>
    <col min="15664" max="15664" width="9.875" style="2535" customWidth="1"/>
    <col min="15665" max="15872" width="6.875" style="2535"/>
    <col min="15873" max="15873" width="3.25" style="2535" customWidth="1"/>
    <col min="15874" max="15875" width="11.125" style="2535" customWidth="1"/>
    <col min="15876" max="15876" width="1.5" style="2535" customWidth="1"/>
    <col min="15877" max="15882" width="11.125" style="2535" customWidth="1"/>
    <col min="15883" max="15883" width="1.5" style="2535" customWidth="1"/>
    <col min="15884" max="15884" width="10.25" style="2535" customWidth="1"/>
    <col min="15885" max="15886" width="11.125" style="2535" customWidth="1"/>
    <col min="15887" max="15887" width="1.5" style="2535" customWidth="1"/>
    <col min="15888" max="15888" width="3.25" style="2535" customWidth="1"/>
    <col min="15889" max="15890" width="11.125" style="2535" customWidth="1"/>
    <col min="15891" max="15891" width="1.5" style="2535" customWidth="1"/>
    <col min="15892" max="15897" width="11.125" style="2535" customWidth="1"/>
    <col min="15898" max="15898" width="1.5" style="2535" customWidth="1"/>
    <col min="15899" max="15899" width="10.25" style="2535" customWidth="1"/>
    <col min="15900" max="15901" width="11.125" style="2535" customWidth="1"/>
    <col min="15902" max="15902" width="1.5" style="2535" customWidth="1"/>
    <col min="15903" max="15903" width="3.25" style="2535" customWidth="1"/>
    <col min="15904" max="15905" width="11.125" style="2535" customWidth="1"/>
    <col min="15906" max="15906" width="1.5" style="2535" customWidth="1"/>
    <col min="15907" max="15912" width="11.125" style="2535" customWidth="1"/>
    <col min="15913" max="15913" width="1.5" style="2535" customWidth="1"/>
    <col min="15914" max="15914" width="10.25" style="2535" customWidth="1"/>
    <col min="15915" max="15916" width="11.125" style="2535" customWidth="1"/>
    <col min="15917" max="15917" width="1.5" style="2535" customWidth="1"/>
    <col min="15918" max="15919" width="6.875" style="2535"/>
    <col min="15920" max="15920" width="9.875" style="2535" customWidth="1"/>
    <col min="15921" max="16128" width="6.875" style="2535"/>
    <col min="16129" max="16129" width="3.25" style="2535" customWidth="1"/>
    <col min="16130" max="16131" width="11.125" style="2535" customWidth="1"/>
    <col min="16132" max="16132" width="1.5" style="2535" customWidth="1"/>
    <col min="16133" max="16138" width="11.125" style="2535" customWidth="1"/>
    <col min="16139" max="16139" width="1.5" style="2535" customWidth="1"/>
    <col min="16140" max="16140" width="10.25" style="2535" customWidth="1"/>
    <col min="16141" max="16142" width="11.125" style="2535" customWidth="1"/>
    <col min="16143" max="16143" width="1.5" style="2535" customWidth="1"/>
    <col min="16144" max="16144" width="3.25" style="2535" customWidth="1"/>
    <col min="16145" max="16146" width="11.125" style="2535" customWidth="1"/>
    <col min="16147" max="16147" width="1.5" style="2535" customWidth="1"/>
    <col min="16148" max="16153" width="11.125" style="2535" customWidth="1"/>
    <col min="16154" max="16154" width="1.5" style="2535" customWidth="1"/>
    <col min="16155" max="16155" width="10.25" style="2535" customWidth="1"/>
    <col min="16156" max="16157" width="11.125" style="2535" customWidth="1"/>
    <col min="16158" max="16158" width="1.5" style="2535" customWidth="1"/>
    <col min="16159" max="16159" width="3.25" style="2535" customWidth="1"/>
    <col min="16160" max="16161" width="11.125" style="2535" customWidth="1"/>
    <col min="16162" max="16162" width="1.5" style="2535" customWidth="1"/>
    <col min="16163" max="16168" width="11.125" style="2535" customWidth="1"/>
    <col min="16169" max="16169" width="1.5" style="2535" customWidth="1"/>
    <col min="16170" max="16170" width="10.25" style="2535" customWidth="1"/>
    <col min="16171" max="16172" width="11.125" style="2535" customWidth="1"/>
    <col min="16173" max="16173" width="1.5" style="2535" customWidth="1"/>
    <col min="16174" max="16175" width="6.875" style="2535"/>
    <col min="16176" max="16176" width="9.875" style="2535" customWidth="1"/>
    <col min="16177" max="16384" width="6.875" style="2535"/>
  </cols>
  <sheetData>
    <row r="2" spans="1:53">
      <c r="A2" s="2536"/>
      <c r="B2" s="2537"/>
      <c r="C2" s="2537"/>
      <c r="D2" s="2537"/>
      <c r="E2" s="2537"/>
      <c r="F2" s="2537"/>
      <c r="G2" s="2538" t="s">
        <v>206</v>
      </c>
      <c r="H2" s="2541" t="str">
        <f>'DS RS(1)'!H2</f>
        <v xml:space="preserve">PT Itamatra Nusantara </v>
      </c>
      <c r="I2" s="2539"/>
      <c r="J2" s="2539"/>
      <c r="K2" s="2539"/>
      <c r="L2" s="2539"/>
      <c r="M2" s="2539"/>
      <c r="N2" s="2540"/>
      <c r="P2" s="2536"/>
      <c r="Q2" s="2537"/>
      <c r="R2" s="2537"/>
      <c r="S2" s="2537"/>
      <c r="T2" s="2537"/>
      <c r="U2" s="2537"/>
      <c r="V2" s="2538" t="s">
        <v>206</v>
      </c>
      <c r="W2" s="2541" t="str">
        <f>H2</f>
        <v xml:space="preserve">PT Itamatra Nusantara </v>
      </c>
      <c r="X2" s="2539"/>
      <c r="Y2" s="2539"/>
      <c r="Z2" s="2539"/>
      <c r="AA2" s="2539"/>
      <c r="AB2" s="2539"/>
      <c r="AC2" s="2540"/>
      <c r="AE2" s="2536"/>
      <c r="AF2" s="2537"/>
      <c r="AG2" s="2537"/>
      <c r="AH2" s="2537"/>
      <c r="AI2" s="2537"/>
      <c r="AJ2" s="2537"/>
      <c r="AK2" s="2538" t="s">
        <v>206</v>
      </c>
      <c r="AL2" s="2541" t="str">
        <f>W2</f>
        <v xml:space="preserve">PT Itamatra Nusantara </v>
      </c>
      <c r="AM2" s="2539"/>
      <c r="AN2" s="2539"/>
      <c r="AO2" s="2539"/>
      <c r="AP2" s="2539"/>
      <c r="AQ2" s="2539"/>
      <c r="AR2" s="2540"/>
    </row>
    <row r="3" spans="1:53">
      <c r="A3" s="2542"/>
      <c r="G3" s="2543" t="s">
        <v>82</v>
      </c>
      <c r="H3" s="2546" t="str">
        <f>'DS RS(1)'!H3</f>
        <v>hidroplogi</v>
      </c>
      <c r="I3" s="2544"/>
      <c r="J3" s="2544"/>
      <c r="K3" s="2544"/>
      <c r="L3" s="2544"/>
      <c r="M3" s="2544"/>
      <c r="N3" s="2545"/>
      <c r="P3" s="2542"/>
      <c r="V3" s="2543" t="s">
        <v>82</v>
      </c>
      <c r="W3" s="2546" t="str">
        <f>H3</f>
        <v>hidroplogi</v>
      </c>
      <c r="X3" s="2544"/>
      <c r="Y3" s="2544"/>
      <c r="Z3" s="2544"/>
      <c r="AA3" s="2544"/>
      <c r="AB3" s="2544"/>
      <c r="AC3" s="2545"/>
      <c r="AE3" s="2542"/>
      <c r="AK3" s="2543" t="s">
        <v>82</v>
      </c>
      <c r="AL3" s="2546" t="str">
        <f>W3</f>
        <v>hidroplogi</v>
      </c>
      <c r="AM3" s="2544"/>
      <c r="AN3" s="2544"/>
      <c r="AO3" s="2544"/>
      <c r="AP3" s="2544"/>
      <c r="AQ3" s="2544"/>
      <c r="AR3" s="2545"/>
      <c r="AV3" s="2547" t="s">
        <v>1258</v>
      </c>
      <c r="AW3" s="2547"/>
      <c r="AX3" s="2547"/>
      <c r="AY3" s="2547"/>
      <c r="AZ3" s="2547"/>
      <c r="BA3" s="2547"/>
    </row>
    <row r="4" spans="1:53">
      <c r="A4" s="2542"/>
      <c r="G4" s="2543" t="s">
        <v>77</v>
      </c>
      <c r="H4" s="2546" t="str">
        <f>'DS RS(1)'!H4</f>
        <v>PO-GQT-19</v>
      </c>
      <c r="I4" s="2544"/>
      <c r="J4" s="2544"/>
      <c r="K4" s="2544"/>
      <c r="L4" s="2548" t="s">
        <v>76</v>
      </c>
      <c r="M4" s="2549"/>
      <c r="N4" s="2550"/>
      <c r="P4" s="2542"/>
      <c r="V4" s="2543" t="s">
        <v>77</v>
      </c>
      <c r="W4" s="2551" t="str">
        <f>H4</f>
        <v>PO-GQT-19</v>
      </c>
      <c r="X4" s="2544"/>
      <c r="Y4" s="2544"/>
      <c r="Z4" s="2544"/>
      <c r="AA4" s="2548" t="s">
        <v>76</v>
      </c>
      <c r="AB4" s="2549"/>
      <c r="AC4" s="2550"/>
      <c r="AE4" s="2542"/>
      <c r="AK4" s="2543" t="s">
        <v>77</v>
      </c>
      <c r="AL4" s="2551" t="str">
        <f>W4</f>
        <v>PO-GQT-19</v>
      </c>
      <c r="AM4" s="2544"/>
      <c r="AN4" s="2544"/>
      <c r="AO4" s="2544"/>
      <c r="AP4" s="2548" t="s">
        <v>76</v>
      </c>
      <c r="AQ4" s="2549"/>
      <c r="AR4" s="2550"/>
      <c r="AV4" s="2552" t="s">
        <v>1259</v>
      </c>
      <c r="AW4" s="2547"/>
      <c r="AX4" s="2547"/>
      <c r="AY4" s="2547"/>
      <c r="AZ4" s="2547"/>
      <c r="BA4" s="2547"/>
    </row>
    <row r="5" spans="1:53">
      <c r="A5" s="2553"/>
      <c r="B5" s="2554"/>
      <c r="C5" s="2554"/>
      <c r="D5" s="2554"/>
      <c r="E5" s="2554"/>
      <c r="F5" s="2554"/>
      <c r="G5" s="2555" t="s">
        <v>75</v>
      </c>
      <c r="H5" s="2558"/>
      <c r="I5" s="2556"/>
      <c r="J5" s="2556"/>
      <c r="K5" s="2556"/>
      <c r="L5" s="2557" t="s">
        <v>1106</v>
      </c>
      <c r="M5" s="2558"/>
      <c r="N5" s="2559"/>
      <c r="P5" s="2553"/>
      <c r="Q5" s="2554"/>
      <c r="R5" s="2554"/>
      <c r="S5" s="2554"/>
      <c r="T5" s="2554"/>
      <c r="U5" s="2554"/>
      <c r="V5" s="2555" t="s">
        <v>75</v>
      </c>
      <c r="W5" s="2908">
        <f>H5</f>
        <v>0</v>
      </c>
      <c r="X5" s="2556"/>
      <c r="Y5" s="2556"/>
      <c r="Z5" s="2556"/>
      <c r="AA5" s="2557" t="s">
        <v>1106</v>
      </c>
      <c r="AB5" s="2558"/>
      <c r="AC5" s="2559"/>
      <c r="AE5" s="2553"/>
      <c r="AF5" s="2554"/>
      <c r="AG5" s="2554"/>
      <c r="AH5" s="2554"/>
      <c r="AI5" s="2554"/>
      <c r="AJ5" s="2554"/>
      <c r="AK5" s="2555" t="s">
        <v>75</v>
      </c>
      <c r="AL5" s="2908">
        <f>W5</f>
        <v>0</v>
      </c>
      <c r="AM5" s="2556"/>
      <c r="AN5" s="2556"/>
      <c r="AO5" s="2556"/>
      <c r="AP5" s="2557" t="s">
        <v>1106</v>
      </c>
      <c r="AQ5" s="2558"/>
      <c r="AR5" s="2559"/>
      <c r="AV5" s="2560" t="s">
        <v>1260</v>
      </c>
      <c r="AW5" s="2547"/>
      <c r="AX5" s="2547"/>
      <c r="AY5" s="2547"/>
      <c r="AZ5" s="2547" t="s">
        <v>1261</v>
      </c>
      <c r="BA5" s="2547"/>
    </row>
    <row r="6" spans="1:53" ht="14.25" thickBot="1">
      <c r="A6" s="2542"/>
      <c r="H6" s="2561"/>
      <c r="N6" s="2562"/>
      <c r="P6" s="2542"/>
      <c r="W6" s="2561"/>
      <c r="AC6" s="2562"/>
      <c r="AE6" s="2542"/>
      <c r="AL6" s="2561"/>
      <c r="AR6" s="2562"/>
      <c r="AV6" s="2547"/>
      <c r="AW6" s="2547"/>
      <c r="AX6" s="2547"/>
      <c r="AY6" s="2529"/>
      <c r="AZ6" s="2529"/>
      <c r="BA6" s="2529"/>
    </row>
    <row r="7" spans="1:53">
      <c r="A7" s="2563" t="s">
        <v>1262</v>
      </c>
      <c r="B7" s="2547"/>
      <c r="C7" s="2547"/>
      <c r="D7" s="2547"/>
      <c r="E7" s="2547"/>
      <c r="F7" s="2547"/>
      <c r="G7" s="2547"/>
      <c r="H7" s="2564"/>
      <c r="I7" s="2547"/>
      <c r="J7" s="2547"/>
      <c r="K7" s="2547"/>
      <c r="L7" s="2547"/>
      <c r="M7" s="2547"/>
      <c r="N7" s="2565"/>
      <c r="P7" s="2563" t="s">
        <v>1262</v>
      </c>
      <c r="Q7" s="2547"/>
      <c r="R7" s="2547"/>
      <c r="S7" s="2547"/>
      <c r="T7" s="2547"/>
      <c r="U7" s="2547"/>
      <c r="V7" s="2547"/>
      <c r="W7" s="2564"/>
      <c r="X7" s="2547"/>
      <c r="Y7" s="2547"/>
      <c r="Z7" s="2547"/>
      <c r="AA7" s="2547"/>
      <c r="AB7" s="2547"/>
      <c r="AC7" s="2565"/>
      <c r="AE7" s="2563" t="s">
        <v>1262</v>
      </c>
      <c r="AF7" s="2547"/>
      <c r="AG7" s="2547"/>
      <c r="AH7" s="2547"/>
      <c r="AI7" s="2547"/>
      <c r="AJ7" s="2547"/>
      <c r="AK7" s="2547"/>
      <c r="AL7" s="2564"/>
      <c r="AM7" s="2547"/>
      <c r="AN7" s="2547"/>
      <c r="AO7" s="2547"/>
      <c r="AP7" s="2547"/>
      <c r="AQ7" s="2547"/>
      <c r="AR7" s="2565"/>
      <c r="AV7" s="2566" t="s">
        <v>284</v>
      </c>
      <c r="AW7" s="2567" t="s">
        <v>12</v>
      </c>
      <c r="AX7" s="2568" t="s">
        <v>285</v>
      </c>
      <c r="AY7" s="2569" t="s">
        <v>286</v>
      </c>
      <c r="AZ7" s="2570" t="s">
        <v>167</v>
      </c>
      <c r="BA7" s="2571" t="s">
        <v>287</v>
      </c>
    </row>
    <row r="8" spans="1:53" ht="15.75" thickBot="1">
      <c r="A8" s="2572"/>
      <c r="C8" s="2547"/>
      <c r="D8" s="2547"/>
      <c r="E8" s="2547"/>
      <c r="F8" s="2547"/>
      <c r="G8" s="2547"/>
      <c r="H8" s="2547"/>
      <c r="I8" s="2547"/>
      <c r="J8" s="2547"/>
      <c r="K8" s="2547"/>
      <c r="L8" s="2547"/>
      <c r="M8" s="2547"/>
      <c r="N8" s="2573"/>
      <c r="P8" s="2572"/>
      <c r="R8" s="2547"/>
      <c r="S8" s="2547"/>
      <c r="T8" s="2547"/>
      <c r="U8" s="2547"/>
      <c r="V8" s="2547"/>
      <c r="W8" s="2547"/>
      <c r="X8" s="2547"/>
      <c r="Y8" s="2547"/>
      <c r="Z8" s="2547"/>
      <c r="AA8" s="2547"/>
      <c r="AB8" s="2547"/>
      <c r="AC8" s="2573"/>
      <c r="AE8" s="2572"/>
      <c r="AG8" s="2547"/>
      <c r="AH8" s="2547"/>
      <c r="AI8" s="2547"/>
      <c r="AJ8" s="2547"/>
      <c r="AK8" s="2547"/>
      <c r="AL8" s="2547"/>
      <c r="AM8" s="2547"/>
      <c r="AN8" s="2547"/>
      <c r="AO8" s="2547"/>
      <c r="AP8" s="2547"/>
      <c r="AQ8" s="2547"/>
      <c r="AR8" s="2573"/>
      <c r="AV8" s="2530" t="s">
        <v>60</v>
      </c>
      <c r="AW8" s="2531" t="s">
        <v>1264</v>
      </c>
      <c r="AX8" s="2532" t="s">
        <v>1264</v>
      </c>
      <c r="AY8" s="2533" t="s">
        <v>289</v>
      </c>
      <c r="AZ8" s="2533" t="s">
        <v>1305</v>
      </c>
      <c r="BA8" s="2534" t="s">
        <v>1306</v>
      </c>
    </row>
    <row r="9" spans="1:53">
      <c r="A9" s="2542"/>
      <c r="B9" s="2574" t="s">
        <v>208</v>
      </c>
      <c r="C9" s="2575" t="s">
        <v>27</v>
      </c>
      <c r="D9" s="2575"/>
      <c r="E9" s="2578"/>
      <c r="F9" s="2575"/>
      <c r="I9" s="2535" t="s">
        <v>240</v>
      </c>
      <c r="K9" s="2535" t="s">
        <v>27</v>
      </c>
      <c r="L9" s="2576"/>
      <c r="N9" s="2577"/>
      <c r="P9" s="2542"/>
      <c r="Q9" s="2574" t="s">
        <v>208</v>
      </c>
      <c r="R9" s="2575" t="s">
        <v>27</v>
      </c>
      <c r="S9" s="2575"/>
      <c r="T9" s="2578"/>
      <c r="U9" s="2575"/>
      <c r="X9" s="2535" t="s">
        <v>240</v>
      </c>
      <c r="Z9" s="2535" t="s">
        <v>27</v>
      </c>
      <c r="AA9" s="2576"/>
      <c r="AC9" s="2577"/>
      <c r="AE9" s="2542"/>
      <c r="AF9" s="2574" t="s">
        <v>208</v>
      </c>
      <c r="AG9" s="2575" t="s">
        <v>27</v>
      </c>
      <c r="AH9" s="2575"/>
      <c r="AI9" s="2578"/>
      <c r="AJ9" s="2575"/>
      <c r="AM9" s="2535" t="s">
        <v>240</v>
      </c>
      <c r="AO9" s="2535" t="s">
        <v>27</v>
      </c>
      <c r="AP9" s="2576"/>
      <c r="AR9" s="2577"/>
      <c r="AV9" s="2579">
        <v>1</v>
      </c>
      <c r="AW9" s="2580">
        <v>6.52</v>
      </c>
      <c r="AX9" s="2581">
        <v>1.98</v>
      </c>
      <c r="AY9" s="2582">
        <v>81.849999999999994</v>
      </c>
      <c r="AZ9" s="2583">
        <f t="shared" ref="AZ9:AZ27" si="0">+(AW9)^2*PI()*(0.25)</f>
        <v>33.387590085290881</v>
      </c>
      <c r="BA9" s="2584">
        <f t="shared" ref="BA9:BA27" si="1">AZ9*AX9</f>
        <v>66.107428368875944</v>
      </c>
    </row>
    <row r="10" spans="1:53">
      <c r="A10" s="2542"/>
      <c r="B10" s="2574" t="s">
        <v>1124</v>
      </c>
      <c r="C10" s="2575" t="s">
        <v>27</v>
      </c>
      <c r="D10" s="2575"/>
      <c r="E10" s="2578"/>
      <c r="F10" s="2575"/>
      <c r="I10" s="2535" t="s">
        <v>234</v>
      </c>
      <c r="K10" s="2535" t="s">
        <v>27</v>
      </c>
      <c r="L10" s="2576"/>
      <c r="N10" s="2577"/>
      <c r="P10" s="2542"/>
      <c r="Q10" s="2574" t="s">
        <v>1124</v>
      </c>
      <c r="R10" s="2575" t="s">
        <v>27</v>
      </c>
      <c r="S10" s="2575"/>
      <c r="T10" s="2578"/>
      <c r="U10" s="2575"/>
      <c r="X10" s="2535" t="s">
        <v>234</v>
      </c>
      <c r="Z10" s="2535" t="s">
        <v>27</v>
      </c>
      <c r="AA10" s="2576"/>
      <c r="AC10" s="2577"/>
      <c r="AE10" s="2542"/>
      <c r="AF10" s="2574" t="s">
        <v>1124</v>
      </c>
      <c r="AG10" s="2575" t="s">
        <v>27</v>
      </c>
      <c r="AH10" s="2575"/>
      <c r="AI10" s="2578"/>
      <c r="AJ10" s="2575"/>
      <c r="AM10" s="2535" t="s">
        <v>234</v>
      </c>
      <c r="AO10" s="2535" t="s">
        <v>27</v>
      </c>
      <c r="AP10" s="2576"/>
      <c r="AR10" s="2577"/>
      <c r="AV10" s="2579"/>
      <c r="AW10" s="2585"/>
      <c r="AX10" s="2585"/>
      <c r="AY10" s="2582"/>
      <c r="AZ10" s="2583">
        <f t="shared" si="0"/>
        <v>0</v>
      </c>
      <c r="BA10" s="2584">
        <f t="shared" si="1"/>
        <v>0</v>
      </c>
    </row>
    <row r="11" spans="1:53">
      <c r="A11" s="2542"/>
      <c r="B11" s="2574" t="s">
        <v>210</v>
      </c>
      <c r="C11" s="2575" t="s">
        <v>27</v>
      </c>
      <c r="D11" s="2575"/>
      <c r="E11" s="2578"/>
      <c r="F11" s="2575" t="s">
        <v>68</v>
      </c>
      <c r="I11" s="2535" t="s">
        <v>212</v>
      </c>
      <c r="K11" s="2535" t="s">
        <v>27</v>
      </c>
      <c r="L11" s="2576"/>
      <c r="N11" s="2577"/>
      <c r="P11" s="2542"/>
      <c r="Q11" s="2574" t="s">
        <v>210</v>
      </c>
      <c r="R11" s="2575" t="s">
        <v>27</v>
      </c>
      <c r="S11" s="2575"/>
      <c r="T11" s="2578"/>
      <c r="U11" s="2575" t="s">
        <v>68</v>
      </c>
      <c r="X11" s="2535" t="s">
        <v>212</v>
      </c>
      <c r="Z11" s="2535" t="s">
        <v>27</v>
      </c>
      <c r="AA11" s="2576"/>
      <c r="AC11" s="2577"/>
      <c r="AE11" s="2542"/>
      <c r="AF11" s="2574" t="s">
        <v>210</v>
      </c>
      <c r="AG11" s="2575" t="s">
        <v>27</v>
      </c>
      <c r="AH11" s="2575"/>
      <c r="AI11" s="2578"/>
      <c r="AJ11" s="2575" t="s">
        <v>68</v>
      </c>
      <c r="AM11" s="2535" t="s">
        <v>212</v>
      </c>
      <c r="AO11" s="2535" t="s">
        <v>27</v>
      </c>
      <c r="AP11" s="2576"/>
      <c r="AR11" s="2577"/>
      <c r="AV11" s="2579"/>
      <c r="AW11" s="2585"/>
      <c r="AX11" s="2585"/>
      <c r="AY11" s="2582"/>
      <c r="AZ11" s="2583">
        <f t="shared" si="0"/>
        <v>0</v>
      </c>
      <c r="BA11" s="2584">
        <f t="shared" si="1"/>
        <v>0</v>
      </c>
    </row>
    <row r="12" spans="1:53">
      <c r="A12" s="2542"/>
      <c r="B12" s="2574"/>
      <c r="C12" s="2575"/>
      <c r="D12" s="2575"/>
      <c r="E12" s="2586"/>
      <c r="F12" s="2575"/>
      <c r="J12" s="2547"/>
      <c r="K12" s="2547"/>
      <c r="N12" s="2577"/>
      <c r="P12" s="2542"/>
      <c r="Q12" s="2574"/>
      <c r="R12" s="2575"/>
      <c r="S12" s="2575"/>
      <c r="T12" s="2586"/>
      <c r="U12" s="2575"/>
      <c r="Y12" s="2547"/>
      <c r="Z12" s="2547"/>
      <c r="AC12" s="2577"/>
      <c r="AE12" s="2542"/>
      <c r="AF12" s="2574"/>
      <c r="AG12" s="2575"/>
      <c r="AH12" s="2575"/>
      <c r="AI12" s="2586"/>
      <c r="AJ12" s="2575"/>
      <c r="AN12" s="2547"/>
      <c r="AO12" s="2547"/>
      <c r="AR12" s="2577"/>
      <c r="AV12" s="2579"/>
      <c r="AW12" s="2585"/>
      <c r="AX12" s="2585"/>
      <c r="AY12" s="2582"/>
      <c r="AZ12" s="2583">
        <f t="shared" si="0"/>
        <v>0</v>
      </c>
      <c r="BA12" s="2584">
        <f t="shared" si="1"/>
        <v>0</v>
      </c>
    </row>
    <row r="13" spans="1:53">
      <c r="A13" s="2542"/>
      <c r="B13" s="2587"/>
      <c r="G13" s="2587"/>
      <c r="L13" s="2588" t="s">
        <v>1265</v>
      </c>
      <c r="M13" s="2588" t="s">
        <v>1266</v>
      </c>
      <c r="N13" s="2577"/>
      <c r="P13" s="2542"/>
      <c r="Q13" s="2587"/>
      <c r="V13" s="2587"/>
      <c r="AA13" s="2588" t="s">
        <v>1265</v>
      </c>
      <c r="AB13" s="2588" t="s">
        <v>1266</v>
      </c>
      <c r="AC13" s="2577"/>
      <c r="AE13" s="2542"/>
      <c r="AF13" s="2587"/>
      <c r="AK13" s="2587"/>
      <c r="AP13" s="2588" t="s">
        <v>1265</v>
      </c>
      <c r="AQ13" s="2588" t="s">
        <v>1266</v>
      </c>
      <c r="AR13" s="2577"/>
      <c r="AV13" s="2579"/>
      <c r="AW13" s="2585"/>
      <c r="AX13" s="2585"/>
      <c r="AY13" s="2582"/>
      <c r="AZ13" s="2583">
        <f t="shared" si="0"/>
        <v>0</v>
      </c>
      <c r="BA13" s="2584">
        <f t="shared" si="1"/>
        <v>0</v>
      </c>
    </row>
    <row r="14" spans="1:53">
      <c r="A14" s="2542"/>
      <c r="B14" s="2589" t="s">
        <v>1163</v>
      </c>
      <c r="C14" s="2544"/>
      <c r="D14" s="2544"/>
      <c r="E14" s="2590" t="s">
        <v>104</v>
      </c>
      <c r="F14" s="2591">
        <v>1</v>
      </c>
      <c r="H14" s="2589" t="s">
        <v>1267</v>
      </c>
      <c r="I14" s="2544"/>
      <c r="J14" s="2590" t="s">
        <v>414</v>
      </c>
      <c r="K14" s="2592"/>
      <c r="L14" s="2593">
        <v>207.82</v>
      </c>
      <c r="M14" s="2594">
        <v>207.99</v>
      </c>
      <c r="N14" s="2577"/>
      <c r="P14" s="2542"/>
      <c r="Q14" s="2589" t="s">
        <v>1163</v>
      </c>
      <c r="R14" s="2544"/>
      <c r="S14" s="2544"/>
      <c r="T14" s="2590" t="s">
        <v>104</v>
      </c>
      <c r="U14" s="2591">
        <f>F14</f>
        <v>1</v>
      </c>
      <c r="W14" s="2589" t="s">
        <v>1267</v>
      </c>
      <c r="X14" s="2544"/>
      <c r="Y14" s="2590" t="s">
        <v>414</v>
      </c>
      <c r="Z14" s="2592"/>
      <c r="AA14" s="2593">
        <f>L14</f>
        <v>207.82</v>
      </c>
      <c r="AB14" s="2594">
        <f>M14</f>
        <v>207.99</v>
      </c>
      <c r="AC14" s="2577"/>
      <c r="AE14" s="2542"/>
      <c r="AF14" s="2589" t="s">
        <v>1163</v>
      </c>
      <c r="AG14" s="2544"/>
      <c r="AH14" s="2544"/>
      <c r="AI14" s="2590" t="s">
        <v>104</v>
      </c>
      <c r="AJ14" s="2591">
        <f>U14</f>
        <v>1</v>
      </c>
      <c r="AL14" s="2589" t="s">
        <v>1267</v>
      </c>
      <c r="AM14" s="2544"/>
      <c r="AN14" s="2590" t="s">
        <v>414</v>
      </c>
      <c r="AO14" s="2592"/>
      <c r="AP14" s="2593">
        <f>AA14</f>
        <v>207.82</v>
      </c>
      <c r="AQ14" s="2594">
        <f>AB14</f>
        <v>207.99</v>
      </c>
      <c r="AR14" s="2577"/>
      <c r="AV14" s="2579"/>
      <c r="AW14" s="2585"/>
      <c r="AX14" s="2585"/>
      <c r="AY14" s="2582"/>
      <c r="AZ14" s="2583">
        <f t="shared" si="0"/>
        <v>0</v>
      </c>
      <c r="BA14" s="2584">
        <f t="shared" si="1"/>
        <v>0</v>
      </c>
    </row>
    <row r="15" spans="1:53">
      <c r="A15" s="2542"/>
      <c r="B15" s="2595" t="s">
        <v>1268</v>
      </c>
      <c r="C15" s="2596"/>
      <c r="D15" s="2596"/>
      <c r="E15" s="2590" t="s">
        <v>104</v>
      </c>
      <c r="F15" s="2597">
        <f>VLOOKUP(F14,AV9:AY29,2)</f>
        <v>6.52</v>
      </c>
      <c r="H15" s="2595" t="s">
        <v>1269</v>
      </c>
      <c r="I15" s="2544"/>
      <c r="J15" s="2590" t="s">
        <v>414</v>
      </c>
      <c r="K15" s="2592"/>
      <c r="L15" s="2598">
        <f>L18+L16</f>
        <v>189.7</v>
      </c>
      <c r="M15" s="2594">
        <v>107.85</v>
      </c>
      <c r="N15" s="2577"/>
      <c r="P15" s="2542"/>
      <c r="Q15" s="2595" t="s">
        <v>1268</v>
      </c>
      <c r="R15" s="2596"/>
      <c r="S15" s="2596"/>
      <c r="T15" s="2590" t="s">
        <v>104</v>
      </c>
      <c r="U15" s="2597">
        <f t="shared" ref="U15:U22" si="2">F15</f>
        <v>6.52</v>
      </c>
      <c r="W15" s="2595" t="s">
        <v>1269</v>
      </c>
      <c r="X15" s="2544"/>
      <c r="Y15" s="2590" t="s">
        <v>414</v>
      </c>
      <c r="Z15" s="2592"/>
      <c r="AA15" s="2598">
        <f t="shared" ref="AA15:AB23" si="3">L15</f>
        <v>189.7</v>
      </c>
      <c r="AB15" s="2594">
        <f t="shared" si="3"/>
        <v>107.85</v>
      </c>
      <c r="AC15" s="2577"/>
      <c r="AE15" s="2542"/>
      <c r="AF15" s="2595" t="s">
        <v>1268</v>
      </c>
      <c r="AG15" s="2596"/>
      <c r="AH15" s="2596"/>
      <c r="AI15" s="2590" t="s">
        <v>104</v>
      </c>
      <c r="AJ15" s="2597">
        <f t="shared" ref="AJ15:AJ22" si="4">U15</f>
        <v>6.52</v>
      </c>
      <c r="AL15" s="2595" t="s">
        <v>1269</v>
      </c>
      <c r="AM15" s="2544"/>
      <c r="AN15" s="2590" t="s">
        <v>414</v>
      </c>
      <c r="AO15" s="2592"/>
      <c r="AP15" s="2598">
        <f t="shared" ref="AP15:AQ23" si="5">AA15</f>
        <v>189.7</v>
      </c>
      <c r="AQ15" s="2594">
        <f t="shared" si="5"/>
        <v>107.85</v>
      </c>
      <c r="AR15" s="2577"/>
      <c r="AV15" s="2579"/>
      <c r="AW15" s="2585"/>
      <c r="AX15" s="2585"/>
      <c r="AY15" s="2582"/>
      <c r="AZ15" s="2583">
        <f t="shared" si="0"/>
        <v>0</v>
      </c>
      <c r="BA15" s="2584">
        <f t="shared" si="1"/>
        <v>0</v>
      </c>
    </row>
    <row r="16" spans="1:53" ht="15">
      <c r="A16" s="2542"/>
      <c r="B16" s="2595" t="s">
        <v>1270</v>
      </c>
      <c r="C16" s="2596"/>
      <c r="D16" s="2596"/>
      <c r="E16" s="2599" t="s">
        <v>721</v>
      </c>
      <c r="F16" s="2597">
        <f>VLOOKUP(F14,AV9:AY28,3)</f>
        <v>1.98</v>
      </c>
      <c r="H16" s="2589" t="s">
        <v>1271</v>
      </c>
      <c r="I16" s="2544"/>
      <c r="J16" s="2590" t="s">
        <v>414</v>
      </c>
      <c r="K16" s="2592"/>
      <c r="L16" s="2598">
        <f>VLOOKUP(F14,AV9:AY29,4)</f>
        <v>81.849999999999994</v>
      </c>
      <c r="M16" s="2594">
        <v>0</v>
      </c>
      <c r="N16" s="2577"/>
      <c r="P16" s="2542"/>
      <c r="Q16" s="2595" t="s">
        <v>1270</v>
      </c>
      <c r="R16" s="2596"/>
      <c r="S16" s="2596"/>
      <c r="T16" s="2599" t="s">
        <v>721</v>
      </c>
      <c r="U16" s="2597">
        <f t="shared" si="2"/>
        <v>1.98</v>
      </c>
      <c r="W16" s="2589" t="s">
        <v>1271</v>
      </c>
      <c r="X16" s="2544"/>
      <c r="Y16" s="2590" t="s">
        <v>414</v>
      </c>
      <c r="Z16" s="2592"/>
      <c r="AA16" s="2598">
        <f t="shared" si="3"/>
        <v>81.849999999999994</v>
      </c>
      <c r="AB16" s="2594">
        <f t="shared" si="3"/>
        <v>0</v>
      </c>
      <c r="AC16" s="2577"/>
      <c r="AE16" s="2542"/>
      <c r="AF16" s="2595" t="s">
        <v>1270</v>
      </c>
      <c r="AG16" s="2596"/>
      <c r="AH16" s="2596"/>
      <c r="AI16" s="2599" t="s">
        <v>721</v>
      </c>
      <c r="AJ16" s="2597">
        <f t="shared" si="4"/>
        <v>1.98</v>
      </c>
      <c r="AL16" s="2589" t="s">
        <v>1271</v>
      </c>
      <c r="AM16" s="2544"/>
      <c r="AN16" s="2590" t="s">
        <v>414</v>
      </c>
      <c r="AO16" s="2592"/>
      <c r="AP16" s="2598">
        <f t="shared" si="5"/>
        <v>81.849999999999994</v>
      </c>
      <c r="AQ16" s="2594">
        <f t="shared" si="5"/>
        <v>0</v>
      </c>
      <c r="AR16" s="2577"/>
      <c r="AV16" s="2579"/>
      <c r="AW16" s="2585"/>
      <c r="AX16" s="2585"/>
      <c r="AY16" s="2582"/>
      <c r="AZ16" s="2583">
        <f t="shared" si="0"/>
        <v>0</v>
      </c>
      <c r="BA16" s="2584">
        <f t="shared" si="1"/>
        <v>0</v>
      </c>
    </row>
    <row r="17" spans="1:53" ht="15">
      <c r="A17" s="2542"/>
      <c r="B17" s="2595" t="s">
        <v>1272</v>
      </c>
      <c r="C17" s="2596"/>
      <c r="D17" s="2596"/>
      <c r="E17" s="2599" t="s">
        <v>721</v>
      </c>
      <c r="F17" s="2600">
        <f>+(F15)^2*PI()*0.25</f>
        <v>33.387590085290881</v>
      </c>
      <c r="H17" s="2589" t="s">
        <v>1273</v>
      </c>
      <c r="I17" s="2590"/>
      <c r="J17" s="2590" t="s">
        <v>414</v>
      </c>
      <c r="K17" s="2592"/>
      <c r="L17" s="2598">
        <f>L14-L16</f>
        <v>125.97</v>
      </c>
      <c r="M17" s="2601">
        <f>M14-M16</f>
        <v>207.99</v>
      </c>
      <c r="N17" s="2577"/>
      <c r="P17" s="2542"/>
      <c r="Q17" s="2595" t="s">
        <v>1272</v>
      </c>
      <c r="R17" s="2596"/>
      <c r="S17" s="2596"/>
      <c r="T17" s="2599" t="s">
        <v>721</v>
      </c>
      <c r="U17" s="2600">
        <f t="shared" si="2"/>
        <v>33.387590085290881</v>
      </c>
      <c r="W17" s="2589" t="s">
        <v>1273</v>
      </c>
      <c r="X17" s="2590"/>
      <c r="Y17" s="2590" t="s">
        <v>414</v>
      </c>
      <c r="Z17" s="2592"/>
      <c r="AA17" s="2598">
        <f t="shared" si="3"/>
        <v>125.97</v>
      </c>
      <c r="AB17" s="2601">
        <f t="shared" si="3"/>
        <v>207.99</v>
      </c>
      <c r="AC17" s="2577"/>
      <c r="AE17" s="2542"/>
      <c r="AF17" s="2595" t="s">
        <v>1272</v>
      </c>
      <c r="AG17" s="2596"/>
      <c r="AH17" s="2596"/>
      <c r="AI17" s="2599" t="s">
        <v>721</v>
      </c>
      <c r="AJ17" s="2600">
        <f t="shared" si="4"/>
        <v>33.387590085290881</v>
      </c>
      <c r="AL17" s="2589" t="s">
        <v>1273</v>
      </c>
      <c r="AM17" s="2590"/>
      <c r="AN17" s="2590" t="s">
        <v>414</v>
      </c>
      <c r="AO17" s="2592"/>
      <c r="AP17" s="2598">
        <f t="shared" si="5"/>
        <v>125.97</v>
      </c>
      <c r="AQ17" s="2601">
        <f t="shared" si="5"/>
        <v>207.99</v>
      </c>
      <c r="AR17" s="2577"/>
      <c r="AV17" s="2579"/>
      <c r="AW17" s="2585"/>
      <c r="AX17" s="2585"/>
      <c r="AY17" s="2582"/>
      <c r="AZ17" s="2583">
        <f t="shared" si="0"/>
        <v>0</v>
      </c>
      <c r="BA17" s="2584">
        <f t="shared" si="1"/>
        <v>0</v>
      </c>
    </row>
    <row r="18" spans="1:53" ht="15">
      <c r="A18" s="2542"/>
      <c r="B18" s="2595" t="s">
        <v>1274</v>
      </c>
      <c r="C18" s="2596"/>
      <c r="D18" s="2596"/>
      <c r="E18" s="2599" t="s">
        <v>615</v>
      </c>
      <c r="F18" s="2600">
        <f>F17*F16</f>
        <v>66.107428368875944</v>
      </c>
      <c r="H18" s="2595" t="s">
        <v>1275</v>
      </c>
      <c r="I18" s="2590"/>
      <c r="J18" s="2590" t="s">
        <v>414</v>
      </c>
      <c r="K18" s="2592"/>
      <c r="L18" s="2598">
        <f>M18</f>
        <v>107.85</v>
      </c>
      <c r="M18" s="2601">
        <f>M15-M16</f>
        <v>107.85</v>
      </c>
      <c r="N18" s="2577"/>
      <c r="P18" s="2542"/>
      <c r="Q18" s="2595" t="s">
        <v>1274</v>
      </c>
      <c r="R18" s="2596"/>
      <c r="S18" s="2596"/>
      <c r="T18" s="2599" t="s">
        <v>615</v>
      </c>
      <c r="U18" s="2600">
        <f t="shared" si="2"/>
        <v>66.107428368875944</v>
      </c>
      <c r="W18" s="2595" t="s">
        <v>1275</v>
      </c>
      <c r="X18" s="2590"/>
      <c r="Y18" s="2590" t="s">
        <v>414</v>
      </c>
      <c r="Z18" s="2592"/>
      <c r="AA18" s="2598">
        <f t="shared" si="3"/>
        <v>107.85</v>
      </c>
      <c r="AB18" s="2601">
        <f t="shared" si="3"/>
        <v>107.85</v>
      </c>
      <c r="AC18" s="2577"/>
      <c r="AE18" s="2542"/>
      <c r="AF18" s="2595" t="s">
        <v>1274</v>
      </c>
      <c r="AG18" s="2596"/>
      <c r="AH18" s="2596"/>
      <c r="AI18" s="2599" t="s">
        <v>615</v>
      </c>
      <c r="AJ18" s="2600">
        <f t="shared" si="4"/>
        <v>66.107428368875944</v>
      </c>
      <c r="AL18" s="2595" t="s">
        <v>1275</v>
      </c>
      <c r="AM18" s="2590"/>
      <c r="AN18" s="2590" t="s">
        <v>414</v>
      </c>
      <c r="AO18" s="2592"/>
      <c r="AP18" s="2598">
        <f t="shared" si="5"/>
        <v>107.85</v>
      </c>
      <c r="AQ18" s="2601">
        <f t="shared" si="5"/>
        <v>107.85</v>
      </c>
      <c r="AR18" s="2577"/>
      <c r="AV18" s="2579"/>
      <c r="AW18" s="2585"/>
      <c r="AX18" s="2585"/>
      <c r="AY18" s="2582"/>
      <c r="AZ18" s="2583">
        <f t="shared" si="0"/>
        <v>0</v>
      </c>
      <c r="BA18" s="2584">
        <f t="shared" si="1"/>
        <v>0</v>
      </c>
    </row>
    <row r="19" spans="1:53">
      <c r="A19" s="2542"/>
      <c r="B19" s="2595" t="s">
        <v>1276</v>
      </c>
      <c r="C19" s="2596"/>
      <c r="D19" s="2596"/>
      <c r="E19" s="2602" t="s">
        <v>595</v>
      </c>
      <c r="F19" s="2903">
        <f>'DS RS(1)'!F19</f>
        <v>0.58099999999999996</v>
      </c>
      <c r="H19" s="2595" t="s">
        <v>919</v>
      </c>
      <c r="I19" s="2590"/>
      <c r="J19" s="2590" t="s">
        <v>1</v>
      </c>
      <c r="K19" s="2592"/>
      <c r="L19" s="2598">
        <f>(L17-L18)/(L18)*100</f>
        <v>16.801112656467321</v>
      </c>
      <c r="M19" s="2598">
        <f>(M17-M18)/(M18)*100</f>
        <v>92.851182197496541</v>
      </c>
      <c r="N19" s="2577"/>
      <c r="P19" s="2542"/>
      <c r="Q19" s="2595" t="s">
        <v>1276</v>
      </c>
      <c r="R19" s="2596"/>
      <c r="S19" s="2596"/>
      <c r="T19" s="2602" t="s">
        <v>595</v>
      </c>
      <c r="U19" s="2603">
        <f t="shared" si="2"/>
        <v>0.58099999999999996</v>
      </c>
      <c r="W19" s="2595" t="s">
        <v>919</v>
      </c>
      <c r="X19" s="2590"/>
      <c r="Y19" s="2590" t="s">
        <v>1</v>
      </c>
      <c r="Z19" s="2592"/>
      <c r="AA19" s="2598">
        <f t="shared" si="3"/>
        <v>16.801112656467321</v>
      </c>
      <c r="AB19" s="2598">
        <f t="shared" si="3"/>
        <v>92.851182197496541</v>
      </c>
      <c r="AC19" s="2577"/>
      <c r="AE19" s="2542"/>
      <c r="AF19" s="2595" t="s">
        <v>1276</v>
      </c>
      <c r="AG19" s="2596"/>
      <c r="AH19" s="2596"/>
      <c r="AI19" s="2602" t="s">
        <v>595</v>
      </c>
      <c r="AJ19" s="2603">
        <f t="shared" si="4"/>
        <v>0.58099999999999996</v>
      </c>
      <c r="AL19" s="2595" t="s">
        <v>919</v>
      </c>
      <c r="AM19" s="2590"/>
      <c r="AN19" s="2590" t="s">
        <v>1</v>
      </c>
      <c r="AO19" s="2592"/>
      <c r="AP19" s="2598">
        <f t="shared" si="5"/>
        <v>16.801112656467321</v>
      </c>
      <c r="AQ19" s="2598">
        <f t="shared" si="5"/>
        <v>92.851182197496541</v>
      </c>
      <c r="AR19" s="2577"/>
      <c r="AV19" s="2579"/>
      <c r="AW19" s="2585"/>
      <c r="AX19" s="2585"/>
      <c r="AY19" s="2582"/>
      <c r="AZ19" s="2583">
        <f t="shared" si="0"/>
        <v>0</v>
      </c>
      <c r="BA19" s="2584">
        <f t="shared" si="1"/>
        <v>0</v>
      </c>
    </row>
    <row r="20" spans="1:53" ht="15">
      <c r="A20" s="2542"/>
      <c r="B20" s="2595" t="s">
        <v>1277</v>
      </c>
      <c r="C20" s="2596"/>
      <c r="D20" s="2596"/>
      <c r="E20" s="2590" t="s">
        <v>1172</v>
      </c>
      <c r="F20" s="2604">
        <v>33.18</v>
      </c>
      <c r="H20" s="2605" t="s">
        <v>920</v>
      </c>
      <c r="I20" s="2590"/>
      <c r="J20" s="2590" t="s">
        <v>1303</v>
      </c>
      <c r="K20" s="2592"/>
      <c r="L20" s="2606">
        <f>L17/F18</f>
        <v>1.9055347198970451</v>
      </c>
      <c r="M20" s="2606">
        <f>M17/F18</f>
        <v>3.1462424894132446</v>
      </c>
      <c r="N20" s="2577"/>
      <c r="P20" s="2542"/>
      <c r="Q20" s="2595" t="s">
        <v>1277</v>
      </c>
      <c r="R20" s="2596"/>
      <c r="S20" s="2596"/>
      <c r="T20" s="2590" t="s">
        <v>1172</v>
      </c>
      <c r="U20" s="2607">
        <f t="shared" si="2"/>
        <v>33.18</v>
      </c>
      <c r="W20" s="2605" t="s">
        <v>920</v>
      </c>
      <c r="X20" s="2590"/>
      <c r="Y20" s="2590" t="s">
        <v>1303</v>
      </c>
      <c r="Z20" s="2592"/>
      <c r="AA20" s="2606">
        <f t="shared" si="3"/>
        <v>1.9055347198970451</v>
      </c>
      <c r="AB20" s="2606">
        <f t="shared" si="3"/>
        <v>3.1462424894132446</v>
      </c>
      <c r="AC20" s="2577"/>
      <c r="AE20" s="2542"/>
      <c r="AF20" s="2595" t="s">
        <v>1277</v>
      </c>
      <c r="AG20" s="2596"/>
      <c r="AH20" s="2596"/>
      <c r="AI20" s="2590" t="s">
        <v>1172</v>
      </c>
      <c r="AJ20" s="2607">
        <f t="shared" si="4"/>
        <v>33.18</v>
      </c>
      <c r="AL20" s="2605" t="s">
        <v>920</v>
      </c>
      <c r="AM20" s="2590"/>
      <c r="AN20" s="2590" t="s">
        <v>1303</v>
      </c>
      <c r="AO20" s="2592"/>
      <c r="AP20" s="2606">
        <f t="shared" si="5"/>
        <v>1.9055347198970451</v>
      </c>
      <c r="AQ20" s="2606">
        <f t="shared" si="5"/>
        <v>3.1462424894132446</v>
      </c>
      <c r="AR20" s="2577"/>
      <c r="AV20" s="2579"/>
      <c r="AW20" s="2585"/>
      <c r="AX20" s="2585"/>
      <c r="AY20" s="2582"/>
      <c r="AZ20" s="2583">
        <f t="shared" si="0"/>
        <v>0</v>
      </c>
      <c r="BA20" s="2584">
        <f t="shared" si="1"/>
        <v>0</v>
      </c>
    </row>
    <row r="21" spans="1:53" ht="15">
      <c r="A21" s="2542"/>
      <c r="B21" s="2595" t="s">
        <v>1131</v>
      </c>
      <c r="C21" s="2596"/>
      <c r="D21" s="2596"/>
      <c r="E21" s="2608" t="s">
        <v>1304</v>
      </c>
      <c r="F21" s="2609">
        <f>(F20/F17)*100</f>
        <v>99.378241781570395</v>
      </c>
      <c r="H21" s="2605" t="s">
        <v>918</v>
      </c>
      <c r="I21" s="2590"/>
      <c r="J21" s="2590" t="s">
        <v>1303</v>
      </c>
      <c r="K21" s="2592"/>
      <c r="L21" s="2606">
        <f>L20/(1+(L19/100))</f>
        <v>1.6314354174874677</v>
      </c>
      <c r="M21" s="2606">
        <f>M20/(1+(M19/100))</f>
        <v>1.6314354174874677</v>
      </c>
      <c r="N21" s="2577"/>
      <c r="P21" s="2542"/>
      <c r="Q21" s="2595" t="s">
        <v>1131</v>
      </c>
      <c r="R21" s="2596"/>
      <c r="S21" s="2596"/>
      <c r="T21" s="2608" t="s">
        <v>1304</v>
      </c>
      <c r="U21" s="2610">
        <f t="shared" si="2"/>
        <v>99.378241781570395</v>
      </c>
      <c r="W21" s="2605" t="s">
        <v>918</v>
      </c>
      <c r="X21" s="2590"/>
      <c r="Y21" s="2590" t="s">
        <v>1303</v>
      </c>
      <c r="Z21" s="2592"/>
      <c r="AA21" s="2606">
        <f t="shared" si="3"/>
        <v>1.6314354174874677</v>
      </c>
      <c r="AB21" s="2606">
        <f t="shared" si="3"/>
        <v>1.6314354174874677</v>
      </c>
      <c r="AC21" s="2577"/>
      <c r="AE21" s="2542"/>
      <c r="AF21" s="2595" t="s">
        <v>1131</v>
      </c>
      <c r="AG21" s="2596"/>
      <c r="AH21" s="2596"/>
      <c r="AI21" s="2608" t="s">
        <v>1304</v>
      </c>
      <c r="AJ21" s="2610">
        <f t="shared" si="4"/>
        <v>99.378241781570395</v>
      </c>
      <c r="AL21" s="2605" t="s">
        <v>918</v>
      </c>
      <c r="AM21" s="2590"/>
      <c r="AN21" s="2590" t="s">
        <v>1303</v>
      </c>
      <c r="AO21" s="2592"/>
      <c r="AP21" s="2606">
        <f t="shared" si="5"/>
        <v>1.6314354174874677</v>
      </c>
      <c r="AQ21" s="2606">
        <f t="shared" si="5"/>
        <v>1.6314354174874677</v>
      </c>
      <c r="AR21" s="2577"/>
      <c r="AV21" s="2579"/>
      <c r="AW21" s="2585"/>
      <c r="AX21" s="2585"/>
      <c r="AY21" s="2582"/>
      <c r="AZ21" s="2583">
        <f t="shared" si="0"/>
        <v>0</v>
      </c>
      <c r="BA21" s="2584">
        <f t="shared" si="1"/>
        <v>0</v>
      </c>
    </row>
    <row r="22" spans="1:53">
      <c r="A22" s="2542"/>
      <c r="B22" s="2595" t="s">
        <v>1278</v>
      </c>
      <c r="C22" s="2596"/>
      <c r="D22" s="2596"/>
      <c r="E22" s="2608" t="s">
        <v>556</v>
      </c>
      <c r="F22" s="2611">
        <v>1.22</v>
      </c>
      <c r="H22" s="2589" t="s">
        <v>1279</v>
      </c>
      <c r="I22" s="2590"/>
      <c r="J22" s="2590"/>
      <c r="K22" s="2592"/>
      <c r="L22" s="2612">
        <f>'DS RS(1)'!L22</f>
        <v>2.63</v>
      </c>
      <c r="M22" s="2613">
        <f>L22</f>
        <v>2.63</v>
      </c>
      <c r="N22" s="2577"/>
      <c r="P22" s="2542"/>
      <c r="Q22" s="2595" t="s">
        <v>1278</v>
      </c>
      <c r="R22" s="2596"/>
      <c r="S22" s="2596"/>
      <c r="T22" s="2608" t="s">
        <v>556</v>
      </c>
      <c r="U22" s="2614">
        <f t="shared" si="2"/>
        <v>1.22</v>
      </c>
      <c r="W22" s="2589" t="s">
        <v>1279</v>
      </c>
      <c r="X22" s="2590"/>
      <c r="Y22" s="2590"/>
      <c r="Z22" s="2592"/>
      <c r="AA22" s="2612">
        <f t="shared" si="3"/>
        <v>2.63</v>
      </c>
      <c r="AB22" s="2613">
        <f t="shared" si="3"/>
        <v>2.63</v>
      </c>
      <c r="AC22" s="2577"/>
      <c r="AE22" s="2542"/>
      <c r="AF22" s="2595" t="s">
        <v>1278</v>
      </c>
      <c r="AG22" s="2596"/>
      <c r="AH22" s="2596"/>
      <c r="AI22" s="2608" t="s">
        <v>556</v>
      </c>
      <c r="AJ22" s="2614">
        <f t="shared" si="4"/>
        <v>1.22</v>
      </c>
      <c r="AL22" s="2589" t="s">
        <v>1279</v>
      </c>
      <c r="AM22" s="2590"/>
      <c r="AN22" s="2590"/>
      <c r="AO22" s="2592"/>
      <c r="AP22" s="2612">
        <f t="shared" si="5"/>
        <v>2.63</v>
      </c>
      <c r="AQ22" s="2613">
        <f t="shared" si="5"/>
        <v>2.63</v>
      </c>
      <c r="AR22" s="2577"/>
      <c r="AV22" s="2579"/>
      <c r="AW22" s="2585"/>
      <c r="AX22" s="2585"/>
      <c r="AY22" s="2582"/>
      <c r="AZ22" s="2583">
        <f t="shared" si="0"/>
        <v>0</v>
      </c>
      <c r="BA22" s="2584">
        <f t="shared" si="1"/>
        <v>0</v>
      </c>
    </row>
    <row r="23" spans="1:53">
      <c r="A23" s="2542"/>
      <c r="H23" s="2589" t="s">
        <v>1280</v>
      </c>
      <c r="I23" s="2544"/>
      <c r="J23" s="2590"/>
      <c r="K23" s="2589"/>
      <c r="L23" s="2615">
        <f>+(L22/L21)-1</f>
        <v>0.61207729819326606</v>
      </c>
      <c r="M23" s="2615">
        <f>+(M22/M21)-1</f>
        <v>0.61207729819326606</v>
      </c>
      <c r="N23" s="2577"/>
      <c r="P23" s="2542"/>
      <c r="W23" s="2589" t="s">
        <v>1280</v>
      </c>
      <c r="X23" s="2544"/>
      <c r="Y23" s="2590"/>
      <c r="Z23" s="2589"/>
      <c r="AA23" s="2615">
        <f t="shared" si="3"/>
        <v>0.61207729819326606</v>
      </c>
      <c r="AB23" s="2615">
        <f t="shared" si="3"/>
        <v>0.61207729819326606</v>
      </c>
      <c r="AC23" s="2577"/>
      <c r="AE23" s="2542"/>
      <c r="AL23" s="2589" t="s">
        <v>1280</v>
      </c>
      <c r="AM23" s="2544"/>
      <c r="AN23" s="2590"/>
      <c r="AO23" s="2589"/>
      <c r="AP23" s="2615">
        <f t="shared" si="5"/>
        <v>0.61207729819326606</v>
      </c>
      <c r="AQ23" s="2615">
        <f t="shared" si="5"/>
        <v>0.61207729819326606</v>
      </c>
      <c r="AR23" s="2577"/>
      <c r="AV23" s="2579"/>
      <c r="AW23" s="2585"/>
      <c r="AX23" s="2585"/>
      <c r="AY23" s="2582"/>
      <c r="AZ23" s="2583">
        <f t="shared" si="0"/>
        <v>0</v>
      </c>
      <c r="BA23" s="2584">
        <f t="shared" si="1"/>
        <v>0</v>
      </c>
    </row>
    <row r="24" spans="1:53">
      <c r="A24" s="2542"/>
      <c r="J24" s="2575"/>
      <c r="L24" s="2616"/>
      <c r="M24" s="2616"/>
      <c r="N24" s="2577"/>
      <c r="P24" s="2542"/>
      <c r="Y24" s="2575"/>
      <c r="AA24" s="2616"/>
      <c r="AB24" s="2616"/>
      <c r="AC24" s="2577"/>
      <c r="AE24" s="2542"/>
      <c r="AN24" s="2575"/>
      <c r="AP24" s="2616"/>
      <c r="AQ24" s="2616"/>
      <c r="AR24" s="2577"/>
      <c r="AV24" s="2579"/>
      <c r="AW24" s="2585"/>
      <c r="AX24" s="2585"/>
      <c r="AY24" s="2582"/>
      <c r="AZ24" s="2583">
        <f t="shared" si="0"/>
        <v>0</v>
      </c>
      <c r="BA24" s="2584">
        <f t="shared" si="1"/>
        <v>0</v>
      </c>
    </row>
    <row r="25" spans="1:53">
      <c r="A25" s="2542"/>
      <c r="B25" s="2574"/>
      <c r="C25" s="2574"/>
      <c r="D25" s="2574"/>
      <c r="E25" s="2575"/>
      <c r="F25" s="2617"/>
      <c r="G25" s="2588"/>
      <c r="H25" s="2587"/>
      <c r="I25" s="2587"/>
      <c r="N25" s="2577"/>
      <c r="P25" s="2542"/>
      <c r="Q25" s="2574"/>
      <c r="R25" s="2574"/>
      <c r="S25" s="2574"/>
      <c r="T25" s="2575"/>
      <c r="U25" s="2617"/>
      <c r="V25" s="2588"/>
      <c r="W25" s="2587"/>
      <c r="X25" s="2587"/>
      <c r="AC25" s="2577"/>
      <c r="AE25" s="2542"/>
      <c r="AF25" s="2574"/>
      <c r="AG25" s="2574"/>
      <c r="AH25" s="2574"/>
      <c r="AI25" s="2575"/>
      <c r="AJ25" s="2617"/>
      <c r="AK25" s="2588"/>
      <c r="AL25" s="2587"/>
      <c r="AM25" s="2587"/>
      <c r="AR25" s="2577"/>
      <c r="AV25" s="2579"/>
      <c r="AW25" s="2585"/>
      <c r="AX25" s="2585"/>
      <c r="AY25" s="2582"/>
      <c r="AZ25" s="2583">
        <f t="shared" si="0"/>
        <v>0</v>
      </c>
      <c r="BA25" s="2584">
        <f t="shared" si="1"/>
        <v>0</v>
      </c>
    </row>
    <row r="26" spans="1:53">
      <c r="A26" s="2542"/>
      <c r="E26" s="2618" t="s">
        <v>1204</v>
      </c>
      <c r="F26" s="2619" t="s">
        <v>1281</v>
      </c>
      <c r="G26" s="2620" t="s">
        <v>1204</v>
      </c>
      <c r="H26" s="2621" t="s">
        <v>1282</v>
      </c>
      <c r="I26" s="2622" t="s">
        <v>1283</v>
      </c>
      <c r="J26" s="2623"/>
      <c r="K26" s="2624" t="s">
        <v>1284</v>
      </c>
      <c r="L26" s="2625"/>
      <c r="N26" s="2577"/>
      <c r="P26" s="2542"/>
      <c r="T26" s="2618" t="s">
        <v>1204</v>
      </c>
      <c r="U26" s="2619" t="s">
        <v>1281</v>
      </c>
      <c r="V26" s="2620" t="s">
        <v>1204</v>
      </c>
      <c r="W26" s="2621" t="s">
        <v>1282</v>
      </c>
      <c r="X26" s="2622" t="s">
        <v>1283</v>
      </c>
      <c r="Y26" s="2623"/>
      <c r="Z26" s="2624" t="s">
        <v>1284</v>
      </c>
      <c r="AA26" s="2625"/>
      <c r="AC26" s="2577"/>
      <c r="AE26" s="2542"/>
      <c r="AI26" s="2618" t="s">
        <v>1204</v>
      </c>
      <c r="AJ26" s="2619" t="s">
        <v>1281</v>
      </c>
      <c r="AK26" s="2620" t="s">
        <v>1204</v>
      </c>
      <c r="AL26" s="2621" t="s">
        <v>1282</v>
      </c>
      <c r="AM26" s="2622" t="s">
        <v>1283</v>
      </c>
      <c r="AN26" s="2623"/>
      <c r="AO26" s="2624" t="s">
        <v>1284</v>
      </c>
      <c r="AP26" s="2625"/>
      <c r="AR26" s="2577"/>
      <c r="AV26" s="2626"/>
      <c r="AW26" s="2585"/>
      <c r="AX26" s="2582"/>
      <c r="AY26" s="2582"/>
      <c r="AZ26" s="2583">
        <f t="shared" si="0"/>
        <v>0</v>
      </c>
      <c r="BA26" s="2584">
        <f t="shared" si="1"/>
        <v>0</v>
      </c>
    </row>
    <row r="27" spans="1:53">
      <c r="A27" s="2542"/>
      <c r="E27" s="2627" t="s">
        <v>1285</v>
      </c>
      <c r="F27" s="2628" t="s">
        <v>1185</v>
      </c>
      <c r="G27" s="2628" t="s">
        <v>174</v>
      </c>
      <c r="H27" s="2629" t="s">
        <v>778</v>
      </c>
      <c r="I27" s="2628" t="s">
        <v>1185</v>
      </c>
      <c r="J27" s="2628" t="s">
        <v>1286</v>
      </c>
      <c r="K27" s="2574"/>
      <c r="L27" s="2630"/>
      <c r="M27" s="2547"/>
      <c r="N27" s="2577"/>
      <c r="P27" s="2542"/>
      <c r="T27" s="2627" t="s">
        <v>1285</v>
      </c>
      <c r="U27" s="2628" t="s">
        <v>1185</v>
      </c>
      <c r="V27" s="2628" t="s">
        <v>174</v>
      </c>
      <c r="W27" s="2629" t="s">
        <v>778</v>
      </c>
      <c r="X27" s="2628" t="s">
        <v>1185</v>
      </c>
      <c r="Y27" s="2628" t="s">
        <v>1286</v>
      </c>
      <c r="Z27" s="2574"/>
      <c r="AA27" s="2630"/>
      <c r="AB27" s="2547"/>
      <c r="AC27" s="2577"/>
      <c r="AE27" s="2542"/>
      <c r="AI27" s="2627" t="s">
        <v>1285</v>
      </c>
      <c r="AJ27" s="2628" t="s">
        <v>1185</v>
      </c>
      <c r="AK27" s="2628" t="s">
        <v>174</v>
      </c>
      <c r="AL27" s="2629" t="s">
        <v>778</v>
      </c>
      <c r="AM27" s="2628" t="s">
        <v>1185</v>
      </c>
      <c r="AN27" s="2628" t="s">
        <v>1286</v>
      </c>
      <c r="AO27" s="2574"/>
      <c r="AP27" s="2630"/>
      <c r="AQ27" s="2547"/>
      <c r="AR27" s="2577"/>
      <c r="AV27" s="2631"/>
      <c r="AW27" s="2632"/>
      <c r="AX27" s="2633"/>
      <c r="AY27" s="2633"/>
      <c r="AZ27" s="2583">
        <f t="shared" si="0"/>
        <v>0</v>
      </c>
      <c r="BA27" s="2584">
        <f t="shared" si="1"/>
        <v>0</v>
      </c>
    </row>
    <row r="28" spans="1:53">
      <c r="A28" s="2542"/>
      <c r="E28" s="2627"/>
      <c r="F28" s="2634"/>
      <c r="G28" s="2628"/>
      <c r="H28" s="2628"/>
      <c r="I28" s="2628"/>
      <c r="J28" s="2628" t="s">
        <v>1287</v>
      </c>
      <c r="K28" s="2574"/>
      <c r="L28" s="2635"/>
      <c r="N28" s="2577"/>
      <c r="P28" s="2542"/>
      <c r="T28" s="2627"/>
      <c r="U28" s="2634"/>
      <c r="V28" s="2628"/>
      <c r="W28" s="2628"/>
      <c r="X28" s="2628"/>
      <c r="Y28" s="2628" t="s">
        <v>1287</v>
      </c>
      <c r="Z28" s="2574"/>
      <c r="AA28" s="2635"/>
      <c r="AC28" s="2577"/>
      <c r="AE28" s="2542"/>
      <c r="AI28" s="2627"/>
      <c r="AJ28" s="2634"/>
      <c r="AK28" s="2628"/>
      <c r="AL28" s="2628"/>
      <c r="AM28" s="2628"/>
      <c r="AN28" s="2628" t="s">
        <v>1287</v>
      </c>
      <c r="AO28" s="2574"/>
      <c r="AP28" s="2635"/>
      <c r="AR28" s="2577"/>
      <c r="AV28" s="2636"/>
      <c r="AW28" s="2637"/>
      <c r="AX28" s="2638"/>
      <c r="AY28" s="2638"/>
      <c r="AZ28" s="2639">
        <f>+(AW28)^2*PI()*(0.25)</f>
        <v>0</v>
      </c>
      <c r="BA28" s="2640">
        <f>AZ28*AX28</f>
        <v>0</v>
      </c>
    </row>
    <row r="29" spans="1:53" ht="15.75" thickBot="1">
      <c r="A29" s="4833" t="s">
        <v>1345</v>
      </c>
      <c r="B29" s="4834"/>
      <c r="C29" s="4835"/>
      <c r="E29" s="2641" t="s">
        <v>2</v>
      </c>
      <c r="F29" s="2642" t="s">
        <v>126</v>
      </c>
      <c r="G29" s="2643" t="s">
        <v>120</v>
      </c>
      <c r="H29" s="2643" t="s">
        <v>908</v>
      </c>
      <c r="I29" s="2643" t="s">
        <v>584</v>
      </c>
      <c r="J29" s="2643" t="s">
        <v>583</v>
      </c>
      <c r="K29" s="2644"/>
      <c r="L29" s="2645"/>
      <c r="N29" s="2577"/>
      <c r="P29" s="2542"/>
      <c r="T29" s="2641" t="s">
        <v>2</v>
      </c>
      <c r="U29" s="2642" t="s">
        <v>126</v>
      </c>
      <c r="V29" s="2643" t="s">
        <v>120</v>
      </c>
      <c r="W29" s="2643" t="s">
        <v>908</v>
      </c>
      <c r="X29" s="2643" t="s">
        <v>584</v>
      </c>
      <c r="Y29" s="2643" t="s">
        <v>583</v>
      </c>
      <c r="Z29" s="2644"/>
      <c r="AA29" s="2645"/>
      <c r="AC29" s="2577"/>
      <c r="AE29" s="2542"/>
      <c r="AI29" s="2641" t="s">
        <v>2</v>
      </c>
      <c r="AJ29" s="2642" t="s">
        <v>126</v>
      </c>
      <c r="AK29" s="2643" t="s">
        <v>120</v>
      </c>
      <c r="AL29" s="2643" t="s">
        <v>908</v>
      </c>
      <c r="AM29" s="2643" t="s">
        <v>584</v>
      </c>
      <c r="AN29" s="2643" t="s">
        <v>583</v>
      </c>
      <c r="AO29" s="2644"/>
      <c r="AP29" s="2645"/>
      <c r="AR29" s="2577"/>
      <c r="AV29" s="2646" t="s">
        <v>1288</v>
      </c>
      <c r="AW29" s="2647">
        <f>SUM(AW9:AW27)/19</f>
        <v>0.34315789473684211</v>
      </c>
      <c r="AX29" s="2648">
        <f>SUM(AX9:AX27)/19</f>
        <v>0.10421052631578948</v>
      </c>
      <c r="AY29" s="2647">
        <f>SUM(AY9:AY27)/19</f>
        <v>4.3078947368421048</v>
      </c>
      <c r="AZ29" s="2647">
        <f>SUM(AZ9:AZ27)/19</f>
        <v>1.7572415834363622</v>
      </c>
      <c r="BA29" s="2649">
        <f>SUM(BA9:BA27)/19</f>
        <v>3.4793383352039968</v>
      </c>
    </row>
    <row r="30" spans="1:53" s="2588" customFormat="1" ht="17.100000000000001" customHeight="1">
      <c r="A30" s="2895">
        <v>0</v>
      </c>
      <c r="B30" s="2896"/>
      <c r="C30" s="2895">
        <v>0</v>
      </c>
      <c r="E30" s="2689">
        <v>0</v>
      </c>
      <c r="F30" s="2717"/>
      <c r="G30" s="2686">
        <f t="shared" ref="G30:G58" si="6">$F$19*F30</f>
        <v>0</v>
      </c>
      <c r="H30" s="2707">
        <f t="shared" ref="H30:H58" si="7">+(G30/$F$17)*10</f>
        <v>0</v>
      </c>
      <c r="I30" s="2718"/>
      <c r="J30" s="2687">
        <v>0</v>
      </c>
      <c r="K30" s="2653"/>
      <c r="L30" s="2650"/>
      <c r="N30" s="2678"/>
      <c r="O30" s="2922"/>
      <c r="P30" s="2663"/>
      <c r="T30" s="2689">
        <v>0</v>
      </c>
      <c r="U30" s="2717"/>
      <c r="V30" s="2686">
        <f t="shared" ref="V30:V58" si="8">$F$19*U30</f>
        <v>0</v>
      </c>
      <c r="W30" s="2707">
        <f t="shared" ref="W30:W58" si="9">+(V30/$F$17)*10</f>
        <v>0</v>
      </c>
      <c r="X30" s="2718"/>
      <c r="Y30" s="2687">
        <v>0</v>
      </c>
      <c r="Z30" s="2653"/>
      <c r="AA30" s="2650"/>
      <c r="AC30" s="2678"/>
      <c r="AD30" s="2921"/>
      <c r="AE30" s="2663"/>
      <c r="AI30" s="2689">
        <v>0</v>
      </c>
      <c r="AJ30" s="2717"/>
      <c r="AK30" s="2686">
        <f t="shared" ref="AK30:AK58" si="10">$F$19*AJ30</f>
        <v>0</v>
      </c>
      <c r="AL30" s="2707">
        <f t="shared" ref="AL30:AL58" si="11">+(AK30/$F$17)*10</f>
        <v>0</v>
      </c>
      <c r="AM30" s="2718"/>
      <c r="AN30" s="2687">
        <v>0</v>
      </c>
      <c r="AO30" s="2653"/>
      <c r="AP30" s="2650"/>
      <c r="AR30" s="2678"/>
    </row>
    <row r="31" spans="1:53" s="2588" customFormat="1" ht="17.100000000000001" customHeight="1">
      <c r="A31" s="2897">
        <f>SQRT(D75)</f>
        <v>0.31622776601683794</v>
      </c>
      <c r="B31" s="2896"/>
      <c r="C31" s="735">
        <f>-($B$30-B31)/100</f>
        <v>0</v>
      </c>
      <c r="E31" s="2689">
        <v>0.25</v>
      </c>
      <c r="F31" s="2718"/>
      <c r="G31" s="2686">
        <f t="shared" si="6"/>
        <v>0</v>
      </c>
      <c r="H31" s="2686">
        <f t="shared" si="7"/>
        <v>0</v>
      </c>
      <c r="I31" s="2718"/>
      <c r="J31" s="2687">
        <f t="shared" ref="J31:J58" si="12">-($I$30-I31)/100</f>
        <v>0</v>
      </c>
      <c r="K31" s="2653"/>
      <c r="L31" s="2650">
        <v>122.5</v>
      </c>
      <c r="M31" s="2588">
        <f>L31+92.5</f>
        <v>215</v>
      </c>
      <c r="N31" s="2678"/>
      <c r="O31" s="2922"/>
      <c r="P31" s="2663"/>
      <c r="T31" s="2689">
        <v>0.25</v>
      </c>
      <c r="U31" s="2718"/>
      <c r="V31" s="2686">
        <f t="shared" si="8"/>
        <v>0</v>
      </c>
      <c r="W31" s="2686">
        <f t="shared" si="9"/>
        <v>0</v>
      </c>
      <c r="X31" s="2718"/>
      <c r="Y31" s="2687">
        <f t="shared" ref="Y31:Y58" si="13">-($X$30-X31)/100</f>
        <v>0</v>
      </c>
      <c r="Z31" s="2653"/>
      <c r="AA31" s="2650">
        <v>66.7</v>
      </c>
      <c r="AB31" s="2588">
        <f>AA31+107</f>
        <v>173.7</v>
      </c>
      <c r="AC31" s="2678"/>
      <c r="AD31" s="2921"/>
      <c r="AE31" s="2663"/>
      <c r="AI31" s="2689">
        <v>0.25</v>
      </c>
      <c r="AJ31" s="2718"/>
      <c r="AK31" s="2686">
        <f t="shared" si="10"/>
        <v>0</v>
      </c>
      <c r="AL31" s="2686">
        <f t="shared" si="11"/>
        <v>0</v>
      </c>
      <c r="AM31" s="2718"/>
      <c r="AN31" s="2687">
        <f t="shared" ref="AN31:AN58" si="14">-($AM$30-AM31)/100</f>
        <v>0</v>
      </c>
      <c r="AO31" s="2653"/>
      <c r="AP31" s="2650">
        <v>76.2</v>
      </c>
      <c r="AQ31" s="2588">
        <f>AP31+107</f>
        <v>183.2</v>
      </c>
      <c r="AR31" s="2678"/>
    </row>
    <row r="32" spans="1:53" s="2588" customFormat="1" ht="17.100000000000001" customHeight="1">
      <c r="A32" s="2897">
        <f t="shared" ref="A32:A44" si="15">SQRT(D76)</f>
        <v>0.5</v>
      </c>
      <c r="B32" s="2896"/>
      <c r="C32" s="735">
        <f>-($B$30-B32)/100</f>
        <v>0</v>
      </c>
      <c r="E32" s="2689">
        <v>0.5</v>
      </c>
      <c r="F32" s="2718"/>
      <c r="G32" s="2686">
        <f t="shared" si="6"/>
        <v>0</v>
      </c>
      <c r="H32" s="2686">
        <f t="shared" si="7"/>
        <v>0</v>
      </c>
      <c r="I32" s="2718"/>
      <c r="J32" s="2687">
        <f t="shared" si="12"/>
        <v>0</v>
      </c>
      <c r="K32" s="2653"/>
      <c r="L32" s="2650">
        <v>154.30000000000001</v>
      </c>
      <c r="M32" s="2588">
        <f t="shared" ref="M32:M58" si="16">L32+92.5</f>
        <v>246.8</v>
      </c>
      <c r="N32" s="2678"/>
      <c r="O32" s="2922"/>
      <c r="P32" s="2663"/>
      <c r="T32" s="2689">
        <v>0.5</v>
      </c>
      <c r="U32" s="2718"/>
      <c r="V32" s="2686">
        <f t="shared" si="8"/>
        <v>0</v>
      </c>
      <c r="W32" s="2686">
        <f t="shared" si="9"/>
        <v>0</v>
      </c>
      <c r="X32" s="2718"/>
      <c r="Y32" s="2687">
        <f t="shared" si="13"/>
        <v>0</v>
      </c>
      <c r="Z32" s="2653"/>
      <c r="AA32" s="2650">
        <v>87.2</v>
      </c>
      <c r="AB32" s="2588">
        <f t="shared" ref="AB32:AB58" si="17">AA32+107</f>
        <v>194.2</v>
      </c>
      <c r="AC32" s="2678"/>
      <c r="AD32" s="2921"/>
      <c r="AE32" s="2663"/>
      <c r="AI32" s="2689">
        <v>0.5</v>
      </c>
      <c r="AJ32" s="2718"/>
      <c r="AK32" s="2686">
        <f t="shared" si="10"/>
        <v>0</v>
      </c>
      <c r="AL32" s="2686">
        <f t="shared" si="11"/>
        <v>0</v>
      </c>
      <c r="AM32" s="2718"/>
      <c r="AN32" s="2687">
        <f t="shared" si="14"/>
        <v>0</v>
      </c>
      <c r="AO32" s="2653"/>
      <c r="AP32" s="2650">
        <v>101.4</v>
      </c>
      <c r="AQ32" s="2588">
        <f t="shared" ref="AQ32:AQ58" si="18">AP32+107</f>
        <v>208.4</v>
      </c>
      <c r="AR32" s="2678"/>
    </row>
    <row r="33" spans="1:44" s="2588" customFormat="1" ht="17.100000000000001" customHeight="1">
      <c r="A33" s="2897">
        <f t="shared" si="15"/>
        <v>0.70710678118654757</v>
      </c>
      <c r="B33" s="2896"/>
      <c r="C33" s="735">
        <f>-($B$30-B33)/100</f>
        <v>0</v>
      </c>
      <c r="E33" s="2689">
        <v>0.75</v>
      </c>
      <c r="F33" s="2718"/>
      <c r="G33" s="2686">
        <f t="shared" si="6"/>
        <v>0</v>
      </c>
      <c r="H33" s="2686">
        <f t="shared" si="7"/>
        <v>0</v>
      </c>
      <c r="I33" s="2718"/>
      <c r="J33" s="2687">
        <f t="shared" si="12"/>
        <v>0</v>
      </c>
      <c r="K33" s="2652"/>
      <c r="L33" s="2651">
        <v>159.4</v>
      </c>
      <c r="M33" s="2588">
        <f t="shared" si="16"/>
        <v>251.9</v>
      </c>
      <c r="N33" s="2678"/>
      <c r="O33" s="2922"/>
      <c r="P33" s="2663"/>
      <c r="T33" s="2689">
        <v>0.75</v>
      </c>
      <c r="U33" s="2718"/>
      <c r="V33" s="2686">
        <f t="shared" si="8"/>
        <v>0</v>
      </c>
      <c r="W33" s="2686">
        <f t="shared" si="9"/>
        <v>0</v>
      </c>
      <c r="X33" s="2718"/>
      <c r="Y33" s="2687">
        <f t="shared" si="13"/>
        <v>0</v>
      </c>
      <c r="Z33" s="2652"/>
      <c r="AA33" s="2651">
        <v>105.6</v>
      </c>
      <c r="AB33" s="2588">
        <f t="shared" si="17"/>
        <v>212.6</v>
      </c>
      <c r="AC33" s="2678"/>
      <c r="AD33" s="2921"/>
      <c r="AE33" s="2663"/>
      <c r="AI33" s="2689">
        <v>0.75</v>
      </c>
      <c r="AJ33" s="2718"/>
      <c r="AK33" s="2686">
        <f t="shared" si="10"/>
        <v>0</v>
      </c>
      <c r="AL33" s="2686">
        <f t="shared" si="11"/>
        <v>0</v>
      </c>
      <c r="AM33" s="2718"/>
      <c r="AN33" s="2687">
        <f t="shared" si="14"/>
        <v>0</v>
      </c>
      <c r="AO33" s="2652"/>
      <c r="AP33" s="2651">
        <v>117.2</v>
      </c>
      <c r="AQ33" s="2588">
        <f t="shared" si="18"/>
        <v>224.2</v>
      </c>
      <c r="AR33" s="2678"/>
    </row>
    <row r="34" spans="1:44" s="2588" customFormat="1" ht="17.100000000000001" customHeight="1">
      <c r="A34" s="2897">
        <f t="shared" si="15"/>
        <v>1</v>
      </c>
      <c r="B34" s="2896"/>
      <c r="C34" s="735">
        <f>-($B$30-B34)/100</f>
        <v>0</v>
      </c>
      <c r="E34" s="2689">
        <v>1</v>
      </c>
      <c r="F34" s="2718"/>
      <c r="G34" s="2686">
        <f t="shared" si="6"/>
        <v>0</v>
      </c>
      <c r="H34" s="2686">
        <f t="shared" si="7"/>
        <v>0</v>
      </c>
      <c r="I34" s="2718"/>
      <c r="J34" s="2687">
        <f t="shared" si="12"/>
        <v>0</v>
      </c>
      <c r="K34" s="2652"/>
      <c r="L34" s="2651">
        <v>212.7</v>
      </c>
      <c r="M34" s="2588">
        <f t="shared" si="16"/>
        <v>305.2</v>
      </c>
      <c r="N34" s="2678"/>
      <c r="O34" s="2922"/>
      <c r="P34" s="2663"/>
      <c r="T34" s="2689">
        <v>1</v>
      </c>
      <c r="U34" s="2718"/>
      <c r="V34" s="2686">
        <f t="shared" si="8"/>
        <v>0</v>
      </c>
      <c r="W34" s="2686">
        <f t="shared" si="9"/>
        <v>0</v>
      </c>
      <c r="X34" s="2718"/>
      <c r="Y34" s="2687">
        <f t="shared" si="13"/>
        <v>0</v>
      </c>
      <c r="Z34" s="2652"/>
      <c r="AA34" s="2651">
        <v>110.4</v>
      </c>
      <c r="AB34" s="2588">
        <f t="shared" si="17"/>
        <v>217.4</v>
      </c>
      <c r="AC34" s="2678"/>
      <c r="AD34" s="2921"/>
      <c r="AE34" s="2663"/>
      <c r="AI34" s="2689">
        <v>1</v>
      </c>
      <c r="AJ34" s="2718"/>
      <c r="AK34" s="2686">
        <f t="shared" si="10"/>
        <v>0</v>
      </c>
      <c r="AL34" s="2686">
        <f t="shared" si="11"/>
        <v>0</v>
      </c>
      <c r="AM34" s="2718"/>
      <c r="AN34" s="2687">
        <f t="shared" si="14"/>
        <v>0</v>
      </c>
      <c r="AO34" s="2652"/>
      <c r="AP34" s="2651">
        <v>119.6</v>
      </c>
      <c r="AQ34" s="2588">
        <f t="shared" si="18"/>
        <v>226.6</v>
      </c>
      <c r="AR34" s="2678"/>
    </row>
    <row r="35" spans="1:44" s="2588" customFormat="1" ht="17.100000000000001" customHeight="1">
      <c r="A35" s="2897">
        <f t="shared" si="15"/>
        <v>1.4142135623730951</v>
      </c>
      <c r="B35" s="2896"/>
      <c r="C35" s="735">
        <f t="shared" ref="C35:C44" si="19">-($B$30-B35)/100</f>
        <v>0</v>
      </c>
      <c r="E35" s="2689">
        <v>1.25</v>
      </c>
      <c r="F35" s="2718"/>
      <c r="G35" s="2686">
        <f t="shared" si="6"/>
        <v>0</v>
      </c>
      <c r="H35" s="2686">
        <f t="shared" si="7"/>
        <v>0</v>
      </c>
      <c r="I35" s="2718"/>
      <c r="J35" s="2687">
        <f t="shared" si="12"/>
        <v>0</v>
      </c>
      <c r="K35" s="2653"/>
      <c r="L35" s="2650">
        <v>227.5</v>
      </c>
      <c r="M35" s="2588">
        <f t="shared" si="16"/>
        <v>320</v>
      </c>
      <c r="N35" s="2678"/>
      <c r="O35" s="2922"/>
      <c r="P35" s="2663"/>
      <c r="T35" s="2689">
        <v>1.25</v>
      </c>
      <c r="U35" s="2718"/>
      <c r="V35" s="2686">
        <f t="shared" si="8"/>
        <v>0</v>
      </c>
      <c r="W35" s="2686">
        <f t="shared" si="9"/>
        <v>0</v>
      </c>
      <c r="X35" s="2718"/>
      <c r="Y35" s="2687">
        <f t="shared" si="13"/>
        <v>0</v>
      </c>
      <c r="Z35" s="2653"/>
      <c r="AA35" s="2650">
        <v>119.5</v>
      </c>
      <c r="AB35" s="2588">
        <f t="shared" si="17"/>
        <v>226.5</v>
      </c>
      <c r="AC35" s="2678"/>
      <c r="AD35" s="2921"/>
      <c r="AE35" s="2663"/>
      <c r="AI35" s="2689">
        <v>1.25</v>
      </c>
      <c r="AJ35" s="2718"/>
      <c r="AK35" s="2686">
        <f t="shared" si="10"/>
        <v>0</v>
      </c>
      <c r="AL35" s="2686">
        <f t="shared" si="11"/>
        <v>0</v>
      </c>
      <c r="AM35" s="2718"/>
      <c r="AN35" s="2687">
        <f t="shared" si="14"/>
        <v>0</v>
      </c>
      <c r="AO35" s="2653"/>
      <c r="AP35" s="2650">
        <v>122.5</v>
      </c>
      <c r="AQ35" s="2588">
        <f t="shared" si="18"/>
        <v>229.5</v>
      </c>
      <c r="AR35" s="2678"/>
    </row>
    <row r="36" spans="1:44" s="2588" customFormat="1" ht="17.100000000000001" customHeight="1">
      <c r="A36" s="2897">
        <f t="shared" si="15"/>
        <v>2</v>
      </c>
      <c r="B36" s="2896"/>
      <c r="C36" s="735">
        <f t="shared" si="19"/>
        <v>0</v>
      </c>
      <c r="E36" s="2689">
        <v>1.5</v>
      </c>
      <c r="F36" s="2718"/>
      <c r="G36" s="2686">
        <f t="shared" si="6"/>
        <v>0</v>
      </c>
      <c r="H36" s="2686">
        <f t="shared" si="7"/>
        <v>0</v>
      </c>
      <c r="I36" s="2718"/>
      <c r="J36" s="2687">
        <f t="shared" si="12"/>
        <v>0</v>
      </c>
      <c r="K36" s="2653"/>
      <c r="L36" s="2650">
        <v>236.3</v>
      </c>
      <c r="M36" s="2588">
        <f t="shared" si="16"/>
        <v>328.8</v>
      </c>
      <c r="N36" s="2678"/>
      <c r="O36" s="2922"/>
      <c r="P36" s="2663"/>
      <c r="T36" s="2689">
        <v>1.5</v>
      </c>
      <c r="U36" s="2718"/>
      <c r="V36" s="2686">
        <f t="shared" si="8"/>
        <v>0</v>
      </c>
      <c r="W36" s="2686">
        <f t="shared" si="9"/>
        <v>0</v>
      </c>
      <c r="X36" s="2718"/>
      <c r="Y36" s="2687">
        <f t="shared" si="13"/>
        <v>0</v>
      </c>
      <c r="Z36" s="2653"/>
      <c r="AA36" s="2650">
        <v>126.2</v>
      </c>
      <c r="AB36" s="2588">
        <f t="shared" si="17"/>
        <v>233.2</v>
      </c>
      <c r="AC36" s="2678"/>
      <c r="AD36" s="2921"/>
      <c r="AE36" s="2663"/>
      <c r="AI36" s="2689">
        <v>1.5</v>
      </c>
      <c r="AJ36" s="2718"/>
      <c r="AK36" s="2686">
        <f t="shared" si="10"/>
        <v>0</v>
      </c>
      <c r="AL36" s="2686">
        <f t="shared" si="11"/>
        <v>0</v>
      </c>
      <c r="AM36" s="2718"/>
      <c r="AN36" s="2687">
        <f t="shared" si="14"/>
        <v>0</v>
      </c>
      <c r="AO36" s="2653"/>
      <c r="AP36" s="2650">
        <v>125.7</v>
      </c>
      <c r="AQ36" s="2588">
        <f t="shared" si="18"/>
        <v>232.7</v>
      </c>
      <c r="AR36" s="2678"/>
    </row>
    <row r="37" spans="1:44" s="2588" customFormat="1" ht="17.100000000000001" customHeight="1">
      <c r="A37" s="2897">
        <f t="shared" si="15"/>
        <v>2.8284271247461903</v>
      </c>
      <c r="B37" s="2896"/>
      <c r="C37" s="735">
        <f t="shared" si="19"/>
        <v>0</v>
      </c>
      <c r="E37" s="2689">
        <v>1.75</v>
      </c>
      <c r="F37" s="2718"/>
      <c r="G37" s="2686">
        <f t="shared" si="6"/>
        <v>0</v>
      </c>
      <c r="H37" s="2686">
        <f t="shared" si="7"/>
        <v>0</v>
      </c>
      <c r="I37" s="2718"/>
      <c r="J37" s="2687">
        <f t="shared" si="12"/>
        <v>0</v>
      </c>
      <c r="K37" s="2653"/>
      <c r="L37" s="2650">
        <v>237.6</v>
      </c>
      <c r="M37" s="2588">
        <f t="shared" si="16"/>
        <v>330.1</v>
      </c>
      <c r="N37" s="2678"/>
      <c r="O37" s="2922"/>
      <c r="P37" s="2663"/>
      <c r="T37" s="2689">
        <v>1.75</v>
      </c>
      <c r="U37" s="2718"/>
      <c r="V37" s="2686">
        <f t="shared" si="8"/>
        <v>0</v>
      </c>
      <c r="W37" s="2686">
        <f t="shared" si="9"/>
        <v>0</v>
      </c>
      <c r="X37" s="2718"/>
      <c r="Y37" s="2687">
        <f t="shared" si="13"/>
        <v>0</v>
      </c>
      <c r="Z37" s="2653"/>
      <c r="AA37" s="2650">
        <v>130.30000000000001</v>
      </c>
      <c r="AB37" s="2588">
        <f t="shared" si="17"/>
        <v>237.3</v>
      </c>
      <c r="AC37" s="2678"/>
      <c r="AD37" s="2921"/>
      <c r="AE37" s="2663"/>
      <c r="AI37" s="2689">
        <v>1.75</v>
      </c>
      <c r="AJ37" s="2718"/>
      <c r="AK37" s="2686">
        <f t="shared" si="10"/>
        <v>0</v>
      </c>
      <c r="AL37" s="2686">
        <f t="shared" si="11"/>
        <v>0</v>
      </c>
      <c r="AM37" s="2718"/>
      <c r="AN37" s="2687">
        <f t="shared" si="14"/>
        <v>0</v>
      </c>
      <c r="AO37" s="2653"/>
      <c r="AP37" s="2650">
        <v>131.19999999999999</v>
      </c>
      <c r="AQ37" s="2588">
        <f t="shared" si="18"/>
        <v>238.2</v>
      </c>
      <c r="AR37" s="2678"/>
    </row>
    <row r="38" spans="1:44" s="2588" customFormat="1" ht="17.100000000000001" customHeight="1">
      <c r="A38" s="2897">
        <f t="shared" si="15"/>
        <v>3.872983346207417</v>
      </c>
      <c r="B38" s="2896"/>
      <c r="C38" s="735">
        <f t="shared" si="19"/>
        <v>0</v>
      </c>
      <c r="E38" s="2689">
        <v>2</v>
      </c>
      <c r="F38" s="2718"/>
      <c r="G38" s="2686">
        <f t="shared" si="6"/>
        <v>0</v>
      </c>
      <c r="H38" s="2686">
        <f t="shared" si="7"/>
        <v>0</v>
      </c>
      <c r="I38" s="2718"/>
      <c r="J38" s="2687">
        <f t="shared" si="12"/>
        <v>0</v>
      </c>
      <c r="K38" s="2653"/>
      <c r="L38" s="2650">
        <v>239.2</v>
      </c>
      <c r="M38" s="2588">
        <f t="shared" si="16"/>
        <v>331.7</v>
      </c>
      <c r="N38" s="2678"/>
      <c r="O38" s="2922"/>
      <c r="P38" s="2663"/>
      <c r="T38" s="2689">
        <v>2</v>
      </c>
      <c r="U38" s="2718"/>
      <c r="V38" s="2686">
        <f t="shared" si="8"/>
        <v>0</v>
      </c>
      <c r="W38" s="2686">
        <f t="shared" si="9"/>
        <v>0</v>
      </c>
      <c r="X38" s="2718"/>
      <c r="Y38" s="2687">
        <f t="shared" si="13"/>
        <v>0</v>
      </c>
      <c r="Z38" s="2653"/>
      <c r="AA38" s="2650">
        <v>130.69999999999999</v>
      </c>
      <c r="AB38" s="2588">
        <f t="shared" si="17"/>
        <v>237.7</v>
      </c>
      <c r="AC38" s="2678"/>
      <c r="AD38" s="2921"/>
      <c r="AE38" s="2663"/>
      <c r="AI38" s="2689">
        <v>2</v>
      </c>
      <c r="AJ38" s="2718"/>
      <c r="AK38" s="2686">
        <f t="shared" si="10"/>
        <v>0</v>
      </c>
      <c r="AL38" s="2686">
        <f t="shared" si="11"/>
        <v>0</v>
      </c>
      <c r="AM38" s="2718"/>
      <c r="AN38" s="2687">
        <f t="shared" si="14"/>
        <v>0</v>
      </c>
      <c r="AO38" s="2653"/>
      <c r="AP38" s="2650">
        <v>134.5</v>
      </c>
      <c r="AQ38" s="2588">
        <f t="shared" si="18"/>
        <v>241.5</v>
      </c>
      <c r="AR38" s="2678"/>
    </row>
    <row r="39" spans="1:44" s="2588" customFormat="1" ht="17.100000000000001" customHeight="1">
      <c r="A39" s="2897">
        <f t="shared" si="15"/>
        <v>5.4772255750516612</v>
      </c>
      <c r="B39" s="2896"/>
      <c r="C39" s="735">
        <f t="shared" si="19"/>
        <v>0</v>
      </c>
      <c r="E39" s="2689">
        <v>2.5</v>
      </c>
      <c r="F39" s="2718"/>
      <c r="G39" s="2686">
        <f t="shared" si="6"/>
        <v>0</v>
      </c>
      <c r="H39" s="2686">
        <f t="shared" si="7"/>
        <v>0</v>
      </c>
      <c r="I39" s="2718"/>
      <c r="J39" s="2687">
        <f t="shared" si="12"/>
        <v>0</v>
      </c>
      <c r="K39" s="2653"/>
      <c r="L39" s="2650">
        <v>236.4</v>
      </c>
      <c r="M39" s="2588">
        <f t="shared" si="16"/>
        <v>328.9</v>
      </c>
      <c r="N39" s="2678"/>
      <c r="O39" s="2922"/>
      <c r="P39" s="2663"/>
      <c r="T39" s="2689">
        <v>2.5</v>
      </c>
      <c r="U39" s="2718"/>
      <c r="V39" s="2686">
        <f t="shared" si="8"/>
        <v>0</v>
      </c>
      <c r="W39" s="2686">
        <f t="shared" si="9"/>
        <v>0</v>
      </c>
      <c r="X39" s="2718"/>
      <c r="Y39" s="2687">
        <f t="shared" si="13"/>
        <v>0</v>
      </c>
      <c r="Z39" s="2653"/>
      <c r="AA39" s="2650">
        <v>135.6</v>
      </c>
      <c r="AB39" s="2588">
        <f t="shared" si="17"/>
        <v>242.6</v>
      </c>
      <c r="AC39" s="2678"/>
      <c r="AD39" s="2921"/>
      <c r="AE39" s="2663"/>
      <c r="AI39" s="2689">
        <v>2.5</v>
      </c>
      <c r="AJ39" s="2718"/>
      <c r="AK39" s="2686">
        <f t="shared" si="10"/>
        <v>0</v>
      </c>
      <c r="AL39" s="2686">
        <f t="shared" si="11"/>
        <v>0</v>
      </c>
      <c r="AM39" s="2718"/>
      <c r="AN39" s="2687">
        <f t="shared" si="14"/>
        <v>0</v>
      </c>
      <c r="AO39" s="2653"/>
      <c r="AP39" s="2650">
        <v>138.30000000000001</v>
      </c>
      <c r="AQ39" s="2588">
        <f t="shared" si="18"/>
        <v>245.3</v>
      </c>
      <c r="AR39" s="2678"/>
    </row>
    <row r="40" spans="1:44" s="2588" customFormat="1" ht="17.100000000000001" customHeight="1">
      <c r="A40" s="2897">
        <f t="shared" si="15"/>
        <v>7.745966692414834</v>
      </c>
      <c r="B40" s="2896"/>
      <c r="C40" s="735">
        <f t="shared" si="19"/>
        <v>0</v>
      </c>
      <c r="E40" s="2689">
        <v>3</v>
      </c>
      <c r="F40" s="2718"/>
      <c r="G40" s="2686">
        <f t="shared" si="6"/>
        <v>0</v>
      </c>
      <c r="H40" s="2686">
        <f t="shared" si="7"/>
        <v>0</v>
      </c>
      <c r="I40" s="2718"/>
      <c r="J40" s="2687">
        <f t="shared" si="12"/>
        <v>0</v>
      </c>
      <c r="K40" s="2653"/>
      <c r="L40" s="2650">
        <v>235.5</v>
      </c>
      <c r="M40" s="2588">
        <f t="shared" si="16"/>
        <v>328</v>
      </c>
      <c r="N40" s="2678"/>
      <c r="O40" s="2922"/>
      <c r="P40" s="2663"/>
      <c r="T40" s="2689">
        <v>3</v>
      </c>
      <c r="U40" s="2718"/>
      <c r="V40" s="2686">
        <f t="shared" si="8"/>
        <v>0</v>
      </c>
      <c r="W40" s="2686">
        <f t="shared" si="9"/>
        <v>0</v>
      </c>
      <c r="X40" s="2718"/>
      <c r="Y40" s="2687">
        <f t="shared" si="13"/>
        <v>0</v>
      </c>
      <c r="Z40" s="2653"/>
      <c r="AA40" s="2650">
        <v>142.5</v>
      </c>
      <c r="AB40" s="2588">
        <f t="shared" si="17"/>
        <v>249.5</v>
      </c>
      <c r="AC40" s="2678"/>
      <c r="AD40" s="2921"/>
      <c r="AE40" s="2663"/>
      <c r="AI40" s="2689">
        <v>3</v>
      </c>
      <c r="AJ40" s="2718"/>
      <c r="AK40" s="2686">
        <f t="shared" si="10"/>
        <v>0</v>
      </c>
      <c r="AL40" s="2686">
        <f t="shared" si="11"/>
        <v>0</v>
      </c>
      <c r="AM40" s="2718"/>
      <c r="AN40" s="2687">
        <f t="shared" si="14"/>
        <v>0</v>
      </c>
      <c r="AO40" s="2653"/>
      <c r="AP40" s="2650">
        <v>141.5</v>
      </c>
      <c r="AQ40" s="2588">
        <f t="shared" si="18"/>
        <v>248.5</v>
      </c>
      <c r="AR40" s="2678"/>
    </row>
    <row r="41" spans="1:44" s="2588" customFormat="1" ht="17.100000000000001" customHeight="1">
      <c r="A41" s="2897">
        <f>SQRT(D85)</f>
        <v>10.954451150103322</v>
      </c>
      <c r="B41" s="2896"/>
      <c r="C41" s="735">
        <f t="shared" si="19"/>
        <v>0</v>
      </c>
      <c r="E41" s="2689">
        <v>3.5</v>
      </c>
      <c r="F41" s="2718"/>
      <c r="G41" s="2686">
        <f t="shared" si="6"/>
        <v>0</v>
      </c>
      <c r="H41" s="2686">
        <f t="shared" si="7"/>
        <v>0</v>
      </c>
      <c r="I41" s="2718"/>
      <c r="J41" s="2687">
        <f t="shared" si="12"/>
        <v>0</v>
      </c>
      <c r="K41" s="2653"/>
      <c r="L41" s="2650">
        <v>232.7</v>
      </c>
      <c r="M41" s="2588">
        <f t="shared" si="16"/>
        <v>325.2</v>
      </c>
      <c r="N41" s="2678"/>
      <c r="O41" s="2922"/>
      <c r="P41" s="2663"/>
      <c r="T41" s="2689">
        <v>3.5</v>
      </c>
      <c r="U41" s="2718"/>
      <c r="V41" s="2686">
        <f t="shared" si="8"/>
        <v>0</v>
      </c>
      <c r="W41" s="2686">
        <f t="shared" si="9"/>
        <v>0</v>
      </c>
      <c r="X41" s="2718"/>
      <c r="Y41" s="2687">
        <f t="shared" si="13"/>
        <v>0</v>
      </c>
      <c r="Z41" s="2653"/>
      <c r="AA41" s="2650">
        <v>143.4</v>
      </c>
      <c r="AB41" s="2588">
        <f t="shared" si="17"/>
        <v>250.4</v>
      </c>
      <c r="AC41" s="2678"/>
      <c r="AD41" s="2921"/>
      <c r="AE41" s="2663"/>
      <c r="AI41" s="2689">
        <v>3.5</v>
      </c>
      <c r="AJ41" s="2718"/>
      <c r="AK41" s="2686">
        <f t="shared" si="10"/>
        <v>0</v>
      </c>
      <c r="AL41" s="2686">
        <f t="shared" si="11"/>
        <v>0</v>
      </c>
      <c r="AM41" s="2718"/>
      <c r="AN41" s="2687">
        <f t="shared" si="14"/>
        <v>0</v>
      </c>
      <c r="AO41" s="2653"/>
      <c r="AP41" s="2650">
        <v>144.6</v>
      </c>
      <c r="AQ41" s="2588">
        <f t="shared" si="18"/>
        <v>251.6</v>
      </c>
      <c r="AR41" s="2678"/>
    </row>
    <row r="42" spans="1:44" s="2588" customFormat="1" ht="17.100000000000001" customHeight="1">
      <c r="A42" s="2897">
        <f t="shared" si="15"/>
        <v>16</v>
      </c>
      <c r="B42" s="2896"/>
      <c r="C42" s="735">
        <f t="shared" si="19"/>
        <v>0</v>
      </c>
      <c r="E42" s="2689">
        <v>4</v>
      </c>
      <c r="F42" s="2718"/>
      <c r="G42" s="2686">
        <f t="shared" si="6"/>
        <v>0</v>
      </c>
      <c r="H42" s="2686">
        <f t="shared" si="7"/>
        <v>0</v>
      </c>
      <c r="I42" s="2718"/>
      <c r="J42" s="2687">
        <f t="shared" si="12"/>
        <v>0</v>
      </c>
      <c r="K42" s="2653"/>
      <c r="L42" s="2650">
        <v>232.4</v>
      </c>
      <c r="M42" s="2588">
        <f t="shared" si="16"/>
        <v>324.89999999999998</v>
      </c>
      <c r="N42" s="2678"/>
      <c r="O42" s="2922"/>
      <c r="P42" s="2663"/>
      <c r="T42" s="2689">
        <v>4</v>
      </c>
      <c r="U42" s="2718"/>
      <c r="V42" s="2686">
        <f t="shared" si="8"/>
        <v>0</v>
      </c>
      <c r="W42" s="2686">
        <f t="shared" si="9"/>
        <v>0</v>
      </c>
      <c r="X42" s="2718"/>
      <c r="Y42" s="2687">
        <f t="shared" si="13"/>
        <v>0</v>
      </c>
      <c r="Z42" s="2653"/>
      <c r="AA42" s="2650">
        <v>144.5</v>
      </c>
      <c r="AB42" s="2588">
        <f t="shared" si="17"/>
        <v>251.5</v>
      </c>
      <c r="AC42" s="2678"/>
      <c r="AD42" s="2921"/>
      <c r="AE42" s="2663"/>
      <c r="AI42" s="2689">
        <v>4</v>
      </c>
      <c r="AJ42" s="2718"/>
      <c r="AK42" s="2686">
        <f t="shared" si="10"/>
        <v>0</v>
      </c>
      <c r="AL42" s="2686">
        <f t="shared" si="11"/>
        <v>0</v>
      </c>
      <c r="AM42" s="2718"/>
      <c r="AN42" s="2687">
        <f t="shared" si="14"/>
        <v>0</v>
      </c>
      <c r="AO42" s="2653"/>
      <c r="AP42" s="2650">
        <v>147</v>
      </c>
      <c r="AQ42" s="2588">
        <f t="shared" si="18"/>
        <v>254</v>
      </c>
      <c r="AR42" s="2678"/>
    </row>
    <row r="43" spans="1:44" s="2588" customFormat="1" ht="17.100000000000001" customHeight="1">
      <c r="A43" s="2897">
        <f t="shared" si="15"/>
        <v>22</v>
      </c>
      <c r="B43" s="2896"/>
      <c r="C43" s="735">
        <f t="shared" si="19"/>
        <v>0</v>
      </c>
      <c r="E43" s="2689">
        <v>4.5</v>
      </c>
      <c r="F43" s="2718"/>
      <c r="G43" s="2686">
        <f t="shared" si="6"/>
        <v>0</v>
      </c>
      <c r="H43" s="2686">
        <f t="shared" si="7"/>
        <v>0</v>
      </c>
      <c r="I43" s="2718"/>
      <c r="J43" s="2687">
        <f t="shared" si="12"/>
        <v>0</v>
      </c>
      <c r="K43" s="2653"/>
      <c r="L43" s="2650">
        <v>231.6</v>
      </c>
      <c r="M43" s="2588">
        <f t="shared" si="16"/>
        <v>324.10000000000002</v>
      </c>
      <c r="N43" s="2678"/>
      <c r="O43" s="2922"/>
      <c r="P43" s="2663"/>
      <c r="T43" s="2689">
        <v>4.5</v>
      </c>
      <c r="U43" s="2718"/>
      <c r="V43" s="2686">
        <f t="shared" si="8"/>
        <v>0</v>
      </c>
      <c r="W43" s="2686">
        <f t="shared" si="9"/>
        <v>0</v>
      </c>
      <c r="X43" s="2718"/>
      <c r="Y43" s="2687">
        <f t="shared" si="13"/>
        <v>0</v>
      </c>
      <c r="Z43" s="2653"/>
      <c r="AA43" s="2650">
        <v>146.5</v>
      </c>
      <c r="AB43" s="2588">
        <f t="shared" si="17"/>
        <v>253.5</v>
      </c>
      <c r="AC43" s="2678"/>
      <c r="AD43" s="2921"/>
      <c r="AE43" s="2663"/>
      <c r="AI43" s="2689">
        <v>4.5</v>
      </c>
      <c r="AJ43" s="2718"/>
      <c r="AK43" s="2686">
        <f t="shared" si="10"/>
        <v>0</v>
      </c>
      <c r="AL43" s="2686">
        <f t="shared" si="11"/>
        <v>0</v>
      </c>
      <c r="AM43" s="2718"/>
      <c r="AN43" s="2687">
        <f t="shared" si="14"/>
        <v>0</v>
      </c>
      <c r="AO43" s="2653"/>
      <c r="AP43" s="2650">
        <v>147.69999999999999</v>
      </c>
      <c r="AQ43" s="2588">
        <f t="shared" si="18"/>
        <v>254.7</v>
      </c>
      <c r="AR43" s="2678"/>
    </row>
    <row r="44" spans="1:44" s="2588" customFormat="1" ht="17.100000000000001" customHeight="1">
      <c r="A44" s="2897">
        <f t="shared" si="15"/>
        <v>37.947331922020552</v>
      </c>
      <c r="B44" s="2896"/>
      <c r="C44" s="735">
        <f t="shared" si="19"/>
        <v>0</v>
      </c>
      <c r="E44" s="2689">
        <v>5</v>
      </c>
      <c r="F44" s="2718"/>
      <c r="G44" s="2686">
        <f t="shared" si="6"/>
        <v>0</v>
      </c>
      <c r="H44" s="2686">
        <f t="shared" si="7"/>
        <v>0</v>
      </c>
      <c r="I44" s="2718"/>
      <c r="J44" s="2687">
        <f t="shared" si="12"/>
        <v>0</v>
      </c>
      <c r="K44" s="2653"/>
      <c r="L44" s="2650">
        <v>230.3</v>
      </c>
      <c r="M44" s="2588">
        <f t="shared" si="16"/>
        <v>322.8</v>
      </c>
      <c r="N44" s="2678"/>
      <c r="O44" s="2922"/>
      <c r="P44" s="2663"/>
      <c r="T44" s="2689">
        <v>5</v>
      </c>
      <c r="U44" s="2718"/>
      <c r="V44" s="2686">
        <f t="shared" si="8"/>
        <v>0</v>
      </c>
      <c r="W44" s="2686">
        <f t="shared" si="9"/>
        <v>0</v>
      </c>
      <c r="X44" s="2718"/>
      <c r="Y44" s="2687">
        <f t="shared" si="13"/>
        <v>0</v>
      </c>
      <c r="Z44" s="2653"/>
      <c r="AA44" s="2650">
        <v>148.19999999999999</v>
      </c>
      <c r="AB44" s="2588">
        <f t="shared" si="17"/>
        <v>255.2</v>
      </c>
      <c r="AC44" s="2678"/>
      <c r="AD44" s="2921"/>
      <c r="AE44" s="2663"/>
      <c r="AI44" s="2689">
        <v>5</v>
      </c>
      <c r="AJ44" s="2718"/>
      <c r="AK44" s="2686">
        <f t="shared" si="10"/>
        <v>0</v>
      </c>
      <c r="AL44" s="2686">
        <f t="shared" si="11"/>
        <v>0</v>
      </c>
      <c r="AM44" s="2718"/>
      <c r="AN44" s="2687">
        <f t="shared" si="14"/>
        <v>0</v>
      </c>
      <c r="AO44" s="2653"/>
      <c r="AP44" s="2650">
        <v>149.5</v>
      </c>
      <c r="AQ44" s="2588">
        <f t="shared" si="18"/>
        <v>256.5</v>
      </c>
      <c r="AR44" s="2678"/>
    </row>
    <row r="45" spans="1:44" s="2588" customFormat="1" ht="17.100000000000001" customHeight="1">
      <c r="A45" s="2895"/>
      <c r="B45" s="2896"/>
      <c r="C45" s="2895"/>
      <c r="E45" s="2689">
        <v>5.5</v>
      </c>
      <c r="F45" s="2718"/>
      <c r="G45" s="2686">
        <f t="shared" si="6"/>
        <v>0</v>
      </c>
      <c r="H45" s="2686">
        <f t="shared" si="7"/>
        <v>0</v>
      </c>
      <c r="I45" s="2718"/>
      <c r="J45" s="2687">
        <f t="shared" si="12"/>
        <v>0</v>
      </c>
      <c r="K45" s="2653"/>
      <c r="L45" s="2650">
        <v>228.7</v>
      </c>
      <c r="M45" s="2588">
        <f t="shared" si="16"/>
        <v>321.2</v>
      </c>
      <c r="N45" s="2678"/>
      <c r="O45" s="2922"/>
      <c r="P45" s="2663"/>
      <c r="T45" s="2689">
        <v>5.5</v>
      </c>
      <c r="U45" s="2718"/>
      <c r="V45" s="2686">
        <f t="shared" si="8"/>
        <v>0</v>
      </c>
      <c r="W45" s="2686">
        <f t="shared" si="9"/>
        <v>0</v>
      </c>
      <c r="X45" s="2718"/>
      <c r="Y45" s="2687">
        <f t="shared" si="13"/>
        <v>0</v>
      </c>
      <c r="Z45" s="2653"/>
      <c r="AA45" s="2650">
        <v>147.6</v>
      </c>
      <c r="AB45" s="2588">
        <f t="shared" si="17"/>
        <v>254.6</v>
      </c>
      <c r="AC45" s="2678"/>
      <c r="AD45" s="2921"/>
      <c r="AE45" s="2663"/>
      <c r="AI45" s="2689">
        <v>5.5</v>
      </c>
      <c r="AJ45" s="2718"/>
      <c r="AK45" s="2686">
        <f t="shared" si="10"/>
        <v>0</v>
      </c>
      <c r="AL45" s="2686">
        <f t="shared" si="11"/>
        <v>0</v>
      </c>
      <c r="AM45" s="2718"/>
      <c r="AN45" s="2687">
        <f t="shared" si="14"/>
        <v>0</v>
      </c>
      <c r="AO45" s="2653"/>
      <c r="AP45" s="2650">
        <v>151.4</v>
      </c>
      <c r="AQ45" s="2588">
        <f t="shared" si="18"/>
        <v>258.39999999999998</v>
      </c>
      <c r="AR45" s="2678"/>
    </row>
    <row r="46" spans="1:44" s="2588" customFormat="1" ht="17.100000000000001" customHeight="1">
      <c r="A46" s="2663"/>
      <c r="E46" s="2689">
        <v>6</v>
      </c>
      <c r="F46" s="2718"/>
      <c r="G46" s="2686">
        <f t="shared" si="6"/>
        <v>0</v>
      </c>
      <c r="H46" s="2686">
        <f t="shared" si="7"/>
        <v>0</v>
      </c>
      <c r="I46" s="2718"/>
      <c r="J46" s="2687">
        <f t="shared" si="12"/>
        <v>0</v>
      </c>
      <c r="K46" s="2653"/>
      <c r="L46" s="2650">
        <v>227.2</v>
      </c>
      <c r="M46" s="2588">
        <f t="shared" si="16"/>
        <v>319.7</v>
      </c>
      <c r="N46" s="2678"/>
      <c r="O46" s="2922"/>
      <c r="P46" s="2663"/>
      <c r="T46" s="2689">
        <v>6</v>
      </c>
      <c r="U46" s="2718"/>
      <c r="V46" s="2686">
        <f t="shared" si="8"/>
        <v>0</v>
      </c>
      <c r="W46" s="2686">
        <f t="shared" si="9"/>
        <v>0</v>
      </c>
      <c r="X46" s="2718"/>
      <c r="Y46" s="2687">
        <f t="shared" si="13"/>
        <v>0</v>
      </c>
      <c r="Z46" s="2653"/>
      <c r="AA46" s="2650">
        <v>147.6</v>
      </c>
      <c r="AB46" s="2588">
        <f t="shared" si="17"/>
        <v>254.6</v>
      </c>
      <c r="AC46" s="2678"/>
      <c r="AD46" s="2921"/>
      <c r="AE46" s="2663"/>
      <c r="AI46" s="2689">
        <v>6</v>
      </c>
      <c r="AJ46" s="2718"/>
      <c r="AK46" s="2686">
        <f t="shared" si="10"/>
        <v>0</v>
      </c>
      <c r="AL46" s="2686">
        <f t="shared" si="11"/>
        <v>0</v>
      </c>
      <c r="AM46" s="2718"/>
      <c r="AN46" s="2687">
        <f t="shared" si="14"/>
        <v>0</v>
      </c>
      <c r="AO46" s="2653"/>
      <c r="AP46" s="2650">
        <v>152.69999999999999</v>
      </c>
      <c r="AQ46" s="2588">
        <f t="shared" si="18"/>
        <v>259.7</v>
      </c>
      <c r="AR46" s="2678"/>
    </row>
    <row r="47" spans="1:44" s="2588" customFormat="1" ht="17.100000000000001" customHeight="1">
      <c r="A47" s="2663"/>
      <c r="E47" s="2689">
        <v>6.5</v>
      </c>
      <c r="F47" s="2718"/>
      <c r="G47" s="2686">
        <f t="shared" si="6"/>
        <v>0</v>
      </c>
      <c r="H47" s="2686">
        <f t="shared" si="7"/>
        <v>0</v>
      </c>
      <c r="I47" s="2718"/>
      <c r="J47" s="2687">
        <f t="shared" si="12"/>
        <v>0</v>
      </c>
      <c r="K47" s="2653"/>
      <c r="L47" s="2650">
        <v>227.2</v>
      </c>
      <c r="M47" s="2588">
        <f t="shared" si="16"/>
        <v>319.7</v>
      </c>
      <c r="N47" s="2678"/>
      <c r="O47" s="2922"/>
      <c r="P47" s="2663"/>
      <c r="T47" s="2689">
        <v>6.5</v>
      </c>
      <c r="U47" s="2718"/>
      <c r="V47" s="2686">
        <f t="shared" si="8"/>
        <v>0</v>
      </c>
      <c r="W47" s="2686">
        <f t="shared" si="9"/>
        <v>0</v>
      </c>
      <c r="X47" s="2718"/>
      <c r="Y47" s="2687">
        <f t="shared" si="13"/>
        <v>0</v>
      </c>
      <c r="Z47" s="2653"/>
      <c r="AA47" s="2650">
        <v>147.6</v>
      </c>
      <c r="AB47" s="2588">
        <f t="shared" si="17"/>
        <v>254.6</v>
      </c>
      <c r="AC47" s="2678"/>
      <c r="AD47" s="2921"/>
      <c r="AE47" s="2663"/>
      <c r="AI47" s="2689">
        <v>6.5</v>
      </c>
      <c r="AJ47" s="2718"/>
      <c r="AK47" s="2686">
        <f t="shared" si="10"/>
        <v>0</v>
      </c>
      <c r="AL47" s="2686">
        <f t="shared" si="11"/>
        <v>0</v>
      </c>
      <c r="AM47" s="2718"/>
      <c r="AN47" s="2687">
        <f t="shared" si="14"/>
        <v>0</v>
      </c>
      <c r="AO47" s="2653"/>
      <c r="AP47" s="2650">
        <v>153.5</v>
      </c>
      <c r="AQ47" s="2588">
        <f t="shared" si="18"/>
        <v>260.5</v>
      </c>
      <c r="AR47" s="2678"/>
    </row>
    <row r="48" spans="1:44" s="2588" customFormat="1" ht="17.100000000000001" customHeight="1">
      <c r="A48" s="2663"/>
      <c r="E48" s="2689">
        <v>7</v>
      </c>
      <c r="F48" s="2718"/>
      <c r="G48" s="2686">
        <f t="shared" si="6"/>
        <v>0</v>
      </c>
      <c r="H48" s="2686">
        <f t="shared" si="7"/>
        <v>0</v>
      </c>
      <c r="I48" s="2718"/>
      <c r="J48" s="2687">
        <f t="shared" si="12"/>
        <v>0</v>
      </c>
      <c r="K48" s="2653"/>
      <c r="L48" s="2650">
        <v>227.2</v>
      </c>
      <c r="M48" s="2588">
        <f t="shared" si="16"/>
        <v>319.7</v>
      </c>
      <c r="N48" s="2678"/>
      <c r="O48" s="2922"/>
      <c r="P48" s="2663"/>
      <c r="T48" s="2689">
        <v>7</v>
      </c>
      <c r="U48" s="2718"/>
      <c r="V48" s="2686">
        <f t="shared" si="8"/>
        <v>0</v>
      </c>
      <c r="W48" s="2686">
        <f t="shared" si="9"/>
        <v>0</v>
      </c>
      <c r="X48" s="2718"/>
      <c r="Y48" s="2687">
        <f t="shared" si="13"/>
        <v>0</v>
      </c>
      <c r="Z48" s="2653"/>
      <c r="AA48" s="2650">
        <v>147.6</v>
      </c>
      <c r="AB48" s="2588">
        <f t="shared" si="17"/>
        <v>254.6</v>
      </c>
      <c r="AC48" s="2678"/>
      <c r="AD48" s="2921"/>
      <c r="AE48" s="2663"/>
      <c r="AI48" s="2689">
        <v>7</v>
      </c>
      <c r="AJ48" s="2718"/>
      <c r="AK48" s="2686">
        <f t="shared" si="10"/>
        <v>0</v>
      </c>
      <c r="AL48" s="2686">
        <f t="shared" si="11"/>
        <v>0</v>
      </c>
      <c r="AM48" s="2718"/>
      <c r="AN48" s="2687">
        <f t="shared" si="14"/>
        <v>0</v>
      </c>
      <c r="AO48" s="2653"/>
      <c r="AP48" s="2650">
        <v>151.80000000000001</v>
      </c>
      <c r="AQ48" s="2588">
        <f t="shared" si="18"/>
        <v>258.8</v>
      </c>
      <c r="AR48" s="2678"/>
    </row>
    <row r="49" spans="1:44" s="2588" customFormat="1" ht="17.100000000000001" customHeight="1">
      <c r="A49" s="2663"/>
      <c r="E49" s="2689">
        <v>7.5</v>
      </c>
      <c r="F49" s="2718"/>
      <c r="G49" s="2686">
        <f t="shared" si="6"/>
        <v>0</v>
      </c>
      <c r="H49" s="2686">
        <f t="shared" si="7"/>
        <v>0</v>
      </c>
      <c r="I49" s="2718"/>
      <c r="J49" s="2687">
        <f t="shared" si="12"/>
        <v>0</v>
      </c>
      <c r="K49" s="2653"/>
      <c r="L49" s="2650">
        <v>225.4</v>
      </c>
      <c r="M49" s="2588">
        <f t="shared" si="16"/>
        <v>317.89999999999998</v>
      </c>
      <c r="N49" s="2678"/>
      <c r="O49" s="2922"/>
      <c r="P49" s="2663"/>
      <c r="T49" s="2689">
        <v>7.5</v>
      </c>
      <c r="U49" s="2718"/>
      <c r="V49" s="2686">
        <f t="shared" si="8"/>
        <v>0</v>
      </c>
      <c r="W49" s="2686">
        <f t="shared" si="9"/>
        <v>0</v>
      </c>
      <c r="X49" s="2718"/>
      <c r="Y49" s="2687">
        <f t="shared" si="13"/>
        <v>0</v>
      </c>
      <c r="Z49" s="2653"/>
      <c r="AA49" s="2650">
        <v>147.6</v>
      </c>
      <c r="AB49" s="2588">
        <f t="shared" si="17"/>
        <v>254.6</v>
      </c>
      <c r="AC49" s="2678"/>
      <c r="AD49" s="2921"/>
      <c r="AE49" s="2663"/>
      <c r="AI49" s="2689">
        <v>7.5</v>
      </c>
      <c r="AJ49" s="2718"/>
      <c r="AK49" s="2686">
        <f t="shared" si="10"/>
        <v>0</v>
      </c>
      <c r="AL49" s="2686">
        <f t="shared" si="11"/>
        <v>0</v>
      </c>
      <c r="AM49" s="2718"/>
      <c r="AN49" s="2687">
        <f t="shared" si="14"/>
        <v>0</v>
      </c>
      <c r="AO49" s="2653"/>
      <c r="AP49" s="2650">
        <v>151.19999999999999</v>
      </c>
      <c r="AQ49" s="2588">
        <f t="shared" si="18"/>
        <v>258.2</v>
      </c>
      <c r="AR49" s="2678"/>
    </row>
    <row r="50" spans="1:44" s="2588" customFormat="1" ht="17.100000000000001" customHeight="1">
      <c r="A50" s="2663"/>
      <c r="E50" s="2689">
        <v>8</v>
      </c>
      <c r="F50" s="2718"/>
      <c r="G50" s="2686">
        <f t="shared" si="6"/>
        <v>0</v>
      </c>
      <c r="H50" s="2686">
        <f t="shared" si="7"/>
        <v>0</v>
      </c>
      <c r="I50" s="2718"/>
      <c r="J50" s="2687">
        <f t="shared" si="12"/>
        <v>0</v>
      </c>
      <c r="K50" s="2653"/>
      <c r="L50" s="2650">
        <v>224.5</v>
      </c>
      <c r="M50" s="2588">
        <f t="shared" si="16"/>
        <v>317</v>
      </c>
      <c r="N50" s="2678"/>
      <c r="O50" s="2922"/>
      <c r="P50" s="2663"/>
      <c r="T50" s="2689">
        <v>8</v>
      </c>
      <c r="U50" s="2718"/>
      <c r="V50" s="2686">
        <f t="shared" si="8"/>
        <v>0</v>
      </c>
      <c r="W50" s="2686">
        <f t="shared" si="9"/>
        <v>0</v>
      </c>
      <c r="X50" s="2718"/>
      <c r="Y50" s="2687">
        <f t="shared" si="13"/>
        <v>0</v>
      </c>
      <c r="Z50" s="2653"/>
      <c r="AA50" s="2650">
        <v>147.6</v>
      </c>
      <c r="AB50" s="2588">
        <f t="shared" si="17"/>
        <v>254.6</v>
      </c>
      <c r="AC50" s="2678"/>
      <c r="AD50" s="2921"/>
      <c r="AE50" s="2663"/>
      <c r="AI50" s="2689">
        <v>8</v>
      </c>
      <c r="AJ50" s="2718"/>
      <c r="AK50" s="2686">
        <f t="shared" si="10"/>
        <v>0</v>
      </c>
      <c r="AL50" s="2686">
        <f t="shared" si="11"/>
        <v>0</v>
      </c>
      <c r="AM50" s="2718"/>
      <c r="AN50" s="2687">
        <f t="shared" si="14"/>
        <v>0</v>
      </c>
      <c r="AO50" s="2653"/>
      <c r="AP50" s="2650">
        <v>150.69999999999999</v>
      </c>
      <c r="AQ50" s="2588">
        <f t="shared" si="18"/>
        <v>257.7</v>
      </c>
      <c r="AR50" s="2678"/>
    </row>
    <row r="51" spans="1:44" s="2588" customFormat="1" ht="17.100000000000001" customHeight="1">
      <c r="A51" s="2663"/>
      <c r="E51" s="2689">
        <v>8.5</v>
      </c>
      <c r="F51" s="2718"/>
      <c r="G51" s="2686">
        <f t="shared" si="6"/>
        <v>0</v>
      </c>
      <c r="H51" s="2686">
        <f t="shared" si="7"/>
        <v>0</v>
      </c>
      <c r="I51" s="2718"/>
      <c r="J51" s="2687">
        <f t="shared" si="12"/>
        <v>0</v>
      </c>
      <c r="K51" s="2653"/>
      <c r="L51" s="2650">
        <v>223.6</v>
      </c>
      <c r="M51" s="2588">
        <f t="shared" si="16"/>
        <v>316.10000000000002</v>
      </c>
      <c r="N51" s="2678"/>
      <c r="O51" s="2922"/>
      <c r="P51" s="2663"/>
      <c r="T51" s="2689">
        <v>8.5</v>
      </c>
      <c r="U51" s="2718"/>
      <c r="V51" s="2686">
        <f t="shared" si="8"/>
        <v>0</v>
      </c>
      <c r="W51" s="2686">
        <f t="shared" si="9"/>
        <v>0</v>
      </c>
      <c r="X51" s="2718"/>
      <c r="Y51" s="2687">
        <f t="shared" si="13"/>
        <v>0</v>
      </c>
      <c r="Z51" s="2653"/>
      <c r="AA51" s="2650">
        <v>147.6</v>
      </c>
      <c r="AB51" s="2588">
        <f t="shared" si="17"/>
        <v>254.6</v>
      </c>
      <c r="AC51" s="2678"/>
      <c r="AD51" s="2921"/>
      <c r="AE51" s="2663"/>
      <c r="AI51" s="2689">
        <v>8.5</v>
      </c>
      <c r="AJ51" s="2718"/>
      <c r="AK51" s="2686">
        <f t="shared" si="10"/>
        <v>0</v>
      </c>
      <c r="AL51" s="2686">
        <f t="shared" si="11"/>
        <v>0</v>
      </c>
      <c r="AM51" s="2718"/>
      <c r="AN51" s="2687">
        <f t="shared" si="14"/>
        <v>0</v>
      </c>
      <c r="AO51" s="2653"/>
      <c r="AP51" s="2650">
        <v>150.5</v>
      </c>
      <c r="AQ51" s="2588">
        <f t="shared" si="18"/>
        <v>257.5</v>
      </c>
      <c r="AR51" s="2678"/>
    </row>
    <row r="52" spans="1:44" s="2588" customFormat="1" ht="17.100000000000001" customHeight="1">
      <c r="A52" s="2663"/>
      <c r="E52" s="2689">
        <v>9</v>
      </c>
      <c r="F52" s="2718"/>
      <c r="G52" s="2686">
        <f t="shared" si="6"/>
        <v>0</v>
      </c>
      <c r="H52" s="2686">
        <f t="shared" si="7"/>
        <v>0</v>
      </c>
      <c r="I52" s="2718"/>
      <c r="J52" s="2687">
        <f t="shared" si="12"/>
        <v>0</v>
      </c>
      <c r="K52" s="2653"/>
      <c r="L52" s="2650">
        <v>223.2</v>
      </c>
      <c r="M52" s="2588">
        <f t="shared" si="16"/>
        <v>315.7</v>
      </c>
      <c r="N52" s="2678"/>
      <c r="O52" s="2922"/>
      <c r="P52" s="2663"/>
      <c r="T52" s="2689">
        <v>9</v>
      </c>
      <c r="U52" s="2718"/>
      <c r="V52" s="2686">
        <f t="shared" si="8"/>
        <v>0</v>
      </c>
      <c r="W52" s="2686">
        <f t="shared" si="9"/>
        <v>0</v>
      </c>
      <c r="X52" s="2718"/>
      <c r="Y52" s="2687">
        <f t="shared" si="13"/>
        <v>0</v>
      </c>
      <c r="Z52" s="2653"/>
      <c r="AA52" s="2650">
        <v>147.6</v>
      </c>
      <c r="AB52" s="2588">
        <f t="shared" si="17"/>
        <v>254.6</v>
      </c>
      <c r="AC52" s="2678"/>
      <c r="AD52" s="2921"/>
      <c r="AE52" s="2663"/>
      <c r="AI52" s="2689">
        <v>9</v>
      </c>
      <c r="AJ52" s="2718"/>
      <c r="AK52" s="2686">
        <f t="shared" si="10"/>
        <v>0</v>
      </c>
      <c r="AL52" s="2686">
        <f t="shared" si="11"/>
        <v>0</v>
      </c>
      <c r="AM52" s="2718"/>
      <c r="AN52" s="2687">
        <f t="shared" si="14"/>
        <v>0</v>
      </c>
      <c r="AO52" s="2653"/>
      <c r="AP52" s="2650">
        <v>149.6</v>
      </c>
      <c r="AQ52" s="2588">
        <f t="shared" si="18"/>
        <v>256.60000000000002</v>
      </c>
      <c r="AR52" s="2678"/>
    </row>
    <row r="53" spans="1:44" s="2588" customFormat="1" ht="17.100000000000001" customHeight="1">
      <c r="A53" s="2663"/>
      <c r="E53" s="2689">
        <v>9.5</v>
      </c>
      <c r="F53" s="2718"/>
      <c r="G53" s="2686">
        <f t="shared" si="6"/>
        <v>0</v>
      </c>
      <c r="H53" s="2686">
        <f t="shared" si="7"/>
        <v>0</v>
      </c>
      <c r="I53" s="2718"/>
      <c r="J53" s="2687">
        <f t="shared" si="12"/>
        <v>0</v>
      </c>
      <c r="K53" s="2653"/>
      <c r="L53" s="2650">
        <v>223</v>
      </c>
      <c r="M53" s="2588">
        <f t="shared" si="16"/>
        <v>315.5</v>
      </c>
      <c r="N53" s="2678"/>
      <c r="O53" s="2922"/>
      <c r="P53" s="2663"/>
      <c r="T53" s="2689">
        <v>9.5</v>
      </c>
      <c r="U53" s="2718"/>
      <c r="V53" s="2686">
        <f t="shared" si="8"/>
        <v>0</v>
      </c>
      <c r="W53" s="2686">
        <f t="shared" si="9"/>
        <v>0</v>
      </c>
      <c r="X53" s="2718"/>
      <c r="Y53" s="2687">
        <f t="shared" si="13"/>
        <v>0</v>
      </c>
      <c r="Z53" s="2653"/>
      <c r="AA53" s="2650">
        <v>147.5</v>
      </c>
      <c r="AB53" s="2588">
        <f t="shared" si="17"/>
        <v>254.5</v>
      </c>
      <c r="AC53" s="2678"/>
      <c r="AD53" s="2921"/>
      <c r="AE53" s="2663"/>
      <c r="AI53" s="2689">
        <v>9.5</v>
      </c>
      <c r="AJ53" s="2718"/>
      <c r="AK53" s="2686">
        <f t="shared" si="10"/>
        <v>0</v>
      </c>
      <c r="AL53" s="2686">
        <f t="shared" si="11"/>
        <v>0</v>
      </c>
      <c r="AM53" s="2718"/>
      <c r="AN53" s="2687">
        <f t="shared" si="14"/>
        <v>0</v>
      </c>
      <c r="AO53" s="2653"/>
      <c r="AP53" s="2650">
        <v>148.4</v>
      </c>
      <c r="AQ53" s="2588">
        <f t="shared" si="18"/>
        <v>255.4</v>
      </c>
      <c r="AR53" s="2678"/>
    </row>
    <row r="54" spans="1:44" s="2588" customFormat="1" ht="17.100000000000001" customHeight="1">
      <c r="A54" s="2663"/>
      <c r="E54" s="2689">
        <v>10</v>
      </c>
      <c r="F54" s="2718"/>
      <c r="G54" s="2686">
        <f t="shared" si="6"/>
        <v>0</v>
      </c>
      <c r="H54" s="2686">
        <f t="shared" si="7"/>
        <v>0</v>
      </c>
      <c r="I54" s="2718"/>
      <c r="J54" s="2687">
        <f t="shared" si="12"/>
        <v>0</v>
      </c>
      <c r="K54" s="2653"/>
      <c r="L54" s="2650">
        <v>223</v>
      </c>
      <c r="M54" s="2588">
        <f t="shared" si="16"/>
        <v>315.5</v>
      </c>
      <c r="N54" s="2678"/>
      <c r="O54" s="2922"/>
      <c r="P54" s="2663"/>
      <c r="T54" s="2689">
        <v>10</v>
      </c>
      <c r="U54" s="2718"/>
      <c r="V54" s="2686">
        <f t="shared" si="8"/>
        <v>0</v>
      </c>
      <c r="W54" s="2686">
        <f t="shared" si="9"/>
        <v>0</v>
      </c>
      <c r="X54" s="2718"/>
      <c r="Y54" s="2687">
        <f t="shared" si="13"/>
        <v>0</v>
      </c>
      <c r="Z54" s="2653"/>
      <c r="AA54" s="2650">
        <v>147.5</v>
      </c>
      <c r="AB54" s="2588">
        <f t="shared" si="17"/>
        <v>254.5</v>
      </c>
      <c r="AC54" s="2678"/>
      <c r="AD54" s="2921"/>
      <c r="AE54" s="2663"/>
      <c r="AI54" s="2689">
        <v>10</v>
      </c>
      <c r="AJ54" s="2718"/>
      <c r="AK54" s="2686">
        <f t="shared" si="10"/>
        <v>0</v>
      </c>
      <c r="AL54" s="2686">
        <f t="shared" si="11"/>
        <v>0</v>
      </c>
      <c r="AM54" s="2718"/>
      <c r="AN54" s="2687">
        <f t="shared" si="14"/>
        <v>0</v>
      </c>
      <c r="AO54" s="2653"/>
      <c r="AP54" s="2650">
        <v>147.19999999999999</v>
      </c>
      <c r="AQ54" s="2588">
        <f t="shared" si="18"/>
        <v>254.2</v>
      </c>
      <c r="AR54" s="2678"/>
    </row>
    <row r="55" spans="1:44" s="2588" customFormat="1" ht="17.100000000000001" customHeight="1">
      <c r="A55" s="2663"/>
      <c r="E55" s="2689">
        <v>10.5</v>
      </c>
      <c r="F55" s="2718"/>
      <c r="G55" s="2686">
        <f t="shared" si="6"/>
        <v>0</v>
      </c>
      <c r="H55" s="2686">
        <f t="shared" si="7"/>
        <v>0</v>
      </c>
      <c r="I55" s="2718"/>
      <c r="J55" s="2687">
        <f t="shared" si="12"/>
        <v>0</v>
      </c>
      <c r="K55" s="2653"/>
      <c r="L55" s="2650">
        <v>222.8</v>
      </c>
      <c r="M55" s="2588">
        <f t="shared" si="16"/>
        <v>315.3</v>
      </c>
      <c r="N55" s="2678"/>
      <c r="O55" s="2922"/>
      <c r="P55" s="2663"/>
      <c r="T55" s="2689">
        <v>10.5</v>
      </c>
      <c r="U55" s="2718"/>
      <c r="V55" s="2686">
        <f t="shared" si="8"/>
        <v>0</v>
      </c>
      <c r="W55" s="2686">
        <f t="shared" si="9"/>
        <v>0</v>
      </c>
      <c r="X55" s="2718"/>
      <c r="Y55" s="2687">
        <f t="shared" si="13"/>
        <v>0</v>
      </c>
      <c r="Z55" s="2653"/>
      <c r="AA55" s="2650">
        <v>147.5</v>
      </c>
      <c r="AB55" s="2588">
        <f t="shared" si="17"/>
        <v>254.5</v>
      </c>
      <c r="AC55" s="2678"/>
      <c r="AD55" s="2921"/>
      <c r="AE55" s="2663"/>
      <c r="AI55" s="2689">
        <v>10.5</v>
      </c>
      <c r="AJ55" s="2718"/>
      <c r="AK55" s="2686">
        <f t="shared" si="10"/>
        <v>0</v>
      </c>
      <c r="AL55" s="2686">
        <f t="shared" si="11"/>
        <v>0</v>
      </c>
      <c r="AM55" s="2718"/>
      <c r="AN55" s="2687">
        <f t="shared" si="14"/>
        <v>0</v>
      </c>
      <c r="AO55" s="2653"/>
      <c r="AP55" s="2650">
        <v>147.19999999999999</v>
      </c>
      <c r="AQ55" s="2588">
        <f t="shared" si="18"/>
        <v>254.2</v>
      </c>
      <c r="AR55" s="2678"/>
    </row>
    <row r="56" spans="1:44" s="2588" customFormat="1" ht="17.100000000000001" customHeight="1">
      <c r="A56" s="2663"/>
      <c r="E56" s="2689">
        <v>11</v>
      </c>
      <c r="F56" s="2718"/>
      <c r="G56" s="2686">
        <f t="shared" si="6"/>
        <v>0</v>
      </c>
      <c r="H56" s="2686">
        <f t="shared" si="7"/>
        <v>0</v>
      </c>
      <c r="I56" s="2718"/>
      <c r="J56" s="2687">
        <f t="shared" si="12"/>
        <v>0</v>
      </c>
      <c r="K56" s="2653"/>
      <c r="L56" s="2650">
        <v>222.6</v>
      </c>
      <c r="M56" s="2588">
        <f t="shared" si="16"/>
        <v>315.10000000000002</v>
      </c>
      <c r="N56" s="2678"/>
      <c r="O56" s="2922"/>
      <c r="P56" s="2663"/>
      <c r="T56" s="2689">
        <v>11</v>
      </c>
      <c r="U56" s="2718"/>
      <c r="V56" s="2686">
        <f t="shared" si="8"/>
        <v>0</v>
      </c>
      <c r="W56" s="2686">
        <f t="shared" si="9"/>
        <v>0</v>
      </c>
      <c r="X56" s="2718"/>
      <c r="Y56" s="2687">
        <f t="shared" si="13"/>
        <v>0</v>
      </c>
      <c r="Z56" s="2653"/>
      <c r="AA56" s="2650">
        <v>147.5</v>
      </c>
      <c r="AB56" s="2588">
        <f t="shared" si="17"/>
        <v>254.5</v>
      </c>
      <c r="AC56" s="2678"/>
      <c r="AD56" s="2921"/>
      <c r="AE56" s="2663"/>
      <c r="AI56" s="2689">
        <v>11</v>
      </c>
      <c r="AJ56" s="2718"/>
      <c r="AK56" s="2686">
        <f t="shared" si="10"/>
        <v>0</v>
      </c>
      <c r="AL56" s="2686">
        <f t="shared" si="11"/>
        <v>0</v>
      </c>
      <c r="AM56" s="2718"/>
      <c r="AN56" s="2687">
        <f t="shared" si="14"/>
        <v>0</v>
      </c>
      <c r="AO56" s="2653"/>
      <c r="AP56" s="2650">
        <v>147.19999999999999</v>
      </c>
      <c r="AQ56" s="2588">
        <f t="shared" si="18"/>
        <v>254.2</v>
      </c>
      <c r="AR56" s="2678"/>
    </row>
    <row r="57" spans="1:44" s="2588" customFormat="1" ht="17.100000000000001" customHeight="1">
      <c r="A57" s="2663"/>
      <c r="E57" s="2689">
        <v>11.5</v>
      </c>
      <c r="F57" s="2718"/>
      <c r="G57" s="2686">
        <f t="shared" si="6"/>
        <v>0</v>
      </c>
      <c r="H57" s="2686">
        <f t="shared" si="7"/>
        <v>0</v>
      </c>
      <c r="I57" s="2718"/>
      <c r="J57" s="2687">
        <f t="shared" si="12"/>
        <v>0</v>
      </c>
      <c r="K57" s="2653"/>
      <c r="L57" s="2650">
        <v>222.5</v>
      </c>
      <c r="M57" s="2588">
        <f t="shared" si="16"/>
        <v>315</v>
      </c>
      <c r="N57" s="2678"/>
      <c r="O57" s="2922"/>
      <c r="P57" s="2663"/>
      <c r="T57" s="2689">
        <v>11.5</v>
      </c>
      <c r="U57" s="2718"/>
      <c r="V57" s="2686">
        <f t="shared" si="8"/>
        <v>0</v>
      </c>
      <c r="W57" s="2686">
        <f t="shared" si="9"/>
        <v>0</v>
      </c>
      <c r="X57" s="2718"/>
      <c r="Y57" s="2687">
        <f t="shared" si="13"/>
        <v>0</v>
      </c>
      <c r="Z57" s="2653"/>
      <c r="AA57" s="2650">
        <v>147.5</v>
      </c>
      <c r="AB57" s="2588">
        <f t="shared" si="17"/>
        <v>254.5</v>
      </c>
      <c r="AC57" s="2678"/>
      <c r="AD57" s="2921"/>
      <c r="AE57" s="2663"/>
      <c r="AI57" s="2689">
        <v>11.5</v>
      </c>
      <c r="AJ57" s="2718"/>
      <c r="AK57" s="2686">
        <f t="shared" si="10"/>
        <v>0</v>
      </c>
      <c r="AL57" s="2686">
        <f t="shared" si="11"/>
        <v>0</v>
      </c>
      <c r="AM57" s="2718"/>
      <c r="AN57" s="2687">
        <f t="shared" si="14"/>
        <v>0</v>
      </c>
      <c r="AO57" s="2653"/>
      <c r="AP57" s="2650">
        <v>147</v>
      </c>
      <c r="AQ57" s="2588">
        <f t="shared" si="18"/>
        <v>254</v>
      </c>
      <c r="AR57" s="2678"/>
    </row>
    <row r="58" spans="1:44" s="2588" customFormat="1" ht="17.100000000000001" customHeight="1">
      <c r="A58" s="2663"/>
      <c r="E58" s="2689">
        <v>12</v>
      </c>
      <c r="F58" s="2718"/>
      <c r="G58" s="2686">
        <f t="shared" si="6"/>
        <v>0</v>
      </c>
      <c r="H58" s="2686">
        <f t="shared" si="7"/>
        <v>0</v>
      </c>
      <c r="I58" s="2718"/>
      <c r="J58" s="2687">
        <f t="shared" si="12"/>
        <v>0</v>
      </c>
      <c r="K58" s="2653"/>
      <c r="L58" s="2650">
        <v>222.2</v>
      </c>
      <c r="M58" s="2588">
        <f t="shared" si="16"/>
        <v>314.7</v>
      </c>
      <c r="N58" s="2678"/>
      <c r="O58" s="2922"/>
      <c r="P58" s="2663"/>
      <c r="T58" s="2689">
        <v>12</v>
      </c>
      <c r="U58" s="2718"/>
      <c r="V58" s="2686">
        <f t="shared" si="8"/>
        <v>0</v>
      </c>
      <c r="W58" s="2686">
        <f t="shared" si="9"/>
        <v>0</v>
      </c>
      <c r="X58" s="2718"/>
      <c r="Y58" s="2687">
        <f t="shared" si="13"/>
        <v>0</v>
      </c>
      <c r="Z58" s="2653"/>
      <c r="AA58" s="2650">
        <v>147.5</v>
      </c>
      <c r="AB58" s="2588">
        <f t="shared" si="17"/>
        <v>254.5</v>
      </c>
      <c r="AC58" s="2678"/>
      <c r="AD58" s="2921"/>
      <c r="AE58" s="2663"/>
      <c r="AI58" s="2689">
        <v>12</v>
      </c>
      <c r="AJ58" s="2718"/>
      <c r="AK58" s="2686">
        <f t="shared" si="10"/>
        <v>0</v>
      </c>
      <c r="AL58" s="2686">
        <f t="shared" si="11"/>
        <v>0</v>
      </c>
      <c r="AM58" s="2718"/>
      <c r="AN58" s="2687">
        <f t="shared" si="14"/>
        <v>0</v>
      </c>
      <c r="AO58" s="2653"/>
      <c r="AP58" s="2650">
        <v>147</v>
      </c>
      <c r="AQ58" s="2588">
        <f t="shared" si="18"/>
        <v>254</v>
      </c>
      <c r="AR58" s="2678"/>
    </row>
    <row r="59" spans="1:44" s="2588" customFormat="1" ht="17.100000000000001" customHeight="1">
      <c r="A59" s="2663"/>
      <c r="E59" s="2689"/>
      <c r="F59" s="2718"/>
      <c r="G59" s="2686"/>
      <c r="H59" s="2686"/>
      <c r="I59" s="2718"/>
      <c r="J59" s="2687"/>
      <c r="K59" s="2653"/>
      <c r="L59" s="2650"/>
      <c r="N59" s="2678"/>
      <c r="O59" s="2922"/>
      <c r="P59" s="2663"/>
      <c r="T59" s="2689"/>
      <c r="U59" s="2718"/>
      <c r="V59" s="2686"/>
      <c r="W59" s="2686"/>
      <c r="X59" s="2718"/>
      <c r="Y59" s="2687"/>
      <c r="Z59" s="2653"/>
      <c r="AA59" s="2650"/>
      <c r="AC59" s="2678"/>
      <c r="AD59" s="2921"/>
      <c r="AE59" s="2663"/>
      <c r="AI59" s="2689"/>
      <c r="AJ59" s="2718"/>
      <c r="AK59" s="2686"/>
      <c r="AL59" s="2686"/>
      <c r="AM59" s="2718"/>
      <c r="AN59" s="2687"/>
      <c r="AO59" s="2653"/>
      <c r="AP59" s="2650"/>
      <c r="AR59" s="2678"/>
    </row>
    <row r="60" spans="1:44" s="2588" customFormat="1" ht="17.100000000000001" customHeight="1">
      <c r="A60" s="2663"/>
      <c r="E60" s="2689"/>
      <c r="F60" s="2718"/>
      <c r="G60" s="2686"/>
      <c r="H60" s="2686"/>
      <c r="I60" s="2718"/>
      <c r="J60" s="2687"/>
      <c r="K60" s="2653"/>
      <c r="L60" s="2650"/>
      <c r="N60" s="2678"/>
      <c r="O60" s="2922"/>
      <c r="P60" s="2663"/>
      <c r="T60" s="2689"/>
      <c r="U60" s="2719"/>
      <c r="V60" s="2695"/>
      <c r="W60" s="2695"/>
      <c r="X60" s="2719"/>
      <c r="Y60" s="2687"/>
      <c r="Z60" s="2653"/>
      <c r="AA60" s="2650"/>
      <c r="AC60" s="2678"/>
      <c r="AD60" s="2921"/>
      <c r="AE60" s="2663"/>
      <c r="AI60" s="2689"/>
      <c r="AJ60" s="2718"/>
      <c r="AK60" s="2686"/>
      <c r="AL60" s="2686"/>
      <c r="AM60" s="2718"/>
      <c r="AN60" s="2687"/>
      <c r="AO60" s="2653"/>
      <c r="AP60" s="2650"/>
      <c r="AR60" s="2678"/>
    </row>
    <row r="61" spans="1:44" s="2588" customFormat="1" ht="17.100000000000001" customHeight="1">
      <c r="A61" s="2663"/>
      <c r="E61" s="2689"/>
      <c r="F61" s="2719"/>
      <c r="G61" s="2695"/>
      <c r="H61" s="2695"/>
      <c r="I61" s="2719"/>
      <c r="J61" s="2687"/>
      <c r="K61" s="2653"/>
      <c r="L61" s="2650"/>
      <c r="N61" s="2678"/>
      <c r="O61" s="2922"/>
      <c r="P61" s="2663"/>
      <c r="T61" s="2689"/>
      <c r="U61" s="2719"/>
      <c r="V61" s="2695"/>
      <c r="W61" s="2695"/>
      <c r="X61" s="2719"/>
      <c r="Y61" s="2687"/>
      <c r="Z61" s="2653"/>
      <c r="AA61" s="2650"/>
      <c r="AC61" s="2678"/>
      <c r="AD61" s="2921"/>
      <c r="AE61" s="2663"/>
      <c r="AI61" s="2689"/>
      <c r="AJ61" s="2719"/>
      <c r="AK61" s="2695"/>
      <c r="AL61" s="2695"/>
      <c r="AM61" s="2719"/>
      <c r="AN61" s="2687"/>
      <c r="AO61" s="2653"/>
      <c r="AP61" s="2650"/>
      <c r="AR61" s="2678"/>
    </row>
    <row r="62" spans="1:44" s="2588" customFormat="1" ht="17.100000000000001" customHeight="1">
      <c r="A62" s="2663"/>
      <c r="E62" s="2689"/>
      <c r="F62" s="2719"/>
      <c r="G62" s="2695"/>
      <c r="H62" s="2695"/>
      <c r="I62" s="2719"/>
      <c r="J62" s="2687"/>
      <c r="K62" s="2653"/>
      <c r="L62" s="2650"/>
      <c r="N62" s="2678"/>
      <c r="O62" s="2922"/>
      <c r="P62" s="2663"/>
      <c r="T62" s="2689"/>
      <c r="U62" s="2719"/>
      <c r="V62" s="2695"/>
      <c r="W62" s="2695"/>
      <c r="X62" s="2719"/>
      <c r="Y62" s="2687"/>
      <c r="Z62" s="2653"/>
      <c r="AA62" s="2650"/>
      <c r="AC62" s="2678"/>
      <c r="AD62" s="2921"/>
      <c r="AE62" s="2663"/>
      <c r="AI62" s="2689"/>
      <c r="AJ62" s="2719"/>
      <c r="AK62" s="2695"/>
      <c r="AL62" s="2695"/>
      <c r="AM62" s="2719"/>
      <c r="AN62" s="2687"/>
      <c r="AO62" s="2653"/>
      <c r="AP62" s="2650"/>
      <c r="AR62" s="2678"/>
    </row>
    <row r="63" spans="1:44" s="2588" customFormat="1" ht="17.100000000000001" customHeight="1">
      <c r="A63" s="2663"/>
      <c r="E63" s="2689"/>
      <c r="F63" s="2719"/>
      <c r="G63" s="2695"/>
      <c r="H63" s="2687"/>
      <c r="I63" s="2719"/>
      <c r="J63" s="2687"/>
      <c r="K63" s="2653"/>
      <c r="L63" s="2650"/>
      <c r="N63" s="2709"/>
      <c r="O63" s="2922"/>
      <c r="P63" s="2663"/>
      <c r="T63" s="2689"/>
      <c r="U63" s="2719"/>
      <c r="V63" s="2695"/>
      <c r="W63" s="2687"/>
      <c r="X63" s="2719"/>
      <c r="Y63" s="2687"/>
      <c r="Z63" s="2653"/>
      <c r="AA63" s="2650"/>
      <c r="AC63" s="2709"/>
      <c r="AD63" s="2921"/>
      <c r="AE63" s="2663"/>
      <c r="AI63" s="2689"/>
      <c r="AJ63" s="2719"/>
      <c r="AK63" s="2695"/>
      <c r="AL63" s="2687"/>
      <c r="AM63" s="2719"/>
      <c r="AN63" s="2687"/>
      <c r="AO63" s="2653"/>
      <c r="AP63" s="2650"/>
      <c r="AR63" s="2709"/>
    </row>
    <row r="64" spans="1:44" s="2588" customFormat="1" ht="17.100000000000001" customHeight="1">
      <c r="A64" s="2663"/>
      <c r="E64" s="2689"/>
      <c r="F64" s="2719"/>
      <c r="G64" s="2695"/>
      <c r="H64" s="2687"/>
      <c r="I64" s="2719"/>
      <c r="J64" s="2687"/>
      <c r="K64" s="2653"/>
      <c r="L64" s="2650"/>
      <c r="N64" s="2709"/>
      <c r="O64" s="2922"/>
      <c r="P64" s="2663"/>
      <c r="T64" s="2689"/>
      <c r="U64" s="2719"/>
      <c r="V64" s="2695"/>
      <c r="W64" s="2687"/>
      <c r="X64" s="2719"/>
      <c r="Y64" s="2687"/>
      <c r="Z64" s="2653"/>
      <c r="AA64" s="2650"/>
      <c r="AC64" s="2709"/>
      <c r="AD64" s="2921"/>
      <c r="AE64" s="2663"/>
      <c r="AI64" s="2689"/>
      <c r="AJ64" s="2719"/>
      <c r="AK64" s="2695"/>
      <c r="AL64" s="2687"/>
      <c r="AM64" s="2719"/>
      <c r="AN64" s="2687"/>
      <c r="AO64" s="2653"/>
      <c r="AP64" s="2650"/>
      <c r="AR64" s="2709"/>
    </row>
    <row r="65" spans="1:44" s="2588" customFormat="1" ht="17.100000000000001" customHeight="1">
      <c r="A65" s="2663"/>
      <c r="E65" s="2689"/>
      <c r="F65" s="2719"/>
      <c r="G65" s="2693"/>
      <c r="H65" s="2687"/>
      <c r="I65" s="2719"/>
      <c r="J65" s="2687"/>
      <c r="K65" s="2653"/>
      <c r="L65" s="2650"/>
      <c r="N65" s="2678"/>
      <c r="O65" s="2922"/>
      <c r="P65" s="2663"/>
      <c r="T65" s="2689"/>
      <c r="U65" s="2719"/>
      <c r="V65" s="2693"/>
      <c r="W65" s="2687"/>
      <c r="X65" s="2719"/>
      <c r="Y65" s="2687"/>
      <c r="Z65" s="2653"/>
      <c r="AA65" s="2650"/>
      <c r="AC65" s="2678"/>
      <c r="AD65" s="2921"/>
      <c r="AE65" s="2663"/>
      <c r="AI65" s="2689"/>
      <c r="AJ65" s="2719"/>
      <c r="AK65" s="2693"/>
      <c r="AL65" s="2687"/>
      <c r="AM65" s="2719"/>
      <c r="AN65" s="2687"/>
      <c r="AO65" s="2653"/>
      <c r="AP65" s="2650"/>
      <c r="AR65" s="2678"/>
    </row>
    <row r="66" spans="1:44" s="2588" customFormat="1" ht="17.100000000000001" customHeight="1">
      <c r="A66" s="2663"/>
      <c r="E66" s="2689"/>
      <c r="F66" s="2719"/>
      <c r="G66" s="2693"/>
      <c r="H66" s="2687"/>
      <c r="I66" s="2719"/>
      <c r="J66" s="2687"/>
      <c r="K66" s="2653"/>
      <c r="L66" s="2650"/>
      <c r="N66" s="2678"/>
      <c r="O66" s="2922"/>
      <c r="P66" s="2663"/>
      <c r="T66" s="2689"/>
      <c r="U66" s="2719"/>
      <c r="V66" s="2693"/>
      <c r="W66" s="2687"/>
      <c r="X66" s="2719"/>
      <c r="Y66" s="2687"/>
      <c r="Z66" s="2653"/>
      <c r="AA66" s="2650"/>
      <c r="AC66" s="2678"/>
      <c r="AD66" s="2921"/>
      <c r="AE66" s="2663"/>
      <c r="AI66" s="2689"/>
      <c r="AJ66" s="2719"/>
      <c r="AK66" s="2693"/>
      <c r="AL66" s="2687"/>
      <c r="AM66" s="2719"/>
      <c r="AN66" s="2687"/>
      <c r="AO66" s="2653"/>
      <c r="AP66" s="2650"/>
      <c r="AR66" s="2678"/>
    </row>
    <row r="67" spans="1:44" s="2588" customFormat="1" ht="17.100000000000001" customHeight="1">
      <c r="A67" s="2663"/>
      <c r="E67" s="2689"/>
      <c r="F67" s="2720"/>
      <c r="G67" s="2710"/>
      <c r="H67" s="2665"/>
      <c r="I67" s="2721"/>
      <c r="J67" s="2687"/>
      <c r="K67" s="2711"/>
      <c r="L67" s="2712"/>
      <c r="N67" s="2678"/>
      <c r="O67" s="2922"/>
      <c r="P67" s="2663"/>
      <c r="T67" s="2689"/>
      <c r="U67" s="2720"/>
      <c r="V67" s="2710"/>
      <c r="W67" s="2665"/>
      <c r="X67" s="2721"/>
      <c r="Y67" s="2687"/>
      <c r="Z67" s="2711"/>
      <c r="AA67" s="2712"/>
      <c r="AC67" s="2678"/>
      <c r="AD67" s="2921"/>
      <c r="AE67" s="2663"/>
      <c r="AI67" s="2689"/>
      <c r="AJ67" s="2720"/>
      <c r="AK67" s="2710"/>
      <c r="AL67" s="2665"/>
      <c r="AM67" s="2721"/>
      <c r="AN67" s="2687"/>
      <c r="AO67" s="2711"/>
      <c r="AP67" s="2712"/>
      <c r="AR67" s="2678"/>
    </row>
    <row r="68" spans="1:44" s="2588" customFormat="1">
      <c r="A68" s="2663"/>
      <c r="F68" s="2713"/>
      <c r="G68" s="2713"/>
      <c r="N68" s="2678"/>
      <c r="O68" s="2922"/>
      <c r="P68" s="2663"/>
      <c r="U68" s="2713"/>
      <c r="V68" s="2713"/>
      <c r="AC68" s="2678"/>
      <c r="AD68" s="2921"/>
      <c r="AE68" s="2663"/>
      <c r="AJ68" s="2713"/>
      <c r="AK68" s="2713"/>
      <c r="AR68" s="2678"/>
    </row>
    <row r="69" spans="1:44" s="2588" customFormat="1">
      <c r="A69" s="2663"/>
      <c r="F69" s="2713"/>
      <c r="G69" s="2713"/>
      <c r="N69" s="2678"/>
      <c r="O69" s="2922"/>
      <c r="P69" s="2663"/>
      <c r="U69" s="2713"/>
      <c r="V69" s="2713"/>
      <c r="AC69" s="2678"/>
      <c r="AD69" s="2921"/>
      <c r="AE69" s="2663"/>
      <c r="AJ69" s="2713"/>
      <c r="AK69" s="2713"/>
      <c r="AR69" s="2678"/>
    </row>
    <row r="70" spans="1:44" s="2588" customFormat="1">
      <c r="A70" s="2668"/>
      <c r="B70" s="2656"/>
      <c r="C70" s="2656"/>
      <c r="D70" s="2656"/>
      <c r="E70" s="2656"/>
      <c r="F70" s="2714"/>
      <c r="G70" s="2714"/>
      <c r="H70" s="2656"/>
      <c r="I70" s="2656"/>
      <c r="J70" s="2656"/>
      <c r="K70" s="2656"/>
      <c r="L70" s="2656"/>
      <c r="M70" s="2656"/>
      <c r="N70" s="2715"/>
      <c r="O70" s="2922"/>
      <c r="P70" s="2668"/>
      <c r="Q70" s="2656"/>
      <c r="R70" s="2656"/>
      <c r="S70" s="2656"/>
      <c r="T70" s="2656"/>
      <c r="U70" s="2714"/>
      <c r="V70" s="2714"/>
      <c r="W70" s="2656"/>
      <c r="X70" s="2656"/>
      <c r="Y70" s="2656"/>
      <c r="Z70" s="2656"/>
      <c r="AA70" s="2656"/>
      <c r="AB70" s="2656"/>
      <c r="AC70" s="2715"/>
      <c r="AD70" s="2921"/>
      <c r="AE70" s="2668"/>
      <c r="AF70" s="2656"/>
      <c r="AG70" s="2656"/>
      <c r="AH70" s="2656"/>
      <c r="AI70" s="2656"/>
      <c r="AJ70" s="2714"/>
      <c r="AK70" s="2714"/>
      <c r="AL70" s="2656"/>
      <c r="AM70" s="2656"/>
      <c r="AN70" s="2656"/>
      <c r="AO70" s="2656"/>
      <c r="AP70" s="2656"/>
      <c r="AQ70" s="2656"/>
      <c r="AR70" s="2715"/>
    </row>
    <row r="71" spans="1:44">
      <c r="E71" s="2588"/>
      <c r="F71" s="2655"/>
      <c r="G71" s="2655"/>
      <c r="T71" s="2588"/>
      <c r="U71" s="2655"/>
      <c r="V71" s="2655"/>
      <c r="AI71" s="2588"/>
      <c r="AJ71" s="2655"/>
      <c r="AK71" s="2655"/>
    </row>
    <row r="72" spans="1:44">
      <c r="E72" s="2588"/>
      <c r="F72" s="2655"/>
      <c r="G72" s="2655"/>
      <c r="T72" s="2588"/>
      <c r="U72" s="2655"/>
      <c r="V72" s="2655"/>
      <c r="AI72" s="2588"/>
      <c r="AJ72" s="2655"/>
      <c r="AK72" s="2655"/>
    </row>
    <row r="73" spans="1:44">
      <c r="E73" s="2588"/>
      <c r="F73" s="2655"/>
      <c r="G73" s="2655"/>
      <c r="T73" s="2588"/>
      <c r="U73" s="2655"/>
      <c r="V73" s="2655"/>
      <c r="AI73" s="2588"/>
      <c r="AJ73" s="2655"/>
      <c r="AK73" s="2655"/>
    </row>
    <row r="74" spans="1:44" ht="12.75" customHeight="1">
      <c r="D74" s="2898">
        <v>0</v>
      </c>
      <c r="E74" s="2588"/>
      <c r="F74" s="2655"/>
      <c r="G74" s="2655"/>
      <c r="T74" s="2588"/>
      <c r="U74" s="2655"/>
      <c r="V74" s="2655"/>
      <c r="AI74" s="2588"/>
      <c r="AJ74" s="2655"/>
      <c r="AK74" s="2655"/>
    </row>
    <row r="75" spans="1:44">
      <c r="D75" s="2898">
        <v>0.1</v>
      </c>
      <c r="E75" s="2588"/>
      <c r="F75" s="2655"/>
      <c r="G75" s="2655"/>
      <c r="T75" s="2588"/>
      <c r="U75" s="2655"/>
      <c r="V75" s="2655"/>
      <c r="AI75" s="2588"/>
      <c r="AJ75" s="2655"/>
      <c r="AK75" s="2655"/>
    </row>
    <row r="76" spans="1:44">
      <c r="D76" s="2898">
        <v>0.25</v>
      </c>
      <c r="E76" s="2588"/>
      <c r="F76" s="2655"/>
      <c r="G76" s="2655"/>
      <c r="T76" s="2588"/>
      <c r="U76" s="2655"/>
      <c r="V76" s="2655"/>
      <c r="AI76" s="2588"/>
      <c r="AJ76" s="2655"/>
      <c r="AK76" s="2655"/>
    </row>
    <row r="77" spans="1:44">
      <c r="D77" s="2898">
        <v>0.5</v>
      </c>
      <c r="E77" s="2588"/>
      <c r="F77" s="2655"/>
      <c r="G77" s="2655"/>
      <c r="T77" s="2588"/>
      <c r="U77" s="2655"/>
      <c r="V77" s="2655"/>
      <c r="AI77" s="2588"/>
      <c r="AJ77" s="2655"/>
      <c r="AK77" s="2655"/>
    </row>
    <row r="78" spans="1:44">
      <c r="D78" s="2898">
        <v>1</v>
      </c>
      <c r="E78" s="2588"/>
      <c r="F78" s="2655"/>
      <c r="G78" s="2655"/>
      <c r="T78" s="2588"/>
      <c r="U78" s="2655"/>
      <c r="V78" s="2655"/>
      <c r="AI78" s="2588"/>
      <c r="AJ78" s="2655"/>
      <c r="AK78" s="2655"/>
    </row>
    <row r="79" spans="1:44">
      <c r="D79" s="2898">
        <v>2</v>
      </c>
      <c r="E79" s="2588"/>
      <c r="F79" s="2655"/>
      <c r="G79" s="2655"/>
      <c r="T79" s="2588"/>
      <c r="U79" s="2655"/>
      <c r="V79" s="2655"/>
      <c r="AI79" s="2588"/>
      <c r="AJ79" s="2655"/>
      <c r="AK79" s="2655"/>
    </row>
    <row r="80" spans="1:44">
      <c r="D80" s="2899">
        <v>4</v>
      </c>
      <c r="E80" s="2588"/>
      <c r="F80" s="2655"/>
      <c r="G80" s="2655"/>
      <c r="T80" s="2588"/>
      <c r="U80" s="2655"/>
      <c r="V80" s="2655"/>
      <c r="AI80" s="2588"/>
      <c r="AJ80" s="2655"/>
      <c r="AK80" s="2655"/>
    </row>
    <row r="81" spans="4:37">
      <c r="D81" s="2899">
        <v>8</v>
      </c>
      <c r="E81" s="2588"/>
      <c r="F81" s="2655"/>
      <c r="G81" s="2655"/>
      <c r="T81" s="2588"/>
      <c r="U81" s="2655"/>
      <c r="V81" s="2655"/>
      <c r="AI81" s="2588"/>
      <c r="AJ81" s="2655"/>
      <c r="AK81" s="2655"/>
    </row>
    <row r="82" spans="4:37">
      <c r="D82" s="2899">
        <v>15</v>
      </c>
      <c r="E82" s="2588"/>
      <c r="F82" s="2655"/>
      <c r="G82" s="2655"/>
      <c r="T82" s="2588"/>
      <c r="U82" s="2655"/>
      <c r="V82" s="2655"/>
      <c r="AI82" s="2588"/>
      <c r="AJ82" s="2655"/>
      <c r="AK82" s="2655"/>
    </row>
    <row r="83" spans="4:37">
      <c r="D83" s="2899">
        <v>30</v>
      </c>
      <c r="E83" s="2588"/>
      <c r="F83" s="2655"/>
      <c r="G83" s="2655"/>
      <c r="T83" s="2588"/>
      <c r="U83" s="2655"/>
      <c r="V83" s="2655"/>
      <c r="AI83" s="2588"/>
      <c r="AJ83" s="2655"/>
      <c r="AK83" s="2655"/>
    </row>
    <row r="84" spans="4:37">
      <c r="D84" s="2899">
        <v>60</v>
      </c>
      <c r="E84" s="2588"/>
      <c r="F84" s="2655"/>
      <c r="G84" s="2655"/>
      <c r="T84" s="2588"/>
      <c r="U84" s="2655"/>
      <c r="V84" s="2655"/>
      <c r="AI84" s="2588"/>
      <c r="AJ84" s="2655"/>
      <c r="AK84" s="2655"/>
    </row>
    <row r="85" spans="4:37">
      <c r="D85" s="2899">
        <v>120</v>
      </c>
      <c r="E85" s="2588"/>
      <c r="F85" s="2655"/>
      <c r="G85" s="2655"/>
      <c r="T85" s="2588"/>
      <c r="U85" s="2655"/>
      <c r="V85" s="2655"/>
      <c r="AI85" s="2588"/>
      <c r="AJ85" s="2655"/>
      <c r="AK85" s="2655"/>
    </row>
    <row r="86" spans="4:37">
      <c r="D86" s="2899">
        <v>256</v>
      </c>
      <c r="E86" s="2588"/>
      <c r="F86" s="2655"/>
      <c r="G86" s="2655"/>
      <c r="T86" s="2588"/>
      <c r="U86" s="2655"/>
      <c r="V86" s="2655"/>
      <c r="AI86" s="2588"/>
      <c r="AJ86" s="2655"/>
      <c r="AK86" s="2655"/>
    </row>
    <row r="87" spans="4:37">
      <c r="D87" s="2899">
        <v>484</v>
      </c>
      <c r="E87" s="2588"/>
      <c r="F87" s="2655"/>
      <c r="G87" s="2655"/>
      <c r="T87" s="2588"/>
      <c r="U87" s="2655"/>
      <c r="V87" s="2655"/>
      <c r="AI87" s="2588"/>
      <c r="AJ87" s="2655"/>
      <c r="AK87" s="2655"/>
    </row>
    <row r="88" spans="4:37">
      <c r="D88" s="2899">
        <v>1440</v>
      </c>
      <c r="E88" s="2588"/>
      <c r="F88" s="2655"/>
      <c r="G88" s="2655"/>
      <c r="T88" s="2588"/>
      <c r="U88" s="2655"/>
      <c r="V88" s="2655"/>
      <c r="AI88" s="2588"/>
      <c r="AJ88" s="2655"/>
      <c r="AK88" s="2655"/>
    </row>
    <row r="89" spans="4:37">
      <c r="D89" s="2899"/>
      <c r="E89" s="2588"/>
      <c r="F89" s="2655"/>
      <c r="G89" s="2655"/>
      <c r="T89" s="2588"/>
      <c r="U89" s="2655"/>
      <c r="V89" s="2655"/>
      <c r="AI89" s="2588"/>
      <c r="AJ89" s="2655"/>
      <c r="AK89" s="2655"/>
    </row>
    <row r="90" spans="4:37">
      <c r="E90" s="2588"/>
      <c r="F90" s="2655"/>
      <c r="G90" s="2655"/>
      <c r="T90" s="2588"/>
      <c r="U90" s="2655"/>
      <c r="V90" s="2655"/>
      <c r="AI90" s="2588"/>
      <c r="AJ90" s="2655"/>
      <c r="AK90" s="2655"/>
    </row>
    <row r="91" spans="4:37">
      <c r="E91" s="2588"/>
      <c r="F91" s="2655"/>
      <c r="G91" s="2655"/>
      <c r="T91" s="2588"/>
      <c r="U91" s="2655"/>
      <c r="V91" s="2655"/>
      <c r="AI91" s="2588"/>
      <c r="AJ91" s="2655"/>
      <c r="AK91" s="2655"/>
    </row>
    <row r="92" spans="4:37">
      <c r="E92" s="2588"/>
      <c r="F92" s="2655"/>
      <c r="G92" s="2655"/>
      <c r="T92" s="2588"/>
      <c r="U92" s="2655"/>
      <c r="V92" s="2655"/>
      <c r="AI92" s="2588"/>
      <c r="AJ92" s="2655"/>
      <c r="AK92" s="2655"/>
    </row>
    <row r="93" spans="4:37">
      <c r="E93" s="2588"/>
      <c r="F93" s="2655"/>
      <c r="G93" s="2655"/>
      <c r="T93" s="2588"/>
      <c r="U93" s="2655"/>
      <c r="V93" s="2655"/>
      <c r="AI93" s="2588"/>
      <c r="AJ93" s="2655"/>
      <c r="AK93" s="2655"/>
    </row>
    <row r="94" spans="4:37">
      <c r="E94" s="2588"/>
      <c r="F94" s="2655"/>
      <c r="G94" s="2655"/>
      <c r="T94" s="2588"/>
      <c r="U94" s="2655"/>
      <c r="V94" s="2655"/>
      <c r="AI94" s="2588"/>
      <c r="AJ94" s="2655"/>
      <c r="AK94" s="2655"/>
    </row>
    <row r="95" spans="4:37">
      <c r="E95" s="2588"/>
      <c r="F95" s="2655"/>
      <c r="G95" s="2655"/>
      <c r="T95" s="2588"/>
      <c r="U95" s="2655"/>
      <c r="V95" s="2655"/>
      <c r="AI95" s="2588"/>
      <c r="AJ95" s="2655"/>
      <c r="AK95" s="2655"/>
    </row>
    <row r="96" spans="4:37">
      <c r="E96" s="2588"/>
      <c r="F96" s="2655"/>
      <c r="G96" s="2655"/>
      <c r="T96" s="2588"/>
      <c r="U96" s="2655"/>
      <c r="V96" s="2655"/>
      <c r="AI96" s="2588"/>
      <c r="AJ96" s="2655"/>
      <c r="AK96" s="2655"/>
    </row>
    <row r="97" spans="5:37">
      <c r="E97" s="2588"/>
      <c r="F97" s="2655"/>
      <c r="G97" s="2655"/>
      <c r="T97" s="2588"/>
      <c r="U97" s="2655"/>
      <c r="V97" s="2655"/>
      <c r="AI97" s="2588"/>
      <c r="AJ97" s="2655"/>
      <c r="AK97" s="2655"/>
    </row>
    <row r="98" spans="5:37">
      <c r="E98" s="2588"/>
      <c r="F98" s="2655"/>
      <c r="G98" s="2655"/>
      <c r="T98" s="2588"/>
      <c r="U98" s="2655"/>
      <c r="V98" s="2655"/>
      <c r="AI98" s="2588"/>
      <c r="AJ98" s="2655"/>
      <c r="AK98" s="2655"/>
    </row>
    <row r="99" spans="5:37">
      <c r="E99" s="2588"/>
      <c r="F99" s="2655"/>
      <c r="G99" s="2655"/>
      <c r="T99" s="2588"/>
      <c r="U99" s="2655"/>
      <c r="V99" s="2655"/>
      <c r="AI99" s="2588"/>
      <c r="AJ99" s="2655"/>
      <c r="AK99" s="2655"/>
    </row>
    <row r="100" spans="5:37">
      <c r="F100" s="2655"/>
      <c r="G100" s="2655"/>
      <c r="U100" s="2655"/>
      <c r="V100" s="2655"/>
      <c r="AJ100" s="2655"/>
      <c r="AK100" s="2655"/>
    </row>
    <row r="101" spans="5:37">
      <c r="F101" s="2655"/>
      <c r="G101" s="2655"/>
      <c r="U101" s="2655"/>
      <c r="V101" s="2655"/>
      <c r="AJ101" s="2655"/>
      <c r="AK101" s="2655"/>
    </row>
    <row r="102" spans="5:37">
      <c r="F102" s="2655"/>
      <c r="G102" s="2655"/>
      <c r="U102" s="2655"/>
      <c r="V102" s="2655"/>
      <c r="AJ102" s="2655"/>
      <c r="AK102" s="2655"/>
    </row>
    <row r="103" spans="5:37">
      <c r="F103" s="2655"/>
      <c r="G103" s="2655"/>
      <c r="U103" s="2655"/>
      <c r="V103" s="2655"/>
      <c r="AJ103" s="2655"/>
      <c r="AK103" s="2655"/>
    </row>
    <row r="104" spans="5:37">
      <c r="F104" s="2655"/>
      <c r="G104" s="2655"/>
      <c r="U104" s="2655"/>
      <c r="V104" s="2655"/>
      <c r="AJ104" s="2655"/>
      <c r="AK104" s="2655"/>
    </row>
    <row r="105" spans="5:37">
      <c r="F105" s="2655"/>
      <c r="G105" s="2655"/>
      <c r="U105" s="2655"/>
      <c r="V105" s="2655"/>
      <c r="AJ105" s="2655"/>
      <c r="AK105" s="2655"/>
    </row>
    <row r="106" spans="5:37">
      <c r="F106" s="2655"/>
      <c r="G106" s="2655"/>
      <c r="U106" s="2655"/>
      <c r="V106" s="2655"/>
      <c r="AJ106" s="2655"/>
      <c r="AK106" s="2655"/>
    </row>
    <row r="107" spans="5:37">
      <c r="F107" s="2655"/>
      <c r="G107" s="2655"/>
      <c r="U107" s="2655"/>
      <c r="V107" s="2655"/>
      <c r="AJ107" s="2655"/>
      <c r="AK107" s="2655"/>
    </row>
    <row r="108" spans="5:37">
      <c r="F108" s="2655"/>
      <c r="G108" s="2655"/>
      <c r="U108" s="2655"/>
      <c r="V108" s="2655"/>
      <c r="AJ108" s="2655"/>
      <c r="AK108" s="2655"/>
    </row>
    <row r="109" spans="5:37">
      <c r="F109" s="2655"/>
      <c r="G109" s="2655"/>
      <c r="U109" s="2655"/>
      <c r="V109" s="2655"/>
      <c r="AJ109" s="2655"/>
      <c r="AK109" s="2655"/>
    </row>
    <row r="110" spans="5:37">
      <c r="F110" s="2655"/>
      <c r="G110" s="2655"/>
      <c r="U110" s="2655"/>
      <c r="V110" s="2655"/>
      <c r="AJ110" s="2655"/>
      <c r="AK110" s="2655"/>
    </row>
    <row r="111" spans="5:37">
      <c r="F111" s="2655"/>
      <c r="G111" s="2655"/>
      <c r="U111" s="2655"/>
      <c r="V111" s="2655"/>
      <c r="AJ111" s="2655"/>
      <c r="AK111" s="2655"/>
    </row>
    <row r="112" spans="5:37">
      <c r="F112" s="2655"/>
      <c r="G112" s="2655"/>
      <c r="U112" s="2655"/>
      <c r="V112" s="2655"/>
      <c r="AJ112" s="2655"/>
      <c r="AK112" s="2655"/>
    </row>
    <row r="113" spans="6:37">
      <c r="F113" s="2655"/>
      <c r="G113" s="2655"/>
      <c r="U113" s="2655"/>
      <c r="V113" s="2655"/>
      <c r="AJ113" s="2655"/>
      <c r="AK113" s="2655"/>
    </row>
    <row r="114" spans="6:37">
      <c r="F114" s="2655"/>
      <c r="G114" s="2655"/>
      <c r="U114" s="2655"/>
      <c r="V114" s="2655"/>
      <c r="AJ114" s="2655"/>
      <c r="AK114" s="2655"/>
    </row>
    <row r="115" spans="6:37">
      <c r="F115" s="2655"/>
      <c r="G115" s="2655"/>
      <c r="U115" s="2655"/>
      <c r="V115" s="2655"/>
      <c r="AJ115" s="2655"/>
      <c r="AK115" s="2655"/>
    </row>
    <row r="116" spans="6:37">
      <c r="F116" s="2655"/>
      <c r="G116" s="2655"/>
      <c r="U116" s="2655"/>
      <c r="V116" s="2655"/>
      <c r="AJ116" s="2655"/>
      <c r="AK116" s="2655"/>
    </row>
    <row r="117" spans="6:37">
      <c r="F117" s="2655"/>
      <c r="G117" s="2655"/>
      <c r="U117" s="2655"/>
      <c r="V117" s="2655"/>
      <c r="AJ117" s="2655"/>
      <c r="AK117" s="2655"/>
    </row>
    <row r="118" spans="6:37">
      <c r="F118" s="2655"/>
      <c r="G118" s="2655"/>
      <c r="U118" s="2655"/>
      <c r="V118" s="2655"/>
      <c r="AJ118" s="2655"/>
      <c r="AK118" s="2655"/>
    </row>
    <row r="119" spans="6:37">
      <c r="F119" s="2655"/>
      <c r="G119" s="2655"/>
      <c r="U119" s="2655"/>
      <c r="V119" s="2655"/>
      <c r="AJ119" s="2655"/>
      <c r="AK119" s="2655"/>
    </row>
    <row r="120" spans="6:37">
      <c r="F120" s="2655"/>
      <c r="G120" s="2655"/>
      <c r="U120" s="2655"/>
      <c r="V120" s="2655"/>
      <c r="AJ120" s="2655"/>
      <c r="AK120" s="2655"/>
    </row>
    <row r="121" spans="6:37">
      <c r="F121" s="2655"/>
      <c r="G121" s="2655"/>
      <c r="U121" s="2655"/>
      <c r="V121" s="2655"/>
      <c r="AJ121" s="2655"/>
      <c r="AK121" s="2655"/>
    </row>
    <row r="122" spans="6:37">
      <c r="F122" s="2655"/>
      <c r="G122" s="2655"/>
      <c r="U122" s="2655"/>
      <c r="V122" s="2655"/>
      <c r="AJ122" s="2655"/>
      <c r="AK122" s="2655"/>
    </row>
    <row r="123" spans="6:37">
      <c r="F123" s="2655"/>
      <c r="G123" s="2655"/>
      <c r="U123" s="2655"/>
      <c r="V123" s="2655"/>
      <c r="AJ123" s="2655"/>
      <c r="AK123" s="2655"/>
    </row>
    <row r="124" spans="6:37">
      <c r="F124" s="2655"/>
      <c r="G124" s="2655"/>
      <c r="U124" s="2655"/>
      <c r="V124" s="2655"/>
      <c r="AJ124" s="2655"/>
      <c r="AK124" s="2655"/>
    </row>
    <row r="125" spans="6:37">
      <c r="F125" s="2655"/>
      <c r="G125" s="2655"/>
      <c r="U125" s="2655"/>
      <c r="V125" s="2655"/>
      <c r="AJ125" s="2655"/>
      <c r="AK125" s="2655"/>
    </row>
    <row r="126" spans="6:37">
      <c r="F126" s="2655"/>
      <c r="G126" s="2655"/>
      <c r="U126" s="2655"/>
      <c r="V126" s="2655"/>
      <c r="AJ126" s="2655"/>
      <c r="AK126" s="2655"/>
    </row>
    <row r="127" spans="6:37">
      <c r="F127" s="2655"/>
      <c r="G127" s="2655"/>
      <c r="U127" s="2655"/>
      <c r="V127" s="2655"/>
      <c r="AJ127" s="2655"/>
      <c r="AK127" s="2655"/>
    </row>
    <row r="128" spans="6:37">
      <c r="F128" s="2655"/>
      <c r="G128" s="2655"/>
      <c r="U128" s="2655"/>
      <c r="V128" s="2655"/>
      <c r="AJ128" s="2655"/>
      <c r="AK128" s="2655"/>
    </row>
    <row r="129" spans="6:37">
      <c r="F129" s="2655"/>
      <c r="G129" s="2655"/>
      <c r="U129" s="2655"/>
      <c r="V129" s="2655"/>
      <c r="AJ129" s="2655"/>
      <c r="AK129" s="2655"/>
    </row>
    <row r="130" spans="6:37">
      <c r="F130" s="2655"/>
      <c r="G130" s="2655"/>
      <c r="U130" s="2655"/>
      <c r="V130" s="2655"/>
      <c r="AJ130" s="2655"/>
      <c r="AK130" s="2655"/>
    </row>
    <row r="131" spans="6:37">
      <c r="F131" s="2655"/>
      <c r="G131" s="2655"/>
      <c r="U131" s="2655"/>
      <c r="V131" s="2655"/>
      <c r="AJ131" s="2655"/>
      <c r="AK131" s="2655"/>
    </row>
    <row r="132" spans="6:37">
      <c r="F132" s="2655"/>
      <c r="G132" s="2655"/>
      <c r="U132" s="2655"/>
      <c r="V132" s="2655"/>
      <c r="AJ132" s="2655"/>
      <c r="AK132" s="2655"/>
    </row>
    <row r="133" spans="6:37">
      <c r="F133" s="2655"/>
      <c r="G133" s="2655"/>
      <c r="U133" s="2655"/>
      <c r="V133" s="2655"/>
      <c r="AJ133" s="2655"/>
      <c r="AK133" s="2655"/>
    </row>
    <row r="134" spans="6:37">
      <c r="F134" s="2655"/>
      <c r="G134" s="2655"/>
      <c r="U134" s="2655"/>
      <c r="V134" s="2655"/>
      <c r="AJ134" s="2655"/>
      <c r="AK134" s="2655"/>
    </row>
    <row r="135" spans="6:37">
      <c r="F135" s="2655"/>
      <c r="G135" s="2655"/>
      <c r="U135" s="2655"/>
      <c r="V135" s="2655"/>
      <c r="AJ135" s="2655"/>
      <c r="AK135" s="2655"/>
    </row>
    <row r="136" spans="6:37">
      <c r="F136" s="2655"/>
      <c r="G136" s="2655"/>
      <c r="U136" s="2655"/>
      <c r="V136" s="2655"/>
      <c r="AJ136" s="2655"/>
      <c r="AK136" s="2655"/>
    </row>
    <row r="137" spans="6:37">
      <c r="F137" s="2655"/>
      <c r="G137" s="2655"/>
      <c r="U137" s="2655"/>
      <c r="V137" s="2655"/>
      <c r="AJ137" s="2655"/>
      <c r="AK137" s="2655"/>
    </row>
    <row r="138" spans="6:37">
      <c r="F138" s="2655"/>
      <c r="G138" s="2655"/>
      <c r="U138" s="2655"/>
      <c r="V138" s="2655"/>
      <c r="AJ138" s="2655"/>
      <c r="AK138" s="2655"/>
    </row>
    <row r="139" spans="6:37">
      <c r="F139" s="2655"/>
      <c r="G139" s="2655"/>
      <c r="U139" s="2655"/>
      <c r="V139" s="2655"/>
      <c r="AJ139" s="2655"/>
      <c r="AK139" s="2655"/>
    </row>
    <row r="140" spans="6:37">
      <c r="F140" s="2655"/>
      <c r="G140" s="2655"/>
      <c r="U140" s="2655"/>
      <c r="V140" s="2655"/>
      <c r="AJ140" s="2655"/>
      <c r="AK140" s="2655"/>
    </row>
    <row r="141" spans="6:37">
      <c r="F141" s="2655"/>
      <c r="G141" s="2655"/>
      <c r="U141" s="2655"/>
      <c r="V141" s="2655"/>
      <c r="AJ141" s="2655"/>
      <c r="AK141" s="2655"/>
    </row>
    <row r="142" spans="6:37">
      <c r="F142" s="2655"/>
      <c r="G142" s="2655"/>
      <c r="U142" s="2655"/>
      <c r="V142" s="2655"/>
      <c r="AJ142" s="2655"/>
      <c r="AK142" s="2655"/>
    </row>
    <row r="143" spans="6:37">
      <c r="F143" s="2655"/>
      <c r="G143" s="2655"/>
      <c r="U143" s="2655"/>
      <c r="V143" s="2655"/>
      <c r="AJ143" s="2655"/>
      <c r="AK143" s="2655"/>
    </row>
    <row r="144" spans="6:37">
      <c r="F144" s="2655"/>
      <c r="G144" s="2655"/>
      <c r="U144" s="2655"/>
      <c r="V144" s="2655"/>
      <c r="AJ144" s="2655"/>
      <c r="AK144" s="2655"/>
    </row>
    <row r="145" spans="6:37">
      <c r="F145" s="2655"/>
      <c r="G145" s="2655"/>
      <c r="U145" s="2655"/>
      <c r="V145" s="2655"/>
      <c r="AJ145" s="2655"/>
      <c r="AK145" s="2655"/>
    </row>
    <row r="146" spans="6:37">
      <c r="F146" s="2655"/>
      <c r="G146" s="2655"/>
      <c r="U146" s="2655"/>
      <c r="V146" s="2655"/>
      <c r="AJ146" s="2655"/>
      <c r="AK146" s="2655"/>
    </row>
    <row r="147" spans="6:37">
      <c r="F147" s="2655"/>
      <c r="G147" s="2655"/>
      <c r="U147" s="2655"/>
      <c r="V147" s="2655"/>
      <c r="AJ147" s="2655"/>
      <c r="AK147" s="2655"/>
    </row>
    <row r="148" spans="6:37">
      <c r="F148" s="2655"/>
      <c r="G148" s="2655"/>
      <c r="U148" s="2655"/>
      <c r="V148" s="2655"/>
      <c r="AJ148" s="2655"/>
      <c r="AK148" s="2655"/>
    </row>
    <row r="149" spans="6:37">
      <c r="F149" s="2655"/>
      <c r="G149" s="2655"/>
      <c r="U149" s="2655"/>
      <c r="V149" s="2655"/>
      <c r="AJ149" s="2655"/>
      <c r="AK149" s="2655"/>
    </row>
    <row r="150" spans="6:37">
      <c r="F150" s="2655"/>
      <c r="G150" s="2655"/>
      <c r="U150" s="2655"/>
      <c r="V150" s="2655"/>
      <c r="AJ150" s="2655"/>
      <c r="AK150" s="2655"/>
    </row>
    <row r="151" spans="6:37">
      <c r="F151" s="2655"/>
      <c r="G151" s="2655"/>
      <c r="U151" s="2655"/>
      <c r="V151" s="2655"/>
      <c r="AJ151" s="2655"/>
      <c r="AK151" s="2655"/>
    </row>
    <row r="152" spans="6:37">
      <c r="F152" s="2655"/>
      <c r="G152" s="2655"/>
      <c r="U152" s="2655"/>
      <c r="V152" s="2655"/>
      <c r="AJ152" s="2655"/>
      <c r="AK152" s="2655"/>
    </row>
    <row r="153" spans="6:37">
      <c r="F153" s="2655"/>
      <c r="G153" s="2655"/>
      <c r="U153" s="2655"/>
      <c r="V153" s="2655"/>
      <c r="AJ153" s="2655"/>
      <c r="AK153" s="2655"/>
    </row>
    <row r="154" spans="6:37">
      <c r="F154" s="2655"/>
      <c r="G154" s="2655"/>
      <c r="U154" s="2655"/>
      <c r="V154" s="2655"/>
      <c r="AJ154" s="2655"/>
      <c r="AK154" s="2655"/>
    </row>
    <row r="155" spans="6:37">
      <c r="F155" s="2655"/>
      <c r="G155" s="2655"/>
      <c r="U155" s="2655"/>
      <c r="V155" s="2655"/>
      <c r="AJ155" s="2655"/>
      <c r="AK155" s="2655"/>
    </row>
    <row r="156" spans="6:37">
      <c r="F156" s="2655"/>
      <c r="G156" s="2655"/>
      <c r="U156" s="2655"/>
      <c r="V156" s="2655"/>
      <c r="AJ156" s="2655"/>
      <c r="AK156" s="2655"/>
    </row>
    <row r="157" spans="6:37">
      <c r="F157" s="2655"/>
      <c r="G157" s="2655"/>
      <c r="U157" s="2655"/>
      <c r="V157" s="2655"/>
      <c r="AJ157" s="2655"/>
      <c r="AK157" s="2655"/>
    </row>
    <row r="158" spans="6:37">
      <c r="F158" s="2655"/>
      <c r="G158" s="2655"/>
      <c r="U158" s="2655"/>
      <c r="V158" s="2655"/>
      <c r="AJ158" s="2655"/>
      <c r="AK158" s="2655"/>
    </row>
    <row r="159" spans="6:37">
      <c r="F159" s="2655"/>
      <c r="G159" s="2655"/>
      <c r="U159" s="2655"/>
      <c r="V159" s="2655"/>
      <c r="AJ159" s="2655"/>
      <c r="AK159" s="2655"/>
    </row>
    <row r="160" spans="6:37">
      <c r="F160" s="2655"/>
      <c r="G160" s="2655"/>
      <c r="U160" s="2655"/>
      <c r="V160" s="2655"/>
      <c r="AJ160" s="2655"/>
      <c r="AK160" s="2655"/>
    </row>
    <row r="161" spans="6:37">
      <c r="F161" s="2655"/>
      <c r="G161" s="2655"/>
      <c r="U161" s="2655"/>
      <c r="V161" s="2655"/>
      <c r="AJ161" s="2655"/>
      <c r="AK161" s="2655"/>
    </row>
    <row r="162" spans="6:37">
      <c r="F162" s="2655"/>
      <c r="G162" s="2655"/>
      <c r="U162" s="2655"/>
      <c r="V162" s="2655"/>
      <c r="AJ162" s="2655"/>
      <c r="AK162" s="2655"/>
    </row>
    <row r="163" spans="6:37">
      <c r="F163" s="2655"/>
      <c r="G163" s="2655"/>
      <c r="U163" s="2655"/>
      <c r="V163" s="2655"/>
      <c r="AJ163" s="2655"/>
      <c r="AK163" s="2655"/>
    </row>
    <row r="164" spans="6:37">
      <c r="F164" s="2655"/>
      <c r="G164" s="2655"/>
      <c r="U164" s="2655"/>
      <c r="V164" s="2655"/>
      <c r="AJ164" s="2655"/>
      <c r="AK164" s="2655"/>
    </row>
    <row r="165" spans="6:37">
      <c r="F165" s="2655"/>
      <c r="G165" s="2655"/>
      <c r="U165" s="2655"/>
      <c r="V165" s="2655"/>
      <c r="AJ165" s="2655"/>
      <c r="AK165" s="2655"/>
    </row>
    <row r="166" spans="6:37">
      <c r="F166" s="2655"/>
      <c r="G166" s="2655"/>
      <c r="U166" s="2655"/>
      <c r="V166" s="2655"/>
      <c r="AJ166" s="2655"/>
      <c r="AK166" s="2655"/>
    </row>
    <row r="167" spans="6:37">
      <c r="F167" s="2655"/>
      <c r="G167" s="2655"/>
      <c r="U167" s="2655"/>
      <c r="V167" s="2655"/>
      <c r="AJ167" s="2655"/>
      <c r="AK167" s="2655"/>
    </row>
    <row r="168" spans="6:37">
      <c r="F168" s="2655"/>
      <c r="G168" s="2655"/>
      <c r="U168" s="2655"/>
      <c r="V168" s="2655"/>
      <c r="AJ168" s="2655"/>
      <c r="AK168" s="2655"/>
    </row>
    <row r="169" spans="6:37">
      <c r="F169" s="2655"/>
      <c r="G169" s="2655"/>
      <c r="U169" s="2655"/>
      <c r="V169" s="2655"/>
      <c r="AJ169" s="2655"/>
      <c r="AK169" s="2655"/>
    </row>
    <row r="170" spans="6:37">
      <c r="F170" s="2655"/>
      <c r="G170" s="2655"/>
      <c r="U170" s="2655"/>
      <c r="V170" s="2655"/>
      <c r="AJ170" s="2655"/>
      <c r="AK170" s="2655"/>
    </row>
    <row r="171" spans="6:37">
      <c r="F171" s="2655"/>
      <c r="G171" s="2655"/>
      <c r="U171" s="2655"/>
      <c r="V171" s="2655"/>
      <c r="AJ171" s="2655"/>
      <c r="AK171" s="2655"/>
    </row>
    <row r="172" spans="6:37">
      <c r="F172" s="2655"/>
      <c r="G172" s="2655"/>
      <c r="U172" s="2655"/>
      <c r="V172" s="2655"/>
      <c r="AJ172" s="2655"/>
      <c r="AK172" s="2655"/>
    </row>
    <row r="173" spans="6:37">
      <c r="F173" s="2655"/>
      <c r="G173" s="2655"/>
      <c r="U173" s="2655"/>
      <c r="V173" s="2655"/>
      <c r="AJ173" s="2655"/>
      <c r="AK173" s="2655"/>
    </row>
    <row r="174" spans="6:37">
      <c r="F174" s="2655"/>
      <c r="G174" s="2655"/>
      <c r="U174" s="2655"/>
      <c r="V174" s="2655"/>
      <c r="AJ174" s="2655"/>
      <c r="AK174" s="2655"/>
    </row>
    <row r="175" spans="6:37">
      <c r="F175" s="2655"/>
      <c r="G175" s="2655"/>
      <c r="U175" s="2655"/>
      <c r="V175" s="2655"/>
      <c r="AJ175" s="2655"/>
      <c r="AK175" s="2655"/>
    </row>
    <row r="176" spans="6:37">
      <c r="F176" s="2655"/>
      <c r="G176" s="2655"/>
      <c r="U176" s="2655"/>
      <c r="V176" s="2655"/>
      <c r="AJ176" s="2655"/>
      <c r="AK176" s="2655"/>
    </row>
    <row r="177" spans="6:37">
      <c r="F177" s="2655"/>
      <c r="G177" s="2655"/>
      <c r="U177" s="2655"/>
      <c r="V177" s="2655"/>
      <c r="AJ177" s="2655"/>
      <c r="AK177" s="2655"/>
    </row>
    <row r="178" spans="6:37">
      <c r="F178" s="2655"/>
      <c r="G178" s="2655"/>
      <c r="U178" s="2655"/>
      <c r="V178" s="2655"/>
      <c r="AJ178" s="2655"/>
      <c r="AK178" s="2655"/>
    </row>
    <row r="179" spans="6:37">
      <c r="F179" s="2655"/>
      <c r="G179" s="2655"/>
      <c r="U179" s="2655"/>
      <c r="V179" s="2655"/>
      <c r="AJ179" s="2655"/>
      <c r="AK179" s="2655"/>
    </row>
    <row r="180" spans="6:37">
      <c r="F180" s="2655"/>
      <c r="G180" s="2655"/>
      <c r="U180" s="2655"/>
      <c r="V180" s="2655"/>
      <c r="AJ180" s="2655"/>
      <c r="AK180" s="2655"/>
    </row>
    <row r="181" spans="6:37">
      <c r="F181" s="2655"/>
      <c r="G181" s="2655"/>
      <c r="U181" s="2655"/>
      <c r="V181" s="2655"/>
      <c r="AJ181" s="2655"/>
      <c r="AK181" s="2655"/>
    </row>
    <row r="182" spans="6:37">
      <c r="F182" s="2655"/>
      <c r="G182" s="2655"/>
      <c r="U182" s="2655"/>
      <c r="V182" s="2655"/>
      <c r="AJ182" s="2655"/>
      <c r="AK182" s="2655"/>
    </row>
    <row r="183" spans="6:37">
      <c r="F183" s="2655"/>
      <c r="G183" s="2655"/>
      <c r="U183" s="2655"/>
      <c r="V183" s="2655"/>
      <c r="AJ183" s="2655"/>
      <c r="AK183" s="2655"/>
    </row>
    <row r="184" spans="6:37">
      <c r="F184" s="2655"/>
      <c r="G184" s="2655"/>
      <c r="U184" s="2655"/>
      <c r="V184" s="2655"/>
      <c r="AJ184" s="2655"/>
      <c r="AK184" s="2655"/>
    </row>
    <row r="185" spans="6:37">
      <c r="F185" s="2655"/>
      <c r="G185" s="2655"/>
      <c r="U185" s="2655"/>
      <c r="V185" s="2655"/>
      <c r="AJ185" s="2655"/>
      <c r="AK185" s="2655"/>
    </row>
    <row r="186" spans="6:37">
      <c r="F186" s="2655"/>
      <c r="G186" s="2655"/>
      <c r="U186" s="2655"/>
      <c r="V186" s="2655"/>
      <c r="AJ186" s="2655"/>
      <c r="AK186" s="2655"/>
    </row>
    <row r="187" spans="6:37">
      <c r="F187" s="2655"/>
      <c r="G187" s="2655"/>
      <c r="U187" s="2655"/>
      <c r="V187" s="2655"/>
      <c r="AJ187" s="2655"/>
      <c r="AK187" s="2655"/>
    </row>
    <row r="188" spans="6:37">
      <c r="F188" s="2655"/>
      <c r="G188" s="2655"/>
      <c r="U188" s="2655"/>
      <c r="V188" s="2655"/>
      <c r="AJ188" s="2655"/>
      <c r="AK188" s="2655"/>
    </row>
    <row r="189" spans="6:37">
      <c r="F189" s="2655"/>
      <c r="G189" s="2655"/>
      <c r="U189" s="2655"/>
      <c r="V189" s="2655"/>
      <c r="AJ189" s="2655"/>
      <c r="AK189" s="2655"/>
    </row>
    <row r="190" spans="6:37">
      <c r="F190" s="2655"/>
      <c r="G190" s="2655"/>
      <c r="U190" s="2655"/>
      <c r="V190" s="2655"/>
      <c r="AJ190" s="2655"/>
      <c r="AK190" s="2655"/>
    </row>
    <row r="191" spans="6:37">
      <c r="F191" s="2655"/>
      <c r="G191" s="2655"/>
      <c r="U191" s="2655"/>
      <c r="V191" s="2655"/>
      <c r="AJ191" s="2655"/>
      <c r="AK191" s="2655"/>
    </row>
    <row r="192" spans="6:37">
      <c r="F192" s="2655"/>
      <c r="G192" s="2655"/>
      <c r="U192" s="2655"/>
      <c r="V192" s="2655"/>
      <c r="AJ192" s="2655"/>
      <c r="AK192" s="2655"/>
    </row>
    <row r="193" spans="6:37">
      <c r="F193" s="2655"/>
      <c r="G193" s="2655"/>
      <c r="U193" s="2655"/>
      <c r="V193" s="2655"/>
      <c r="AJ193" s="2655"/>
      <c r="AK193" s="2655"/>
    </row>
    <row r="194" spans="6:37">
      <c r="F194" s="2655"/>
      <c r="G194" s="2655"/>
      <c r="U194" s="2655"/>
      <c r="V194" s="2655"/>
      <c r="AJ194" s="2655"/>
      <c r="AK194" s="2655"/>
    </row>
    <row r="195" spans="6:37">
      <c r="F195" s="2655"/>
      <c r="G195" s="2655"/>
      <c r="U195" s="2655"/>
      <c r="V195" s="2655"/>
      <c r="AJ195" s="2655"/>
      <c r="AK195" s="2655"/>
    </row>
    <row r="196" spans="6:37">
      <c r="F196" s="2655"/>
      <c r="G196" s="2655"/>
      <c r="U196" s="2655"/>
      <c r="V196" s="2655"/>
      <c r="AJ196" s="2655"/>
      <c r="AK196" s="2655"/>
    </row>
    <row r="197" spans="6:37">
      <c r="F197" s="2655"/>
      <c r="G197" s="2655"/>
      <c r="U197" s="2655"/>
      <c r="V197" s="2655"/>
      <c r="AJ197" s="2655"/>
      <c r="AK197" s="2655"/>
    </row>
    <row r="198" spans="6:37">
      <c r="F198" s="2655"/>
      <c r="G198" s="2655"/>
      <c r="U198" s="2655"/>
      <c r="V198" s="2655"/>
      <c r="AJ198" s="2655"/>
      <c r="AK198" s="2655"/>
    </row>
    <row r="199" spans="6:37">
      <c r="F199" s="2655"/>
      <c r="G199" s="2655"/>
      <c r="U199" s="2655"/>
      <c r="V199" s="2655"/>
      <c r="AJ199" s="2655"/>
      <c r="AK199" s="2655"/>
    </row>
    <row r="200" spans="6:37">
      <c r="F200" s="2655"/>
      <c r="G200" s="2655"/>
      <c r="U200" s="2655"/>
      <c r="V200" s="2655"/>
      <c r="AJ200" s="2655"/>
      <c r="AK200" s="2655"/>
    </row>
    <row r="201" spans="6:37">
      <c r="F201" s="2655"/>
      <c r="G201" s="2655"/>
      <c r="U201" s="2655"/>
      <c r="V201" s="2655"/>
      <c r="AJ201" s="2655"/>
      <c r="AK201" s="2655"/>
    </row>
    <row r="202" spans="6:37">
      <c r="F202" s="2655"/>
      <c r="G202" s="2655"/>
      <c r="U202" s="2655"/>
      <c r="V202" s="2655"/>
      <c r="AJ202" s="2655"/>
      <c r="AK202" s="2655"/>
    </row>
    <row r="203" spans="6:37">
      <c r="F203" s="2655"/>
      <c r="G203" s="2655"/>
      <c r="U203" s="2655"/>
      <c r="V203" s="2655"/>
      <c r="AJ203" s="2655"/>
      <c r="AK203" s="2655"/>
    </row>
    <row r="204" spans="6:37">
      <c r="F204" s="2655"/>
      <c r="G204" s="2655"/>
      <c r="U204" s="2655"/>
      <c r="V204" s="2655"/>
      <c r="AJ204" s="2655"/>
      <c r="AK204" s="2655"/>
    </row>
    <row r="205" spans="6:37">
      <c r="F205" s="2655"/>
      <c r="G205" s="2655"/>
      <c r="U205" s="2655"/>
      <c r="V205" s="2655"/>
      <c r="AJ205" s="2655"/>
      <c r="AK205" s="2655"/>
    </row>
    <row r="206" spans="6:37">
      <c r="F206" s="2655"/>
      <c r="G206" s="2655"/>
      <c r="U206" s="2655"/>
      <c r="V206" s="2655"/>
      <c r="AJ206" s="2655"/>
      <c r="AK206" s="2655"/>
    </row>
    <row r="207" spans="6:37">
      <c r="F207" s="2655"/>
      <c r="G207" s="2655"/>
      <c r="U207" s="2655"/>
      <c r="V207" s="2655"/>
      <c r="AJ207" s="2655"/>
      <c r="AK207" s="2655"/>
    </row>
    <row r="208" spans="6:37">
      <c r="F208" s="2655"/>
      <c r="G208" s="2655"/>
      <c r="U208" s="2655"/>
      <c r="V208" s="2655"/>
      <c r="AJ208" s="2655"/>
      <c r="AK208" s="2655"/>
    </row>
    <row r="209" spans="6:37">
      <c r="F209" s="2655"/>
      <c r="G209" s="2655"/>
      <c r="U209" s="2655"/>
      <c r="V209" s="2655"/>
      <c r="AJ209" s="2655"/>
      <c r="AK209" s="2655"/>
    </row>
    <row r="210" spans="6:37">
      <c r="F210" s="2655"/>
      <c r="G210" s="2655"/>
      <c r="U210" s="2655"/>
      <c r="V210" s="2655"/>
      <c r="AJ210" s="2655"/>
      <c r="AK210" s="2655"/>
    </row>
    <row r="211" spans="6:37">
      <c r="F211" s="2655"/>
      <c r="G211" s="2655"/>
      <c r="U211" s="2655"/>
      <c r="V211" s="2655"/>
      <c r="AJ211" s="2655"/>
      <c r="AK211" s="2655"/>
    </row>
    <row r="212" spans="6:37">
      <c r="F212" s="2655"/>
      <c r="G212" s="2655"/>
      <c r="U212" s="2655"/>
      <c r="V212" s="2655"/>
      <c r="AJ212" s="2655"/>
      <c r="AK212" s="2655"/>
    </row>
    <row r="213" spans="6:37">
      <c r="F213" s="2655"/>
      <c r="G213" s="2655"/>
      <c r="U213" s="2655"/>
      <c r="V213" s="2655"/>
      <c r="AJ213" s="2655"/>
      <c r="AK213" s="2655"/>
    </row>
    <row r="214" spans="6:37">
      <c r="F214" s="2655"/>
      <c r="G214" s="2655"/>
      <c r="U214" s="2655"/>
      <c r="V214" s="2655"/>
      <c r="AJ214" s="2655"/>
      <c r="AK214" s="2655"/>
    </row>
    <row r="215" spans="6:37">
      <c r="F215" s="2655"/>
      <c r="G215" s="2655"/>
      <c r="U215" s="2655"/>
      <c r="V215" s="2655"/>
      <c r="AJ215" s="2655"/>
      <c r="AK215" s="2655"/>
    </row>
    <row r="216" spans="6:37">
      <c r="F216" s="2655"/>
      <c r="G216" s="2655"/>
      <c r="U216" s="2655"/>
      <c r="V216" s="2655"/>
      <c r="AJ216" s="2655"/>
      <c r="AK216" s="2655"/>
    </row>
    <row r="217" spans="6:37">
      <c r="F217" s="2655"/>
      <c r="G217" s="2655"/>
      <c r="U217" s="2655"/>
      <c r="V217" s="2655"/>
      <c r="AJ217" s="2655"/>
      <c r="AK217" s="2655"/>
    </row>
    <row r="218" spans="6:37">
      <c r="F218" s="2655"/>
      <c r="G218" s="2655"/>
      <c r="U218" s="2655"/>
      <c r="V218" s="2655"/>
      <c r="AJ218" s="2655"/>
      <c r="AK218" s="2655"/>
    </row>
    <row r="219" spans="6:37">
      <c r="F219" s="2655"/>
      <c r="G219" s="2655"/>
      <c r="U219" s="2655"/>
      <c r="V219" s="2655"/>
      <c r="AJ219" s="2655"/>
      <c r="AK219" s="2655"/>
    </row>
    <row r="220" spans="6:37">
      <c r="F220" s="2655"/>
      <c r="G220" s="2655"/>
      <c r="U220" s="2655"/>
      <c r="V220" s="2655"/>
      <c r="AJ220" s="2655"/>
      <c r="AK220" s="2655"/>
    </row>
    <row r="221" spans="6:37">
      <c r="F221" s="2655"/>
      <c r="G221" s="2655"/>
      <c r="U221" s="2655"/>
      <c r="V221" s="2655"/>
      <c r="AJ221" s="2655"/>
      <c r="AK221" s="2655"/>
    </row>
    <row r="222" spans="6:37">
      <c r="F222" s="2655"/>
      <c r="G222" s="2655"/>
      <c r="U222" s="2655"/>
      <c r="V222" s="2655"/>
      <c r="AJ222" s="2655"/>
      <c r="AK222" s="2655"/>
    </row>
    <row r="223" spans="6:37">
      <c r="F223" s="2655"/>
      <c r="G223" s="2655"/>
      <c r="U223" s="2655"/>
      <c r="V223" s="2655"/>
      <c r="AJ223" s="2655"/>
      <c r="AK223" s="2655"/>
    </row>
    <row r="224" spans="6:37">
      <c r="F224" s="2655"/>
      <c r="G224" s="2655"/>
      <c r="U224" s="2655"/>
      <c r="V224" s="2655"/>
      <c r="AJ224" s="2655"/>
      <c r="AK224" s="2655"/>
    </row>
    <row r="225" spans="6:37">
      <c r="F225" s="2655"/>
      <c r="G225" s="2655"/>
      <c r="U225" s="2655"/>
      <c r="V225" s="2655"/>
      <c r="AJ225" s="2655"/>
      <c r="AK225" s="2655"/>
    </row>
    <row r="226" spans="6:37">
      <c r="F226" s="2655"/>
      <c r="G226" s="2655"/>
      <c r="U226" s="2655"/>
      <c r="V226" s="2655"/>
      <c r="AJ226" s="2655"/>
      <c r="AK226" s="2655"/>
    </row>
    <row r="227" spans="6:37">
      <c r="F227" s="2655"/>
      <c r="G227" s="2655"/>
      <c r="U227" s="2655"/>
      <c r="V227" s="2655"/>
      <c r="AJ227" s="2655"/>
      <c r="AK227" s="2655"/>
    </row>
    <row r="228" spans="6:37">
      <c r="F228" s="2655"/>
      <c r="G228" s="2655"/>
      <c r="U228" s="2655"/>
      <c r="V228" s="2655"/>
      <c r="AJ228" s="2655"/>
      <c r="AK228" s="2655"/>
    </row>
    <row r="229" spans="6:37">
      <c r="F229" s="2655"/>
      <c r="G229" s="2655"/>
      <c r="U229" s="2655"/>
      <c r="V229" s="2655"/>
      <c r="AJ229" s="2655"/>
      <c r="AK229" s="2655"/>
    </row>
    <row r="230" spans="6:37">
      <c r="F230" s="2655"/>
      <c r="G230" s="2655"/>
      <c r="U230" s="2655"/>
      <c r="V230" s="2655"/>
      <c r="AJ230" s="2655"/>
      <c r="AK230" s="2655"/>
    </row>
    <row r="231" spans="6:37">
      <c r="F231" s="2655"/>
      <c r="G231" s="2655"/>
      <c r="U231" s="2655"/>
      <c r="V231" s="2655"/>
      <c r="AJ231" s="2655"/>
      <c r="AK231" s="2655"/>
    </row>
    <row r="232" spans="6:37">
      <c r="F232" s="2655"/>
      <c r="G232" s="2655"/>
      <c r="U232" s="2655"/>
      <c r="V232" s="2655"/>
      <c r="AJ232" s="2655"/>
      <c r="AK232" s="2655"/>
    </row>
    <row r="233" spans="6:37">
      <c r="F233" s="2655"/>
      <c r="G233" s="2655"/>
      <c r="U233" s="2655"/>
      <c r="V233" s="2655"/>
      <c r="AJ233" s="2655"/>
      <c r="AK233" s="2655"/>
    </row>
    <row r="234" spans="6:37">
      <c r="F234" s="2655"/>
      <c r="G234" s="2655"/>
      <c r="U234" s="2655"/>
      <c r="V234" s="2655"/>
      <c r="AJ234" s="2655"/>
      <c r="AK234" s="2655"/>
    </row>
    <row r="235" spans="6:37">
      <c r="F235" s="2655"/>
      <c r="G235" s="2655"/>
      <c r="U235" s="2655"/>
      <c r="V235" s="2655"/>
      <c r="AJ235" s="2655"/>
      <c r="AK235" s="2655"/>
    </row>
    <row r="236" spans="6:37">
      <c r="F236" s="2655"/>
      <c r="G236" s="2655"/>
      <c r="U236" s="2655"/>
      <c r="V236" s="2655"/>
      <c r="AJ236" s="2655"/>
      <c r="AK236" s="2655"/>
    </row>
    <row r="237" spans="6:37">
      <c r="F237" s="2655"/>
      <c r="G237" s="2655"/>
      <c r="U237" s="2655"/>
      <c r="V237" s="2655"/>
      <c r="AJ237" s="2655"/>
      <c r="AK237" s="2655"/>
    </row>
    <row r="238" spans="6:37">
      <c r="F238" s="2655"/>
      <c r="G238" s="2655"/>
      <c r="U238" s="2655"/>
      <c r="V238" s="2655"/>
      <c r="AJ238" s="2655"/>
      <c r="AK238" s="2655"/>
    </row>
    <row r="239" spans="6:37">
      <c r="F239" s="2655"/>
      <c r="G239" s="2655"/>
      <c r="U239" s="2655"/>
      <c r="V239" s="2655"/>
      <c r="AJ239" s="2655"/>
      <c r="AK239" s="2655"/>
    </row>
    <row r="240" spans="6:37">
      <c r="F240" s="2655"/>
      <c r="G240" s="2655"/>
      <c r="U240" s="2655"/>
      <c r="V240" s="2655"/>
      <c r="AJ240" s="2655"/>
      <c r="AK240" s="2655"/>
    </row>
    <row r="241" spans="6:37">
      <c r="F241" s="2655"/>
      <c r="G241" s="2655"/>
      <c r="U241" s="2655"/>
      <c r="V241" s="2655"/>
      <c r="AJ241" s="2655"/>
      <c r="AK241" s="2655"/>
    </row>
    <row r="242" spans="6:37">
      <c r="F242" s="2655"/>
      <c r="G242" s="2655"/>
      <c r="U242" s="2655"/>
      <c r="V242" s="2655"/>
      <c r="AJ242" s="2655"/>
      <c r="AK242" s="2655"/>
    </row>
    <row r="243" spans="6:37">
      <c r="F243" s="2655"/>
      <c r="G243" s="2655"/>
      <c r="U243" s="2655"/>
      <c r="V243" s="2655"/>
      <c r="AJ243" s="2655"/>
      <c r="AK243" s="2655"/>
    </row>
    <row r="244" spans="6:37">
      <c r="F244" s="2655"/>
      <c r="G244" s="2655"/>
      <c r="U244" s="2655"/>
      <c r="V244" s="2655"/>
      <c r="AJ244" s="2655"/>
      <c r="AK244" s="2655"/>
    </row>
    <row r="245" spans="6:37">
      <c r="F245" s="2655"/>
      <c r="G245" s="2655"/>
      <c r="U245" s="2655"/>
      <c r="V245" s="2655"/>
      <c r="AJ245" s="2655"/>
      <c r="AK245" s="2655"/>
    </row>
    <row r="246" spans="6:37">
      <c r="F246" s="2655"/>
      <c r="G246" s="2655"/>
      <c r="U246" s="2655"/>
      <c r="V246" s="2655"/>
      <c r="AJ246" s="2655"/>
      <c r="AK246" s="2655"/>
    </row>
    <row r="247" spans="6:37">
      <c r="F247" s="2655"/>
      <c r="G247" s="2655"/>
      <c r="U247" s="2655"/>
      <c r="V247" s="2655"/>
      <c r="AJ247" s="2655"/>
      <c r="AK247" s="2655"/>
    </row>
    <row r="248" spans="6:37">
      <c r="F248" s="2655"/>
      <c r="G248" s="2655"/>
      <c r="U248" s="2655"/>
      <c r="V248" s="2655"/>
      <c r="AJ248" s="2655"/>
      <c r="AK248" s="2655"/>
    </row>
    <row r="249" spans="6:37">
      <c r="F249" s="2655"/>
      <c r="G249" s="2655"/>
      <c r="U249" s="2655"/>
      <c r="V249" s="2655"/>
      <c r="AJ249" s="2655"/>
      <c r="AK249" s="2655"/>
    </row>
    <row r="250" spans="6:37">
      <c r="F250" s="2655"/>
      <c r="G250" s="2655"/>
      <c r="U250" s="2655"/>
      <c r="V250" s="2655"/>
      <c r="AJ250" s="2655"/>
      <c r="AK250" s="2655"/>
    </row>
    <row r="251" spans="6:37">
      <c r="F251" s="2655"/>
      <c r="G251" s="2655"/>
      <c r="U251" s="2655"/>
      <c r="V251" s="2655"/>
      <c r="AJ251" s="2655"/>
      <c r="AK251" s="2655"/>
    </row>
    <row r="252" spans="6:37">
      <c r="F252" s="2655"/>
      <c r="G252" s="2655"/>
      <c r="U252" s="2655"/>
      <c r="V252" s="2655"/>
      <c r="AJ252" s="2655"/>
      <c r="AK252" s="2655"/>
    </row>
    <row r="253" spans="6:37">
      <c r="F253" s="2655"/>
      <c r="G253" s="2655"/>
      <c r="U253" s="2655"/>
      <c r="V253" s="2655"/>
      <c r="AJ253" s="2655"/>
      <c r="AK253" s="2655"/>
    </row>
    <row r="254" spans="6:37">
      <c r="F254" s="2655"/>
      <c r="G254" s="2655"/>
      <c r="U254" s="2655"/>
      <c r="V254" s="2655"/>
      <c r="AJ254" s="2655"/>
      <c r="AK254" s="2655"/>
    </row>
  </sheetData>
  <mergeCells count="1">
    <mergeCell ref="A29:C29"/>
  </mergeCells>
  <printOptions horizontalCentered="1" verticalCentered="1"/>
  <pageMargins left="0.86614173228346458" right="0.35433070866141736" top="0.6692913385826772" bottom="0.78740157480314965" header="0.51181102362204722" footer="0.51181102362204722"/>
  <pageSetup paperSize="9" scale="62" fitToWidth="3" orientation="portrait" r:id="rId1"/>
  <headerFooter alignWithMargins="0">
    <oddFooter>&amp;LC/LAB DATA/TEMPLATE/LAB/SOIL/&amp;F/&amp;A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D81B-D6E8-4D8A-BAB4-733830B4DDE1}">
  <sheetPr>
    <tabColor rgb="FFFF0000"/>
  </sheetPr>
  <dimension ref="A2:BA254"/>
  <sheetViews>
    <sheetView showGridLines="0" zoomScale="85" zoomScaleNormal="85" zoomScaleSheetLayoutView="85" workbookViewId="0">
      <selection activeCell="B30" sqref="B30:B44"/>
    </sheetView>
  </sheetViews>
  <sheetFormatPr defaultColWidth="6.875" defaultRowHeight="13.5"/>
  <cols>
    <col min="1" max="3" width="6" style="2535" customWidth="1"/>
    <col min="4" max="4" width="1.5" style="2535" customWidth="1"/>
    <col min="5" max="10" width="11.125" style="2535" customWidth="1"/>
    <col min="11" max="11" width="1.5" style="2535" customWidth="1"/>
    <col min="12" max="12" width="10.25" style="2535" customWidth="1"/>
    <col min="13" max="14" width="11.125" style="2535" customWidth="1"/>
    <col min="15" max="15" width="1.5" style="2919" customWidth="1"/>
    <col min="16" max="16" width="3.25" style="2535" customWidth="1"/>
    <col min="17" max="18" width="3.75" style="2535" customWidth="1"/>
    <col min="19" max="19" width="1.5" style="2535" customWidth="1"/>
    <col min="20" max="25" width="11.125" style="2535" customWidth="1"/>
    <col min="26" max="26" width="1.5" style="2535" customWidth="1"/>
    <col min="27" max="27" width="10.25" style="2535" customWidth="1"/>
    <col min="28" max="29" width="11.125" style="2535" customWidth="1"/>
    <col min="30" max="30" width="1.5" style="2920" customWidth="1"/>
    <col min="31" max="31" width="3.25" style="2535" customWidth="1"/>
    <col min="32" max="33" width="3.75" style="2535" customWidth="1"/>
    <col min="34" max="34" width="1.5" style="2535" customWidth="1"/>
    <col min="35" max="40" width="11.125" style="2535" customWidth="1"/>
    <col min="41" max="41" width="1.5" style="2535" customWidth="1"/>
    <col min="42" max="42" width="10.25" style="2535" customWidth="1"/>
    <col min="43" max="44" width="11.125" style="2535" customWidth="1"/>
    <col min="45" max="45" width="1.5" style="2535" customWidth="1"/>
    <col min="46" max="47" width="6.875" style="2535" customWidth="1"/>
    <col min="48" max="48" width="9.875" style="2535" customWidth="1"/>
    <col min="49" max="50" width="7" style="2535" bestFit="1" customWidth="1"/>
    <col min="51" max="51" width="8.125" style="2535" bestFit="1" customWidth="1"/>
    <col min="52" max="53" width="7.375" style="2535" bestFit="1" customWidth="1"/>
    <col min="54" max="256" width="6.875" style="2535"/>
    <col min="257" max="257" width="3.25" style="2535" customWidth="1"/>
    <col min="258" max="259" width="11.125" style="2535" customWidth="1"/>
    <col min="260" max="260" width="1.5" style="2535" customWidth="1"/>
    <col min="261" max="266" width="11.125" style="2535" customWidth="1"/>
    <col min="267" max="267" width="1.5" style="2535" customWidth="1"/>
    <col min="268" max="268" width="10.25" style="2535" customWidth="1"/>
    <col min="269" max="270" width="11.125" style="2535" customWidth="1"/>
    <col min="271" max="271" width="1.5" style="2535" customWidth="1"/>
    <col min="272" max="272" width="3.25" style="2535" customWidth="1"/>
    <col min="273" max="274" width="11.125" style="2535" customWidth="1"/>
    <col min="275" max="275" width="1.5" style="2535" customWidth="1"/>
    <col min="276" max="281" width="11.125" style="2535" customWidth="1"/>
    <col min="282" max="282" width="1.5" style="2535" customWidth="1"/>
    <col min="283" max="283" width="10.25" style="2535" customWidth="1"/>
    <col min="284" max="285" width="11.125" style="2535" customWidth="1"/>
    <col min="286" max="286" width="1.5" style="2535" customWidth="1"/>
    <col min="287" max="287" width="3.25" style="2535" customWidth="1"/>
    <col min="288" max="289" width="11.125" style="2535" customWidth="1"/>
    <col min="290" max="290" width="1.5" style="2535" customWidth="1"/>
    <col min="291" max="296" width="11.125" style="2535" customWidth="1"/>
    <col min="297" max="297" width="1.5" style="2535" customWidth="1"/>
    <col min="298" max="298" width="10.25" style="2535" customWidth="1"/>
    <col min="299" max="300" width="11.125" style="2535" customWidth="1"/>
    <col min="301" max="301" width="1.5" style="2535" customWidth="1"/>
    <col min="302" max="303" width="6.875" style="2535"/>
    <col min="304" max="304" width="9.875" style="2535" customWidth="1"/>
    <col min="305" max="512" width="6.875" style="2535"/>
    <col min="513" max="513" width="3.25" style="2535" customWidth="1"/>
    <col min="514" max="515" width="11.125" style="2535" customWidth="1"/>
    <col min="516" max="516" width="1.5" style="2535" customWidth="1"/>
    <col min="517" max="522" width="11.125" style="2535" customWidth="1"/>
    <col min="523" max="523" width="1.5" style="2535" customWidth="1"/>
    <col min="524" max="524" width="10.25" style="2535" customWidth="1"/>
    <col min="525" max="526" width="11.125" style="2535" customWidth="1"/>
    <col min="527" max="527" width="1.5" style="2535" customWidth="1"/>
    <col min="528" max="528" width="3.25" style="2535" customWidth="1"/>
    <col min="529" max="530" width="11.125" style="2535" customWidth="1"/>
    <col min="531" max="531" width="1.5" style="2535" customWidth="1"/>
    <col min="532" max="537" width="11.125" style="2535" customWidth="1"/>
    <col min="538" max="538" width="1.5" style="2535" customWidth="1"/>
    <col min="539" max="539" width="10.25" style="2535" customWidth="1"/>
    <col min="540" max="541" width="11.125" style="2535" customWidth="1"/>
    <col min="542" max="542" width="1.5" style="2535" customWidth="1"/>
    <col min="543" max="543" width="3.25" style="2535" customWidth="1"/>
    <col min="544" max="545" width="11.125" style="2535" customWidth="1"/>
    <col min="546" max="546" width="1.5" style="2535" customWidth="1"/>
    <col min="547" max="552" width="11.125" style="2535" customWidth="1"/>
    <col min="553" max="553" width="1.5" style="2535" customWidth="1"/>
    <col min="554" max="554" width="10.25" style="2535" customWidth="1"/>
    <col min="555" max="556" width="11.125" style="2535" customWidth="1"/>
    <col min="557" max="557" width="1.5" style="2535" customWidth="1"/>
    <col min="558" max="559" width="6.875" style="2535"/>
    <col min="560" max="560" width="9.875" style="2535" customWidth="1"/>
    <col min="561" max="768" width="6.875" style="2535"/>
    <col min="769" max="769" width="3.25" style="2535" customWidth="1"/>
    <col min="770" max="771" width="11.125" style="2535" customWidth="1"/>
    <col min="772" max="772" width="1.5" style="2535" customWidth="1"/>
    <col min="773" max="778" width="11.125" style="2535" customWidth="1"/>
    <col min="779" max="779" width="1.5" style="2535" customWidth="1"/>
    <col min="780" max="780" width="10.25" style="2535" customWidth="1"/>
    <col min="781" max="782" width="11.125" style="2535" customWidth="1"/>
    <col min="783" max="783" width="1.5" style="2535" customWidth="1"/>
    <col min="784" max="784" width="3.25" style="2535" customWidth="1"/>
    <col min="785" max="786" width="11.125" style="2535" customWidth="1"/>
    <col min="787" max="787" width="1.5" style="2535" customWidth="1"/>
    <col min="788" max="793" width="11.125" style="2535" customWidth="1"/>
    <col min="794" max="794" width="1.5" style="2535" customWidth="1"/>
    <col min="795" max="795" width="10.25" style="2535" customWidth="1"/>
    <col min="796" max="797" width="11.125" style="2535" customWidth="1"/>
    <col min="798" max="798" width="1.5" style="2535" customWidth="1"/>
    <col min="799" max="799" width="3.25" style="2535" customWidth="1"/>
    <col min="800" max="801" width="11.125" style="2535" customWidth="1"/>
    <col min="802" max="802" width="1.5" style="2535" customWidth="1"/>
    <col min="803" max="808" width="11.125" style="2535" customWidth="1"/>
    <col min="809" max="809" width="1.5" style="2535" customWidth="1"/>
    <col min="810" max="810" width="10.25" style="2535" customWidth="1"/>
    <col min="811" max="812" width="11.125" style="2535" customWidth="1"/>
    <col min="813" max="813" width="1.5" style="2535" customWidth="1"/>
    <col min="814" max="815" width="6.875" style="2535"/>
    <col min="816" max="816" width="9.875" style="2535" customWidth="1"/>
    <col min="817" max="1024" width="6.875" style="2535"/>
    <col min="1025" max="1025" width="3.25" style="2535" customWidth="1"/>
    <col min="1026" max="1027" width="11.125" style="2535" customWidth="1"/>
    <col min="1028" max="1028" width="1.5" style="2535" customWidth="1"/>
    <col min="1029" max="1034" width="11.125" style="2535" customWidth="1"/>
    <col min="1035" max="1035" width="1.5" style="2535" customWidth="1"/>
    <col min="1036" max="1036" width="10.25" style="2535" customWidth="1"/>
    <col min="1037" max="1038" width="11.125" style="2535" customWidth="1"/>
    <col min="1039" max="1039" width="1.5" style="2535" customWidth="1"/>
    <col min="1040" max="1040" width="3.25" style="2535" customWidth="1"/>
    <col min="1041" max="1042" width="11.125" style="2535" customWidth="1"/>
    <col min="1043" max="1043" width="1.5" style="2535" customWidth="1"/>
    <col min="1044" max="1049" width="11.125" style="2535" customWidth="1"/>
    <col min="1050" max="1050" width="1.5" style="2535" customWidth="1"/>
    <col min="1051" max="1051" width="10.25" style="2535" customWidth="1"/>
    <col min="1052" max="1053" width="11.125" style="2535" customWidth="1"/>
    <col min="1054" max="1054" width="1.5" style="2535" customWidth="1"/>
    <col min="1055" max="1055" width="3.25" style="2535" customWidth="1"/>
    <col min="1056" max="1057" width="11.125" style="2535" customWidth="1"/>
    <col min="1058" max="1058" width="1.5" style="2535" customWidth="1"/>
    <col min="1059" max="1064" width="11.125" style="2535" customWidth="1"/>
    <col min="1065" max="1065" width="1.5" style="2535" customWidth="1"/>
    <col min="1066" max="1066" width="10.25" style="2535" customWidth="1"/>
    <col min="1067" max="1068" width="11.125" style="2535" customWidth="1"/>
    <col min="1069" max="1069" width="1.5" style="2535" customWidth="1"/>
    <col min="1070" max="1071" width="6.875" style="2535"/>
    <col min="1072" max="1072" width="9.875" style="2535" customWidth="1"/>
    <col min="1073" max="1280" width="6.875" style="2535"/>
    <col min="1281" max="1281" width="3.25" style="2535" customWidth="1"/>
    <col min="1282" max="1283" width="11.125" style="2535" customWidth="1"/>
    <col min="1284" max="1284" width="1.5" style="2535" customWidth="1"/>
    <col min="1285" max="1290" width="11.125" style="2535" customWidth="1"/>
    <col min="1291" max="1291" width="1.5" style="2535" customWidth="1"/>
    <col min="1292" max="1292" width="10.25" style="2535" customWidth="1"/>
    <col min="1293" max="1294" width="11.125" style="2535" customWidth="1"/>
    <col min="1295" max="1295" width="1.5" style="2535" customWidth="1"/>
    <col min="1296" max="1296" width="3.25" style="2535" customWidth="1"/>
    <col min="1297" max="1298" width="11.125" style="2535" customWidth="1"/>
    <col min="1299" max="1299" width="1.5" style="2535" customWidth="1"/>
    <col min="1300" max="1305" width="11.125" style="2535" customWidth="1"/>
    <col min="1306" max="1306" width="1.5" style="2535" customWidth="1"/>
    <col min="1307" max="1307" width="10.25" style="2535" customWidth="1"/>
    <col min="1308" max="1309" width="11.125" style="2535" customWidth="1"/>
    <col min="1310" max="1310" width="1.5" style="2535" customWidth="1"/>
    <col min="1311" max="1311" width="3.25" style="2535" customWidth="1"/>
    <col min="1312" max="1313" width="11.125" style="2535" customWidth="1"/>
    <col min="1314" max="1314" width="1.5" style="2535" customWidth="1"/>
    <col min="1315" max="1320" width="11.125" style="2535" customWidth="1"/>
    <col min="1321" max="1321" width="1.5" style="2535" customWidth="1"/>
    <col min="1322" max="1322" width="10.25" style="2535" customWidth="1"/>
    <col min="1323" max="1324" width="11.125" style="2535" customWidth="1"/>
    <col min="1325" max="1325" width="1.5" style="2535" customWidth="1"/>
    <col min="1326" max="1327" width="6.875" style="2535"/>
    <col min="1328" max="1328" width="9.875" style="2535" customWidth="1"/>
    <col min="1329" max="1536" width="6.875" style="2535"/>
    <col min="1537" max="1537" width="3.25" style="2535" customWidth="1"/>
    <col min="1538" max="1539" width="11.125" style="2535" customWidth="1"/>
    <col min="1540" max="1540" width="1.5" style="2535" customWidth="1"/>
    <col min="1541" max="1546" width="11.125" style="2535" customWidth="1"/>
    <col min="1547" max="1547" width="1.5" style="2535" customWidth="1"/>
    <col min="1548" max="1548" width="10.25" style="2535" customWidth="1"/>
    <col min="1549" max="1550" width="11.125" style="2535" customWidth="1"/>
    <col min="1551" max="1551" width="1.5" style="2535" customWidth="1"/>
    <col min="1552" max="1552" width="3.25" style="2535" customWidth="1"/>
    <col min="1553" max="1554" width="11.125" style="2535" customWidth="1"/>
    <col min="1555" max="1555" width="1.5" style="2535" customWidth="1"/>
    <col min="1556" max="1561" width="11.125" style="2535" customWidth="1"/>
    <col min="1562" max="1562" width="1.5" style="2535" customWidth="1"/>
    <col min="1563" max="1563" width="10.25" style="2535" customWidth="1"/>
    <col min="1564" max="1565" width="11.125" style="2535" customWidth="1"/>
    <col min="1566" max="1566" width="1.5" style="2535" customWidth="1"/>
    <col min="1567" max="1567" width="3.25" style="2535" customWidth="1"/>
    <col min="1568" max="1569" width="11.125" style="2535" customWidth="1"/>
    <col min="1570" max="1570" width="1.5" style="2535" customWidth="1"/>
    <col min="1571" max="1576" width="11.125" style="2535" customWidth="1"/>
    <col min="1577" max="1577" width="1.5" style="2535" customWidth="1"/>
    <col min="1578" max="1578" width="10.25" style="2535" customWidth="1"/>
    <col min="1579" max="1580" width="11.125" style="2535" customWidth="1"/>
    <col min="1581" max="1581" width="1.5" style="2535" customWidth="1"/>
    <col min="1582" max="1583" width="6.875" style="2535"/>
    <col min="1584" max="1584" width="9.875" style="2535" customWidth="1"/>
    <col min="1585" max="1792" width="6.875" style="2535"/>
    <col min="1793" max="1793" width="3.25" style="2535" customWidth="1"/>
    <col min="1794" max="1795" width="11.125" style="2535" customWidth="1"/>
    <col min="1796" max="1796" width="1.5" style="2535" customWidth="1"/>
    <col min="1797" max="1802" width="11.125" style="2535" customWidth="1"/>
    <col min="1803" max="1803" width="1.5" style="2535" customWidth="1"/>
    <col min="1804" max="1804" width="10.25" style="2535" customWidth="1"/>
    <col min="1805" max="1806" width="11.125" style="2535" customWidth="1"/>
    <col min="1807" max="1807" width="1.5" style="2535" customWidth="1"/>
    <col min="1808" max="1808" width="3.25" style="2535" customWidth="1"/>
    <col min="1809" max="1810" width="11.125" style="2535" customWidth="1"/>
    <col min="1811" max="1811" width="1.5" style="2535" customWidth="1"/>
    <col min="1812" max="1817" width="11.125" style="2535" customWidth="1"/>
    <col min="1818" max="1818" width="1.5" style="2535" customWidth="1"/>
    <col min="1819" max="1819" width="10.25" style="2535" customWidth="1"/>
    <col min="1820" max="1821" width="11.125" style="2535" customWidth="1"/>
    <col min="1822" max="1822" width="1.5" style="2535" customWidth="1"/>
    <col min="1823" max="1823" width="3.25" style="2535" customWidth="1"/>
    <col min="1824" max="1825" width="11.125" style="2535" customWidth="1"/>
    <col min="1826" max="1826" width="1.5" style="2535" customWidth="1"/>
    <col min="1827" max="1832" width="11.125" style="2535" customWidth="1"/>
    <col min="1833" max="1833" width="1.5" style="2535" customWidth="1"/>
    <col min="1834" max="1834" width="10.25" style="2535" customWidth="1"/>
    <col min="1835" max="1836" width="11.125" style="2535" customWidth="1"/>
    <col min="1837" max="1837" width="1.5" style="2535" customWidth="1"/>
    <col min="1838" max="1839" width="6.875" style="2535"/>
    <col min="1840" max="1840" width="9.875" style="2535" customWidth="1"/>
    <col min="1841" max="2048" width="6.875" style="2535"/>
    <col min="2049" max="2049" width="3.25" style="2535" customWidth="1"/>
    <col min="2050" max="2051" width="11.125" style="2535" customWidth="1"/>
    <col min="2052" max="2052" width="1.5" style="2535" customWidth="1"/>
    <col min="2053" max="2058" width="11.125" style="2535" customWidth="1"/>
    <col min="2059" max="2059" width="1.5" style="2535" customWidth="1"/>
    <col min="2060" max="2060" width="10.25" style="2535" customWidth="1"/>
    <col min="2061" max="2062" width="11.125" style="2535" customWidth="1"/>
    <col min="2063" max="2063" width="1.5" style="2535" customWidth="1"/>
    <col min="2064" max="2064" width="3.25" style="2535" customWidth="1"/>
    <col min="2065" max="2066" width="11.125" style="2535" customWidth="1"/>
    <col min="2067" max="2067" width="1.5" style="2535" customWidth="1"/>
    <col min="2068" max="2073" width="11.125" style="2535" customWidth="1"/>
    <col min="2074" max="2074" width="1.5" style="2535" customWidth="1"/>
    <col min="2075" max="2075" width="10.25" style="2535" customWidth="1"/>
    <col min="2076" max="2077" width="11.125" style="2535" customWidth="1"/>
    <col min="2078" max="2078" width="1.5" style="2535" customWidth="1"/>
    <col min="2079" max="2079" width="3.25" style="2535" customWidth="1"/>
    <col min="2080" max="2081" width="11.125" style="2535" customWidth="1"/>
    <col min="2082" max="2082" width="1.5" style="2535" customWidth="1"/>
    <col min="2083" max="2088" width="11.125" style="2535" customWidth="1"/>
    <col min="2089" max="2089" width="1.5" style="2535" customWidth="1"/>
    <col min="2090" max="2090" width="10.25" style="2535" customWidth="1"/>
    <col min="2091" max="2092" width="11.125" style="2535" customWidth="1"/>
    <col min="2093" max="2093" width="1.5" style="2535" customWidth="1"/>
    <col min="2094" max="2095" width="6.875" style="2535"/>
    <col min="2096" max="2096" width="9.875" style="2535" customWidth="1"/>
    <col min="2097" max="2304" width="6.875" style="2535"/>
    <col min="2305" max="2305" width="3.25" style="2535" customWidth="1"/>
    <col min="2306" max="2307" width="11.125" style="2535" customWidth="1"/>
    <col min="2308" max="2308" width="1.5" style="2535" customWidth="1"/>
    <col min="2309" max="2314" width="11.125" style="2535" customWidth="1"/>
    <col min="2315" max="2315" width="1.5" style="2535" customWidth="1"/>
    <col min="2316" max="2316" width="10.25" style="2535" customWidth="1"/>
    <col min="2317" max="2318" width="11.125" style="2535" customWidth="1"/>
    <col min="2319" max="2319" width="1.5" style="2535" customWidth="1"/>
    <col min="2320" max="2320" width="3.25" style="2535" customWidth="1"/>
    <col min="2321" max="2322" width="11.125" style="2535" customWidth="1"/>
    <col min="2323" max="2323" width="1.5" style="2535" customWidth="1"/>
    <col min="2324" max="2329" width="11.125" style="2535" customWidth="1"/>
    <col min="2330" max="2330" width="1.5" style="2535" customWidth="1"/>
    <col min="2331" max="2331" width="10.25" style="2535" customWidth="1"/>
    <col min="2332" max="2333" width="11.125" style="2535" customWidth="1"/>
    <col min="2334" max="2334" width="1.5" style="2535" customWidth="1"/>
    <col min="2335" max="2335" width="3.25" style="2535" customWidth="1"/>
    <col min="2336" max="2337" width="11.125" style="2535" customWidth="1"/>
    <col min="2338" max="2338" width="1.5" style="2535" customWidth="1"/>
    <col min="2339" max="2344" width="11.125" style="2535" customWidth="1"/>
    <col min="2345" max="2345" width="1.5" style="2535" customWidth="1"/>
    <col min="2346" max="2346" width="10.25" style="2535" customWidth="1"/>
    <col min="2347" max="2348" width="11.125" style="2535" customWidth="1"/>
    <col min="2349" max="2349" width="1.5" style="2535" customWidth="1"/>
    <col min="2350" max="2351" width="6.875" style="2535"/>
    <col min="2352" max="2352" width="9.875" style="2535" customWidth="1"/>
    <col min="2353" max="2560" width="6.875" style="2535"/>
    <col min="2561" max="2561" width="3.25" style="2535" customWidth="1"/>
    <col min="2562" max="2563" width="11.125" style="2535" customWidth="1"/>
    <col min="2564" max="2564" width="1.5" style="2535" customWidth="1"/>
    <col min="2565" max="2570" width="11.125" style="2535" customWidth="1"/>
    <col min="2571" max="2571" width="1.5" style="2535" customWidth="1"/>
    <col min="2572" max="2572" width="10.25" style="2535" customWidth="1"/>
    <col min="2573" max="2574" width="11.125" style="2535" customWidth="1"/>
    <col min="2575" max="2575" width="1.5" style="2535" customWidth="1"/>
    <col min="2576" max="2576" width="3.25" style="2535" customWidth="1"/>
    <col min="2577" max="2578" width="11.125" style="2535" customWidth="1"/>
    <col min="2579" max="2579" width="1.5" style="2535" customWidth="1"/>
    <col min="2580" max="2585" width="11.125" style="2535" customWidth="1"/>
    <col min="2586" max="2586" width="1.5" style="2535" customWidth="1"/>
    <col min="2587" max="2587" width="10.25" style="2535" customWidth="1"/>
    <col min="2588" max="2589" width="11.125" style="2535" customWidth="1"/>
    <col min="2590" max="2590" width="1.5" style="2535" customWidth="1"/>
    <col min="2591" max="2591" width="3.25" style="2535" customWidth="1"/>
    <col min="2592" max="2593" width="11.125" style="2535" customWidth="1"/>
    <col min="2594" max="2594" width="1.5" style="2535" customWidth="1"/>
    <col min="2595" max="2600" width="11.125" style="2535" customWidth="1"/>
    <col min="2601" max="2601" width="1.5" style="2535" customWidth="1"/>
    <col min="2602" max="2602" width="10.25" style="2535" customWidth="1"/>
    <col min="2603" max="2604" width="11.125" style="2535" customWidth="1"/>
    <col min="2605" max="2605" width="1.5" style="2535" customWidth="1"/>
    <col min="2606" max="2607" width="6.875" style="2535"/>
    <col min="2608" max="2608" width="9.875" style="2535" customWidth="1"/>
    <col min="2609" max="2816" width="6.875" style="2535"/>
    <col min="2817" max="2817" width="3.25" style="2535" customWidth="1"/>
    <col min="2818" max="2819" width="11.125" style="2535" customWidth="1"/>
    <col min="2820" max="2820" width="1.5" style="2535" customWidth="1"/>
    <col min="2821" max="2826" width="11.125" style="2535" customWidth="1"/>
    <col min="2827" max="2827" width="1.5" style="2535" customWidth="1"/>
    <col min="2828" max="2828" width="10.25" style="2535" customWidth="1"/>
    <col min="2829" max="2830" width="11.125" style="2535" customWidth="1"/>
    <col min="2831" max="2831" width="1.5" style="2535" customWidth="1"/>
    <col min="2832" max="2832" width="3.25" style="2535" customWidth="1"/>
    <col min="2833" max="2834" width="11.125" style="2535" customWidth="1"/>
    <col min="2835" max="2835" width="1.5" style="2535" customWidth="1"/>
    <col min="2836" max="2841" width="11.125" style="2535" customWidth="1"/>
    <col min="2842" max="2842" width="1.5" style="2535" customWidth="1"/>
    <col min="2843" max="2843" width="10.25" style="2535" customWidth="1"/>
    <col min="2844" max="2845" width="11.125" style="2535" customWidth="1"/>
    <col min="2846" max="2846" width="1.5" style="2535" customWidth="1"/>
    <col min="2847" max="2847" width="3.25" style="2535" customWidth="1"/>
    <col min="2848" max="2849" width="11.125" style="2535" customWidth="1"/>
    <col min="2850" max="2850" width="1.5" style="2535" customWidth="1"/>
    <col min="2851" max="2856" width="11.125" style="2535" customWidth="1"/>
    <col min="2857" max="2857" width="1.5" style="2535" customWidth="1"/>
    <col min="2858" max="2858" width="10.25" style="2535" customWidth="1"/>
    <col min="2859" max="2860" width="11.125" style="2535" customWidth="1"/>
    <col min="2861" max="2861" width="1.5" style="2535" customWidth="1"/>
    <col min="2862" max="2863" width="6.875" style="2535"/>
    <col min="2864" max="2864" width="9.875" style="2535" customWidth="1"/>
    <col min="2865" max="3072" width="6.875" style="2535"/>
    <col min="3073" max="3073" width="3.25" style="2535" customWidth="1"/>
    <col min="3074" max="3075" width="11.125" style="2535" customWidth="1"/>
    <col min="3076" max="3076" width="1.5" style="2535" customWidth="1"/>
    <col min="3077" max="3082" width="11.125" style="2535" customWidth="1"/>
    <col min="3083" max="3083" width="1.5" style="2535" customWidth="1"/>
    <col min="3084" max="3084" width="10.25" style="2535" customWidth="1"/>
    <col min="3085" max="3086" width="11.125" style="2535" customWidth="1"/>
    <col min="3087" max="3087" width="1.5" style="2535" customWidth="1"/>
    <col min="3088" max="3088" width="3.25" style="2535" customWidth="1"/>
    <col min="3089" max="3090" width="11.125" style="2535" customWidth="1"/>
    <col min="3091" max="3091" width="1.5" style="2535" customWidth="1"/>
    <col min="3092" max="3097" width="11.125" style="2535" customWidth="1"/>
    <col min="3098" max="3098" width="1.5" style="2535" customWidth="1"/>
    <col min="3099" max="3099" width="10.25" style="2535" customWidth="1"/>
    <col min="3100" max="3101" width="11.125" style="2535" customWidth="1"/>
    <col min="3102" max="3102" width="1.5" style="2535" customWidth="1"/>
    <col min="3103" max="3103" width="3.25" style="2535" customWidth="1"/>
    <col min="3104" max="3105" width="11.125" style="2535" customWidth="1"/>
    <col min="3106" max="3106" width="1.5" style="2535" customWidth="1"/>
    <col min="3107" max="3112" width="11.125" style="2535" customWidth="1"/>
    <col min="3113" max="3113" width="1.5" style="2535" customWidth="1"/>
    <col min="3114" max="3114" width="10.25" style="2535" customWidth="1"/>
    <col min="3115" max="3116" width="11.125" style="2535" customWidth="1"/>
    <col min="3117" max="3117" width="1.5" style="2535" customWidth="1"/>
    <col min="3118" max="3119" width="6.875" style="2535"/>
    <col min="3120" max="3120" width="9.875" style="2535" customWidth="1"/>
    <col min="3121" max="3328" width="6.875" style="2535"/>
    <col min="3329" max="3329" width="3.25" style="2535" customWidth="1"/>
    <col min="3330" max="3331" width="11.125" style="2535" customWidth="1"/>
    <col min="3332" max="3332" width="1.5" style="2535" customWidth="1"/>
    <col min="3333" max="3338" width="11.125" style="2535" customWidth="1"/>
    <col min="3339" max="3339" width="1.5" style="2535" customWidth="1"/>
    <col min="3340" max="3340" width="10.25" style="2535" customWidth="1"/>
    <col min="3341" max="3342" width="11.125" style="2535" customWidth="1"/>
    <col min="3343" max="3343" width="1.5" style="2535" customWidth="1"/>
    <col min="3344" max="3344" width="3.25" style="2535" customWidth="1"/>
    <col min="3345" max="3346" width="11.125" style="2535" customWidth="1"/>
    <col min="3347" max="3347" width="1.5" style="2535" customWidth="1"/>
    <col min="3348" max="3353" width="11.125" style="2535" customWidth="1"/>
    <col min="3354" max="3354" width="1.5" style="2535" customWidth="1"/>
    <col min="3355" max="3355" width="10.25" style="2535" customWidth="1"/>
    <col min="3356" max="3357" width="11.125" style="2535" customWidth="1"/>
    <col min="3358" max="3358" width="1.5" style="2535" customWidth="1"/>
    <col min="3359" max="3359" width="3.25" style="2535" customWidth="1"/>
    <col min="3360" max="3361" width="11.125" style="2535" customWidth="1"/>
    <col min="3362" max="3362" width="1.5" style="2535" customWidth="1"/>
    <col min="3363" max="3368" width="11.125" style="2535" customWidth="1"/>
    <col min="3369" max="3369" width="1.5" style="2535" customWidth="1"/>
    <col min="3370" max="3370" width="10.25" style="2535" customWidth="1"/>
    <col min="3371" max="3372" width="11.125" style="2535" customWidth="1"/>
    <col min="3373" max="3373" width="1.5" style="2535" customWidth="1"/>
    <col min="3374" max="3375" width="6.875" style="2535"/>
    <col min="3376" max="3376" width="9.875" style="2535" customWidth="1"/>
    <col min="3377" max="3584" width="6.875" style="2535"/>
    <col min="3585" max="3585" width="3.25" style="2535" customWidth="1"/>
    <col min="3586" max="3587" width="11.125" style="2535" customWidth="1"/>
    <col min="3588" max="3588" width="1.5" style="2535" customWidth="1"/>
    <col min="3589" max="3594" width="11.125" style="2535" customWidth="1"/>
    <col min="3595" max="3595" width="1.5" style="2535" customWidth="1"/>
    <col min="3596" max="3596" width="10.25" style="2535" customWidth="1"/>
    <col min="3597" max="3598" width="11.125" style="2535" customWidth="1"/>
    <col min="3599" max="3599" width="1.5" style="2535" customWidth="1"/>
    <col min="3600" max="3600" width="3.25" style="2535" customWidth="1"/>
    <col min="3601" max="3602" width="11.125" style="2535" customWidth="1"/>
    <col min="3603" max="3603" width="1.5" style="2535" customWidth="1"/>
    <col min="3604" max="3609" width="11.125" style="2535" customWidth="1"/>
    <col min="3610" max="3610" width="1.5" style="2535" customWidth="1"/>
    <col min="3611" max="3611" width="10.25" style="2535" customWidth="1"/>
    <col min="3612" max="3613" width="11.125" style="2535" customWidth="1"/>
    <col min="3614" max="3614" width="1.5" style="2535" customWidth="1"/>
    <col min="3615" max="3615" width="3.25" style="2535" customWidth="1"/>
    <col min="3616" max="3617" width="11.125" style="2535" customWidth="1"/>
    <col min="3618" max="3618" width="1.5" style="2535" customWidth="1"/>
    <col min="3619" max="3624" width="11.125" style="2535" customWidth="1"/>
    <col min="3625" max="3625" width="1.5" style="2535" customWidth="1"/>
    <col min="3626" max="3626" width="10.25" style="2535" customWidth="1"/>
    <col min="3627" max="3628" width="11.125" style="2535" customWidth="1"/>
    <col min="3629" max="3629" width="1.5" style="2535" customWidth="1"/>
    <col min="3630" max="3631" width="6.875" style="2535"/>
    <col min="3632" max="3632" width="9.875" style="2535" customWidth="1"/>
    <col min="3633" max="3840" width="6.875" style="2535"/>
    <col min="3841" max="3841" width="3.25" style="2535" customWidth="1"/>
    <col min="3842" max="3843" width="11.125" style="2535" customWidth="1"/>
    <col min="3844" max="3844" width="1.5" style="2535" customWidth="1"/>
    <col min="3845" max="3850" width="11.125" style="2535" customWidth="1"/>
    <col min="3851" max="3851" width="1.5" style="2535" customWidth="1"/>
    <col min="3852" max="3852" width="10.25" style="2535" customWidth="1"/>
    <col min="3853" max="3854" width="11.125" style="2535" customWidth="1"/>
    <col min="3855" max="3855" width="1.5" style="2535" customWidth="1"/>
    <col min="3856" max="3856" width="3.25" style="2535" customWidth="1"/>
    <col min="3857" max="3858" width="11.125" style="2535" customWidth="1"/>
    <col min="3859" max="3859" width="1.5" style="2535" customWidth="1"/>
    <col min="3860" max="3865" width="11.125" style="2535" customWidth="1"/>
    <col min="3866" max="3866" width="1.5" style="2535" customWidth="1"/>
    <col min="3867" max="3867" width="10.25" style="2535" customWidth="1"/>
    <col min="3868" max="3869" width="11.125" style="2535" customWidth="1"/>
    <col min="3870" max="3870" width="1.5" style="2535" customWidth="1"/>
    <col min="3871" max="3871" width="3.25" style="2535" customWidth="1"/>
    <col min="3872" max="3873" width="11.125" style="2535" customWidth="1"/>
    <col min="3874" max="3874" width="1.5" style="2535" customWidth="1"/>
    <col min="3875" max="3880" width="11.125" style="2535" customWidth="1"/>
    <col min="3881" max="3881" width="1.5" style="2535" customWidth="1"/>
    <col min="3882" max="3882" width="10.25" style="2535" customWidth="1"/>
    <col min="3883" max="3884" width="11.125" style="2535" customWidth="1"/>
    <col min="3885" max="3885" width="1.5" style="2535" customWidth="1"/>
    <col min="3886" max="3887" width="6.875" style="2535"/>
    <col min="3888" max="3888" width="9.875" style="2535" customWidth="1"/>
    <col min="3889" max="4096" width="6.875" style="2535"/>
    <col min="4097" max="4097" width="3.25" style="2535" customWidth="1"/>
    <col min="4098" max="4099" width="11.125" style="2535" customWidth="1"/>
    <col min="4100" max="4100" width="1.5" style="2535" customWidth="1"/>
    <col min="4101" max="4106" width="11.125" style="2535" customWidth="1"/>
    <col min="4107" max="4107" width="1.5" style="2535" customWidth="1"/>
    <col min="4108" max="4108" width="10.25" style="2535" customWidth="1"/>
    <col min="4109" max="4110" width="11.125" style="2535" customWidth="1"/>
    <col min="4111" max="4111" width="1.5" style="2535" customWidth="1"/>
    <col min="4112" max="4112" width="3.25" style="2535" customWidth="1"/>
    <col min="4113" max="4114" width="11.125" style="2535" customWidth="1"/>
    <col min="4115" max="4115" width="1.5" style="2535" customWidth="1"/>
    <col min="4116" max="4121" width="11.125" style="2535" customWidth="1"/>
    <col min="4122" max="4122" width="1.5" style="2535" customWidth="1"/>
    <col min="4123" max="4123" width="10.25" style="2535" customWidth="1"/>
    <col min="4124" max="4125" width="11.125" style="2535" customWidth="1"/>
    <col min="4126" max="4126" width="1.5" style="2535" customWidth="1"/>
    <col min="4127" max="4127" width="3.25" style="2535" customWidth="1"/>
    <col min="4128" max="4129" width="11.125" style="2535" customWidth="1"/>
    <col min="4130" max="4130" width="1.5" style="2535" customWidth="1"/>
    <col min="4131" max="4136" width="11.125" style="2535" customWidth="1"/>
    <col min="4137" max="4137" width="1.5" style="2535" customWidth="1"/>
    <col min="4138" max="4138" width="10.25" style="2535" customWidth="1"/>
    <col min="4139" max="4140" width="11.125" style="2535" customWidth="1"/>
    <col min="4141" max="4141" width="1.5" style="2535" customWidth="1"/>
    <col min="4142" max="4143" width="6.875" style="2535"/>
    <col min="4144" max="4144" width="9.875" style="2535" customWidth="1"/>
    <col min="4145" max="4352" width="6.875" style="2535"/>
    <col min="4353" max="4353" width="3.25" style="2535" customWidth="1"/>
    <col min="4354" max="4355" width="11.125" style="2535" customWidth="1"/>
    <col min="4356" max="4356" width="1.5" style="2535" customWidth="1"/>
    <col min="4357" max="4362" width="11.125" style="2535" customWidth="1"/>
    <col min="4363" max="4363" width="1.5" style="2535" customWidth="1"/>
    <col min="4364" max="4364" width="10.25" style="2535" customWidth="1"/>
    <col min="4365" max="4366" width="11.125" style="2535" customWidth="1"/>
    <col min="4367" max="4367" width="1.5" style="2535" customWidth="1"/>
    <col min="4368" max="4368" width="3.25" style="2535" customWidth="1"/>
    <col min="4369" max="4370" width="11.125" style="2535" customWidth="1"/>
    <col min="4371" max="4371" width="1.5" style="2535" customWidth="1"/>
    <col min="4372" max="4377" width="11.125" style="2535" customWidth="1"/>
    <col min="4378" max="4378" width="1.5" style="2535" customWidth="1"/>
    <col min="4379" max="4379" width="10.25" style="2535" customWidth="1"/>
    <col min="4380" max="4381" width="11.125" style="2535" customWidth="1"/>
    <col min="4382" max="4382" width="1.5" style="2535" customWidth="1"/>
    <col min="4383" max="4383" width="3.25" style="2535" customWidth="1"/>
    <col min="4384" max="4385" width="11.125" style="2535" customWidth="1"/>
    <col min="4386" max="4386" width="1.5" style="2535" customWidth="1"/>
    <col min="4387" max="4392" width="11.125" style="2535" customWidth="1"/>
    <col min="4393" max="4393" width="1.5" style="2535" customWidth="1"/>
    <col min="4394" max="4394" width="10.25" style="2535" customWidth="1"/>
    <col min="4395" max="4396" width="11.125" style="2535" customWidth="1"/>
    <col min="4397" max="4397" width="1.5" style="2535" customWidth="1"/>
    <col min="4398" max="4399" width="6.875" style="2535"/>
    <col min="4400" max="4400" width="9.875" style="2535" customWidth="1"/>
    <col min="4401" max="4608" width="6.875" style="2535"/>
    <col min="4609" max="4609" width="3.25" style="2535" customWidth="1"/>
    <col min="4610" max="4611" width="11.125" style="2535" customWidth="1"/>
    <col min="4612" max="4612" width="1.5" style="2535" customWidth="1"/>
    <col min="4613" max="4618" width="11.125" style="2535" customWidth="1"/>
    <col min="4619" max="4619" width="1.5" style="2535" customWidth="1"/>
    <col min="4620" max="4620" width="10.25" style="2535" customWidth="1"/>
    <col min="4621" max="4622" width="11.125" style="2535" customWidth="1"/>
    <col min="4623" max="4623" width="1.5" style="2535" customWidth="1"/>
    <col min="4624" max="4624" width="3.25" style="2535" customWidth="1"/>
    <col min="4625" max="4626" width="11.125" style="2535" customWidth="1"/>
    <col min="4627" max="4627" width="1.5" style="2535" customWidth="1"/>
    <col min="4628" max="4633" width="11.125" style="2535" customWidth="1"/>
    <col min="4634" max="4634" width="1.5" style="2535" customWidth="1"/>
    <col min="4635" max="4635" width="10.25" style="2535" customWidth="1"/>
    <col min="4636" max="4637" width="11.125" style="2535" customWidth="1"/>
    <col min="4638" max="4638" width="1.5" style="2535" customWidth="1"/>
    <col min="4639" max="4639" width="3.25" style="2535" customWidth="1"/>
    <col min="4640" max="4641" width="11.125" style="2535" customWidth="1"/>
    <col min="4642" max="4642" width="1.5" style="2535" customWidth="1"/>
    <col min="4643" max="4648" width="11.125" style="2535" customWidth="1"/>
    <col min="4649" max="4649" width="1.5" style="2535" customWidth="1"/>
    <col min="4650" max="4650" width="10.25" style="2535" customWidth="1"/>
    <col min="4651" max="4652" width="11.125" style="2535" customWidth="1"/>
    <col min="4653" max="4653" width="1.5" style="2535" customWidth="1"/>
    <col min="4654" max="4655" width="6.875" style="2535"/>
    <col min="4656" max="4656" width="9.875" style="2535" customWidth="1"/>
    <col min="4657" max="4864" width="6.875" style="2535"/>
    <col min="4865" max="4865" width="3.25" style="2535" customWidth="1"/>
    <col min="4866" max="4867" width="11.125" style="2535" customWidth="1"/>
    <col min="4868" max="4868" width="1.5" style="2535" customWidth="1"/>
    <col min="4869" max="4874" width="11.125" style="2535" customWidth="1"/>
    <col min="4875" max="4875" width="1.5" style="2535" customWidth="1"/>
    <col min="4876" max="4876" width="10.25" style="2535" customWidth="1"/>
    <col min="4877" max="4878" width="11.125" style="2535" customWidth="1"/>
    <col min="4879" max="4879" width="1.5" style="2535" customWidth="1"/>
    <col min="4880" max="4880" width="3.25" style="2535" customWidth="1"/>
    <col min="4881" max="4882" width="11.125" style="2535" customWidth="1"/>
    <col min="4883" max="4883" width="1.5" style="2535" customWidth="1"/>
    <col min="4884" max="4889" width="11.125" style="2535" customWidth="1"/>
    <col min="4890" max="4890" width="1.5" style="2535" customWidth="1"/>
    <col min="4891" max="4891" width="10.25" style="2535" customWidth="1"/>
    <col min="4892" max="4893" width="11.125" style="2535" customWidth="1"/>
    <col min="4894" max="4894" width="1.5" style="2535" customWidth="1"/>
    <col min="4895" max="4895" width="3.25" style="2535" customWidth="1"/>
    <col min="4896" max="4897" width="11.125" style="2535" customWidth="1"/>
    <col min="4898" max="4898" width="1.5" style="2535" customWidth="1"/>
    <col min="4899" max="4904" width="11.125" style="2535" customWidth="1"/>
    <col min="4905" max="4905" width="1.5" style="2535" customWidth="1"/>
    <col min="4906" max="4906" width="10.25" style="2535" customWidth="1"/>
    <col min="4907" max="4908" width="11.125" style="2535" customWidth="1"/>
    <col min="4909" max="4909" width="1.5" style="2535" customWidth="1"/>
    <col min="4910" max="4911" width="6.875" style="2535"/>
    <col min="4912" max="4912" width="9.875" style="2535" customWidth="1"/>
    <col min="4913" max="5120" width="6.875" style="2535"/>
    <col min="5121" max="5121" width="3.25" style="2535" customWidth="1"/>
    <col min="5122" max="5123" width="11.125" style="2535" customWidth="1"/>
    <col min="5124" max="5124" width="1.5" style="2535" customWidth="1"/>
    <col min="5125" max="5130" width="11.125" style="2535" customWidth="1"/>
    <col min="5131" max="5131" width="1.5" style="2535" customWidth="1"/>
    <col min="5132" max="5132" width="10.25" style="2535" customWidth="1"/>
    <col min="5133" max="5134" width="11.125" style="2535" customWidth="1"/>
    <col min="5135" max="5135" width="1.5" style="2535" customWidth="1"/>
    <col min="5136" max="5136" width="3.25" style="2535" customWidth="1"/>
    <col min="5137" max="5138" width="11.125" style="2535" customWidth="1"/>
    <col min="5139" max="5139" width="1.5" style="2535" customWidth="1"/>
    <col min="5140" max="5145" width="11.125" style="2535" customWidth="1"/>
    <col min="5146" max="5146" width="1.5" style="2535" customWidth="1"/>
    <col min="5147" max="5147" width="10.25" style="2535" customWidth="1"/>
    <col min="5148" max="5149" width="11.125" style="2535" customWidth="1"/>
    <col min="5150" max="5150" width="1.5" style="2535" customWidth="1"/>
    <col min="5151" max="5151" width="3.25" style="2535" customWidth="1"/>
    <col min="5152" max="5153" width="11.125" style="2535" customWidth="1"/>
    <col min="5154" max="5154" width="1.5" style="2535" customWidth="1"/>
    <col min="5155" max="5160" width="11.125" style="2535" customWidth="1"/>
    <col min="5161" max="5161" width="1.5" style="2535" customWidth="1"/>
    <col min="5162" max="5162" width="10.25" style="2535" customWidth="1"/>
    <col min="5163" max="5164" width="11.125" style="2535" customWidth="1"/>
    <col min="5165" max="5165" width="1.5" style="2535" customWidth="1"/>
    <col min="5166" max="5167" width="6.875" style="2535"/>
    <col min="5168" max="5168" width="9.875" style="2535" customWidth="1"/>
    <col min="5169" max="5376" width="6.875" style="2535"/>
    <col min="5377" max="5377" width="3.25" style="2535" customWidth="1"/>
    <col min="5378" max="5379" width="11.125" style="2535" customWidth="1"/>
    <col min="5380" max="5380" width="1.5" style="2535" customWidth="1"/>
    <col min="5381" max="5386" width="11.125" style="2535" customWidth="1"/>
    <col min="5387" max="5387" width="1.5" style="2535" customWidth="1"/>
    <col min="5388" max="5388" width="10.25" style="2535" customWidth="1"/>
    <col min="5389" max="5390" width="11.125" style="2535" customWidth="1"/>
    <col min="5391" max="5391" width="1.5" style="2535" customWidth="1"/>
    <col min="5392" max="5392" width="3.25" style="2535" customWidth="1"/>
    <col min="5393" max="5394" width="11.125" style="2535" customWidth="1"/>
    <col min="5395" max="5395" width="1.5" style="2535" customWidth="1"/>
    <col min="5396" max="5401" width="11.125" style="2535" customWidth="1"/>
    <col min="5402" max="5402" width="1.5" style="2535" customWidth="1"/>
    <col min="5403" max="5403" width="10.25" style="2535" customWidth="1"/>
    <col min="5404" max="5405" width="11.125" style="2535" customWidth="1"/>
    <col min="5406" max="5406" width="1.5" style="2535" customWidth="1"/>
    <col min="5407" max="5407" width="3.25" style="2535" customWidth="1"/>
    <col min="5408" max="5409" width="11.125" style="2535" customWidth="1"/>
    <col min="5410" max="5410" width="1.5" style="2535" customWidth="1"/>
    <col min="5411" max="5416" width="11.125" style="2535" customWidth="1"/>
    <col min="5417" max="5417" width="1.5" style="2535" customWidth="1"/>
    <col min="5418" max="5418" width="10.25" style="2535" customWidth="1"/>
    <col min="5419" max="5420" width="11.125" style="2535" customWidth="1"/>
    <col min="5421" max="5421" width="1.5" style="2535" customWidth="1"/>
    <col min="5422" max="5423" width="6.875" style="2535"/>
    <col min="5424" max="5424" width="9.875" style="2535" customWidth="1"/>
    <col min="5425" max="5632" width="6.875" style="2535"/>
    <col min="5633" max="5633" width="3.25" style="2535" customWidth="1"/>
    <col min="5634" max="5635" width="11.125" style="2535" customWidth="1"/>
    <col min="5636" max="5636" width="1.5" style="2535" customWidth="1"/>
    <col min="5637" max="5642" width="11.125" style="2535" customWidth="1"/>
    <col min="5643" max="5643" width="1.5" style="2535" customWidth="1"/>
    <col min="5644" max="5644" width="10.25" style="2535" customWidth="1"/>
    <col min="5645" max="5646" width="11.125" style="2535" customWidth="1"/>
    <col min="5647" max="5647" width="1.5" style="2535" customWidth="1"/>
    <col min="5648" max="5648" width="3.25" style="2535" customWidth="1"/>
    <col min="5649" max="5650" width="11.125" style="2535" customWidth="1"/>
    <col min="5651" max="5651" width="1.5" style="2535" customWidth="1"/>
    <col min="5652" max="5657" width="11.125" style="2535" customWidth="1"/>
    <col min="5658" max="5658" width="1.5" style="2535" customWidth="1"/>
    <col min="5659" max="5659" width="10.25" style="2535" customWidth="1"/>
    <col min="5660" max="5661" width="11.125" style="2535" customWidth="1"/>
    <col min="5662" max="5662" width="1.5" style="2535" customWidth="1"/>
    <col min="5663" max="5663" width="3.25" style="2535" customWidth="1"/>
    <col min="5664" max="5665" width="11.125" style="2535" customWidth="1"/>
    <col min="5666" max="5666" width="1.5" style="2535" customWidth="1"/>
    <col min="5667" max="5672" width="11.125" style="2535" customWidth="1"/>
    <col min="5673" max="5673" width="1.5" style="2535" customWidth="1"/>
    <col min="5674" max="5674" width="10.25" style="2535" customWidth="1"/>
    <col min="5675" max="5676" width="11.125" style="2535" customWidth="1"/>
    <col min="5677" max="5677" width="1.5" style="2535" customWidth="1"/>
    <col min="5678" max="5679" width="6.875" style="2535"/>
    <col min="5680" max="5680" width="9.875" style="2535" customWidth="1"/>
    <col min="5681" max="5888" width="6.875" style="2535"/>
    <col min="5889" max="5889" width="3.25" style="2535" customWidth="1"/>
    <col min="5890" max="5891" width="11.125" style="2535" customWidth="1"/>
    <col min="5892" max="5892" width="1.5" style="2535" customWidth="1"/>
    <col min="5893" max="5898" width="11.125" style="2535" customWidth="1"/>
    <col min="5899" max="5899" width="1.5" style="2535" customWidth="1"/>
    <col min="5900" max="5900" width="10.25" style="2535" customWidth="1"/>
    <col min="5901" max="5902" width="11.125" style="2535" customWidth="1"/>
    <col min="5903" max="5903" width="1.5" style="2535" customWidth="1"/>
    <col min="5904" max="5904" width="3.25" style="2535" customWidth="1"/>
    <col min="5905" max="5906" width="11.125" style="2535" customWidth="1"/>
    <col min="5907" max="5907" width="1.5" style="2535" customWidth="1"/>
    <col min="5908" max="5913" width="11.125" style="2535" customWidth="1"/>
    <col min="5914" max="5914" width="1.5" style="2535" customWidth="1"/>
    <col min="5915" max="5915" width="10.25" style="2535" customWidth="1"/>
    <col min="5916" max="5917" width="11.125" style="2535" customWidth="1"/>
    <col min="5918" max="5918" width="1.5" style="2535" customWidth="1"/>
    <col min="5919" max="5919" width="3.25" style="2535" customWidth="1"/>
    <col min="5920" max="5921" width="11.125" style="2535" customWidth="1"/>
    <col min="5922" max="5922" width="1.5" style="2535" customWidth="1"/>
    <col min="5923" max="5928" width="11.125" style="2535" customWidth="1"/>
    <col min="5929" max="5929" width="1.5" style="2535" customWidth="1"/>
    <col min="5930" max="5930" width="10.25" style="2535" customWidth="1"/>
    <col min="5931" max="5932" width="11.125" style="2535" customWidth="1"/>
    <col min="5933" max="5933" width="1.5" style="2535" customWidth="1"/>
    <col min="5934" max="5935" width="6.875" style="2535"/>
    <col min="5936" max="5936" width="9.875" style="2535" customWidth="1"/>
    <col min="5937" max="6144" width="6.875" style="2535"/>
    <col min="6145" max="6145" width="3.25" style="2535" customWidth="1"/>
    <col min="6146" max="6147" width="11.125" style="2535" customWidth="1"/>
    <col min="6148" max="6148" width="1.5" style="2535" customWidth="1"/>
    <col min="6149" max="6154" width="11.125" style="2535" customWidth="1"/>
    <col min="6155" max="6155" width="1.5" style="2535" customWidth="1"/>
    <col min="6156" max="6156" width="10.25" style="2535" customWidth="1"/>
    <col min="6157" max="6158" width="11.125" style="2535" customWidth="1"/>
    <col min="6159" max="6159" width="1.5" style="2535" customWidth="1"/>
    <col min="6160" max="6160" width="3.25" style="2535" customWidth="1"/>
    <col min="6161" max="6162" width="11.125" style="2535" customWidth="1"/>
    <col min="6163" max="6163" width="1.5" style="2535" customWidth="1"/>
    <col min="6164" max="6169" width="11.125" style="2535" customWidth="1"/>
    <col min="6170" max="6170" width="1.5" style="2535" customWidth="1"/>
    <col min="6171" max="6171" width="10.25" style="2535" customWidth="1"/>
    <col min="6172" max="6173" width="11.125" style="2535" customWidth="1"/>
    <col min="6174" max="6174" width="1.5" style="2535" customWidth="1"/>
    <col min="6175" max="6175" width="3.25" style="2535" customWidth="1"/>
    <col min="6176" max="6177" width="11.125" style="2535" customWidth="1"/>
    <col min="6178" max="6178" width="1.5" style="2535" customWidth="1"/>
    <col min="6179" max="6184" width="11.125" style="2535" customWidth="1"/>
    <col min="6185" max="6185" width="1.5" style="2535" customWidth="1"/>
    <col min="6186" max="6186" width="10.25" style="2535" customWidth="1"/>
    <col min="6187" max="6188" width="11.125" style="2535" customWidth="1"/>
    <col min="6189" max="6189" width="1.5" style="2535" customWidth="1"/>
    <col min="6190" max="6191" width="6.875" style="2535"/>
    <col min="6192" max="6192" width="9.875" style="2535" customWidth="1"/>
    <col min="6193" max="6400" width="6.875" style="2535"/>
    <col min="6401" max="6401" width="3.25" style="2535" customWidth="1"/>
    <col min="6402" max="6403" width="11.125" style="2535" customWidth="1"/>
    <col min="6404" max="6404" width="1.5" style="2535" customWidth="1"/>
    <col min="6405" max="6410" width="11.125" style="2535" customWidth="1"/>
    <col min="6411" max="6411" width="1.5" style="2535" customWidth="1"/>
    <col min="6412" max="6412" width="10.25" style="2535" customWidth="1"/>
    <col min="6413" max="6414" width="11.125" style="2535" customWidth="1"/>
    <col min="6415" max="6415" width="1.5" style="2535" customWidth="1"/>
    <col min="6416" max="6416" width="3.25" style="2535" customWidth="1"/>
    <col min="6417" max="6418" width="11.125" style="2535" customWidth="1"/>
    <col min="6419" max="6419" width="1.5" style="2535" customWidth="1"/>
    <col min="6420" max="6425" width="11.125" style="2535" customWidth="1"/>
    <col min="6426" max="6426" width="1.5" style="2535" customWidth="1"/>
    <col min="6427" max="6427" width="10.25" style="2535" customWidth="1"/>
    <col min="6428" max="6429" width="11.125" style="2535" customWidth="1"/>
    <col min="6430" max="6430" width="1.5" style="2535" customWidth="1"/>
    <col min="6431" max="6431" width="3.25" style="2535" customWidth="1"/>
    <col min="6432" max="6433" width="11.125" style="2535" customWidth="1"/>
    <col min="6434" max="6434" width="1.5" style="2535" customWidth="1"/>
    <col min="6435" max="6440" width="11.125" style="2535" customWidth="1"/>
    <col min="6441" max="6441" width="1.5" style="2535" customWidth="1"/>
    <col min="6442" max="6442" width="10.25" style="2535" customWidth="1"/>
    <col min="6443" max="6444" width="11.125" style="2535" customWidth="1"/>
    <col min="6445" max="6445" width="1.5" style="2535" customWidth="1"/>
    <col min="6446" max="6447" width="6.875" style="2535"/>
    <col min="6448" max="6448" width="9.875" style="2535" customWidth="1"/>
    <col min="6449" max="6656" width="6.875" style="2535"/>
    <col min="6657" max="6657" width="3.25" style="2535" customWidth="1"/>
    <col min="6658" max="6659" width="11.125" style="2535" customWidth="1"/>
    <col min="6660" max="6660" width="1.5" style="2535" customWidth="1"/>
    <col min="6661" max="6666" width="11.125" style="2535" customWidth="1"/>
    <col min="6667" max="6667" width="1.5" style="2535" customWidth="1"/>
    <col min="6668" max="6668" width="10.25" style="2535" customWidth="1"/>
    <col min="6669" max="6670" width="11.125" style="2535" customWidth="1"/>
    <col min="6671" max="6671" width="1.5" style="2535" customWidth="1"/>
    <col min="6672" max="6672" width="3.25" style="2535" customWidth="1"/>
    <col min="6673" max="6674" width="11.125" style="2535" customWidth="1"/>
    <col min="6675" max="6675" width="1.5" style="2535" customWidth="1"/>
    <col min="6676" max="6681" width="11.125" style="2535" customWidth="1"/>
    <col min="6682" max="6682" width="1.5" style="2535" customWidth="1"/>
    <col min="6683" max="6683" width="10.25" style="2535" customWidth="1"/>
    <col min="6684" max="6685" width="11.125" style="2535" customWidth="1"/>
    <col min="6686" max="6686" width="1.5" style="2535" customWidth="1"/>
    <col min="6687" max="6687" width="3.25" style="2535" customWidth="1"/>
    <col min="6688" max="6689" width="11.125" style="2535" customWidth="1"/>
    <col min="6690" max="6690" width="1.5" style="2535" customWidth="1"/>
    <col min="6691" max="6696" width="11.125" style="2535" customWidth="1"/>
    <col min="6697" max="6697" width="1.5" style="2535" customWidth="1"/>
    <col min="6698" max="6698" width="10.25" style="2535" customWidth="1"/>
    <col min="6699" max="6700" width="11.125" style="2535" customWidth="1"/>
    <col min="6701" max="6701" width="1.5" style="2535" customWidth="1"/>
    <col min="6702" max="6703" width="6.875" style="2535"/>
    <col min="6704" max="6704" width="9.875" style="2535" customWidth="1"/>
    <col min="6705" max="6912" width="6.875" style="2535"/>
    <col min="6913" max="6913" width="3.25" style="2535" customWidth="1"/>
    <col min="6914" max="6915" width="11.125" style="2535" customWidth="1"/>
    <col min="6916" max="6916" width="1.5" style="2535" customWidth="1"/>
    <col min="6917" max="6922" width="11.125" style="2535" customWidth="1"/>
    <col min="6923" max="6923" width="1.5" style="2535" customWidth="1"/>
    <col min="6924" max="6924" width="10.25" style="2535" customWidth="1"/>
    <col min="6925" max="6926" width="11.125" style="2535" customWidth="1"/>
    <col min="6927" max="6927" width="1.5" style="2535" customWidth="1"/>
    <col min="6928" max="6928" width="3.25" style="2535" customWidth="1"/>
    <col min="6929" max="6930" width="11.125" style="2535" customWidth="1"/>
    <col min="6931" max="6931" width="1.5" style="2535" customWidth="1"/>
    <col min="6932" max="6937" width="11.125" style="2535" customWidth="1"/>
    <col min="6938" max="6938" width="1.5" style="2535" customWidth="1"/>
    <col min="6939" max="6939" width="10.25" style="2535" customWidth="1"/>
    <col min="6940" max="6941" width="11.125" style="2535" customWidth="1"/>
    <col min="6942" max="6942" width="1.5" style="2535" customWidth="1"/>
    <col min="6943" max="6943" width="3.25" style="2535" customWidth="1"/>
    <col min="6944" max="6945" width="11.125" style="2535" customWidth="1"/>
    <col min="6946" max="6946" width="1.5" style="2535" customWidth="1"/>
    <col min="6947" max="6952" width="11.125" style="2535" customWidth="1"/>
    <col min="6953" max="6953" width="1.5" style="2535" customWidth="1"/>
    <col min="6954" max="6954" width="10.25" style="2535" customWidth="1"/>
    <col min="6955" max="6956" width="11.125" style="2535" customWidth="1"/>
    <col min="6957" max="6957" width="1.5" style="2535" customWidth="1"/>
    <col min="6958" max="6959" width="6.875" style="2535"/>
    <col min="6960" max="6960" width="9.875" style="2535" customWidth="1"/>
    <col min="6961" max="7168" width="6.875" style="2535"/>
    <col min="7169" max="7169" width="3.25" style="2535" customWidth="1"/>
    <col min="7170" max="7171" width="11.125" style="2535" customWidth="1"/>
    <col min="7172" max="7172" width="1.5" style="2535" customWidth="1"/>
    <col min="7173" max="7178" width="11.125" style="2535" customWidth="1"/>
    <col min="7179" max="7179" width="1.5" style="2535" customWidth="1"/>
    <col min="7180" max="7180" width="10.25" style="2535" customWidth="1"/>
    <col min="7181" max="7182" width="11.125" style="2535" customWidth="1"/>
    <col min="7183" max="7183" width="1.5" style="2535" customWidth="1"/>
    <col min="7184" max="7184" width="3.25" style="2535" customWidth="1"/>
    <col min="7185" max="7186" width="11.125" style="2535" customWidth="1"/>
    <col min="7187" max="7187" width="1.5" style="2535" customWidth="1"/>
    <col min="7188" max="7193" width="11.125" style="2535" customWidth="1"/>
    <col min="7194" max="7194" width="1.5" style="2535" customWidth="1"/>
    <col min="7195" max="7195" width="10.25" style="2535" customWidth="1"/>
    <col min="7196" max="7197" width="11.125" style="2535" customWidth="1"/>
    <col min="7198" max="7198" width="1.5" style="2535" customWidth="1"/>
    <col min="7199" max="7199" width="3.25" style="2535" customWidth="1"/>
    <col min="7200" max="7201" width="11.125" style="2535" customWidth="1"/>
    <col min="7202" max="7202" width="1.5" style="2535" customWidth="1"/>
    <col min="7203" max="7208" width="11.125" style="2535" customWidth="1"/>
    <col min="7209" max="7209" width="1.5" style="2535" customWidth="1"/>
    <col min="7210" max="7210" width="10.25" style="2535" customWidth="1"/>
    <col min="7211" max="7212" width="11.125" style="2535" customWidth="1"/>
    <col min="7213" max="7213" width="1.5" style="2535" customWidth="1"/>
    <col min="7214" max="7215" width="6.875" style="2535"/>
    <col min="7216" max="7216" width="9.875" style="2535" customWidth="1"/>
    <col min="7217" max="7424" width="6.875" style="2535"/>
    <col min="7425" max="7425" width="3.25" style="2535" customWidth="1"/>
    <col min="7426" max="7427" width="11.125" style="2535" customWidth="1"/>
    <col min="7428" max="7428" width="1.5" style="2535" customWidth="1"/>
    <col min="7429" max="7434" width="11.125" style="2535" customWidth="1"/>
    <col min="7435" max="7435" width="1.5" style="2535" customWidth="1"/>
    <col min="7436" max="7436" width="10.25" style="2535" customWidth="1"/>
    <col min="7437" max="7438" width="11.125" style="2535" customWidth="1"/>
    <col min="7439" max="7439" width="1.5" style="2535" customWidth="1"/>
    <col min="7440" max="7440" width="3.25" style="2535" customWidth="1"/>
    <col min="7441" max="7442" width="11.125" style="2535" customWidth="1"/>
    <col min="7443" max="7443" width="1.5" style="2535" customWidth="1"/>
    <col min="7444" max="7449" width="11.125" style="2535" customWidth="1"/>
    <col min="7450" max="7450" width="1.5" style="2535" customWidth="1"/>
    <col min="7451" max="7451" width="10.25" style="2535" customWidth="1"/>
    <col min="7452" max="7453" width="11.125" style="2535" customWidth="1"/>
    <col min="7454" max="7454" width="1.5" style="2535" customWidth="1"/>
    <col min="7455" max="7455" width="3.25" style="2535" customWidth="1"/>
    <col min="7456" max="7457" width="11.125" style="2535" customWidth="1"/>
    <col min="7458" max="7458" width="1.5" style="2535" customWidth="1"/>
    <col min="7459" max="7464" width="11.125" style="2535" customWidth="1"/>
    <col min="7465" max="7465" width="1.5" style="2535" customWidth="1"/>
    <col min="7466" max="7466" width="10.25" style="2535" customWidth="1"/>
    <col min="7467" max="7468" width="11.125" style="2535" customWidth="1"/>
    <col min="7469" max="7469" width="1.5" style="2535" customWidth="1"/>
    <col min="7470" max="7471" width="6.875" style="2535"/>
    <col min="7472" max="7472" width="9.875" style="2535" customWidth="1"/>
    <col min="7473" max="7680" width="6.875" style="2535"/>
    <col min="7681" max="7681" width="3.25" style="2535" customWidth="1"/>
    <col min="7682" max="7683" width="11.125" style="2535" customWidth="1"/>
    <col min="7684" max="7684" width="1.5" style="2535" customWidth="1"/>
    <col min="7685" max="7690" width="11.125" style="2535" customWidth="1"/>
    <col min="7691" max="7691" width="1.5" style="2535" customWidth="1"/>
    <col min="7692" max="7692" width="10.25" style="2535" customWidth="1"/>
    <col min="7693" max="7694" width="11.125" style="2535" customWidth="1"/>
    <col min="7695" max="7695" width="1.5" style="2535" customWidth="1"/>
    <col min="7696" max="7696" width="3.25" style="2535" customWidth="1"/>
    <col min="7697" max="7698" width="11.125" style="2535" customWidth="1"/>
    <col min="7699" max="7699" width="1.5" style="2535" customWidth="1"/>
    <col min="7700" max="7705" width="11.125" style="2535" customWidth="1"/>
    <col min="7706" max="7706" width="1.5" style="2535" customWidth="1"/>
    <col min="7707" max="7707" width="10.25" style="2535" customWidth="1"/>
    <col min="7708" max="7709" width="11.125" style="2535" customWidth="1"/>
    <col min="7710" max="7710" width="1.5" style="2535" customWidth="1"/>
    <col min="7711" max="7711" width="3.25" style="2535" customWidth="1"/>
    <col min="7712" max="7713" width="11.125" style="2535" customWidth="1"/>
    <col min="7714" max="7714" width="1.5" style="2535" customWidth="1"/>
    <col min="7715" max="7720" width="11.125" style="2535" customWidth="1"/>
    <col min="7721" max="7721" width="1.5" style="2535" customWidth="1"/>
    <col min="7722" max="7722" width="10.25" style="2535" customWidth="1"/>
    <col min="7723" max="7724" width="11.125" style="2535" customWidth="1"/>
    <col min="7725" max="7725" width="1.5" style="2535" customWidth="1"/>
    <col min="7726" max="7727" width="6.875" style="2535"/>
    <col min="7728" max="7728" width="9.875" style="2535" customWidth="1"/>
    <col min="7729" max="7936" width="6.875" style="2535"/>
    <col min="7937" max="7937" width="3.25" style="2535" customWidth="1"/>
    <col min="7938" max="7939" width="11.125" style="2535" customWidth="1"/>
    <col min="7940" max="7940" width="1.5" style="2535" customWidth="1"/>
    <col min="7941" max="7946" width="11.125" style="2535" customWidth="1"/>
    <col min="7947" max="7947" width="1.5" style="2535" customWidth="1"/>
    <col min="7948" max="7948" width="10.25" style="2535" customWidth="1"/>
    <col min="7949" max="7950" width="11.125" style="2535" customWidth="1"/>
    <col min="7951" max="7951" width="1.5" style="2535" customWidth="1"/>
    <col min="7952" max="7952" width="3.25" style="2535" customWidth="1"/>
    <col min="7953" max="7954" width="11.125" style="2535" customWidth="1"/>
    <col min="7955" max="7955" width="1.5" style="2535" customWidth="1"/>
    <col min="7956" max="7961" width="11.125" style="2535" customWidth="1"/>
    <col min="7962" max="7962" width="1.5" style="2535" customWidth="1"/>
    <col min="7963" max="7963" width="10.25" style="2535" customWidth="1"/>
    <col min="7964" max="7965" width="11.125" style="2535" customWidth="1"/>
    <col min="7966" max="7966" width="1.5" style="2535" customWidth="1"/>
    <col min="7967" max="7967" width="3.25" style="2535" customWidth="1"/>
    <col min="7968" max="7969" width="11.125" style="2535" customWidth="1"/>
    <col min="7970" max="7970" width="1.5" style="2535" customWidth="1"/>
    <col min="7971" max="7976" width="11.125" style="2535" customWidth="1"/>
    <col min="7977" max="7977" width="1.5" style="2535" customWidth="1"/>
    <col min="7978" max="7978" width="10.25" style="2535" customWidth="1"/>
    <col min="7979" max="7980" width="11.125" style="2535" customWidth="1"/>
    <col min="7981" max="7981" width="1.5" style="2535" customWidth="1"/>
    <col min="7982" max="7983" width="6.875" style="2535"/>
    <col min="7984" max="7984" width="9.875" style="2535" customWidth="1"/>
    <col min="7985" max="8192" width="6.875" style="2535"/>
    <col min="8193" max="8193" width="3.25" style="2535" customWidth="1"/>
    <col min="8194" max="8195" width="11.125" style="2535" customWidth="1"/>
    <col min="8196" max="8196" width="1.5" style="2535" customWidth="1"/>
    <col min="8197" max="8202" width="11.125" style="2535" customWidth="1"/>
    <col min="8203" max="8203" width="1.5" style="2535" customWidth="1"/>
    <col min="8204" max="8204" width="10.25" style="2535" customWidth="1"/>
    <col min="8205" max="8206" width="11.125" style="2535" customWidth="1"/>
    <col min="8207" max="8207" width="1.5" style="2535" customWidth="1"/>
    <col min="8208" max="8208" width="3.25" style="2535" customWidth="1"/>
    <col min="8209" max="8210" width="11.125" style="2535" customWidth="1"/>
    <col min="8211" max="8211" width="1.5" style="2535" customWidth="1"/>
    <col min="8212" max="8217" width="11.125" style="2535" customWidth="1"/>
    <col min="8218" max="8218" width="1.5" style="2535" customWidth="1"/>
    <col min="8219" max="8219" width="10.25" style="2535" customWidth="1"/>
    <col min="8220" max="8221" width="11.125" style="2535" customWidth="1"/>
    <col min="8222" max="8222" width="1.5" style="2535" customWidth="1"/>
    <col min="8223" max="8223" width="3.25" style="2535" customWidth="1"/>
    <col min="8224" max="8225" width="11.125" style="2535" customWidth="1"/>
    <col min="8226" max="8226" width="1.5" style="2535" customWidth="1"/>
    <col min="8227" max="8232" width="11.125" style="2535" customWidth="1"/>
    <col min="8233" max="8233" width="1.5" style="2535" customWidth="1"/>
    <col min="8234" max="8234" width="10.25" style="2535" customWidth="1"/>
    <col min="8235" max="8236" width="11.125" style="2535" customWidth="1"/>
    <col min="8237" max="8237" width="1.5" style="2535" customWidth="1"/>
    <col min="8238" max="8239" width="6.875" style="2535"/>
    <col min="8240" max="8240" width="9.875" style="2535" customWidth="1"/>
    <col min="8241" max="8448" width="6.875" style="2535"/>
    <col min="8449" max="8449" width="3.25" style="2535" customWidth="1"/>
    <col min="8450" max="8451" width="11.125" style="2535" customWidth="1"/>
    <col min="8452" max="8452" width="1.5" style="2535" customWidth="1"/>
    <col min="8453" max="8458" width="11.125" style="2535" customWidth="1"/>
    <col min="8459" max="8459" width="1.5" style="2535" customWidth="1"/>
    <col min="8460" max="8460" width="10.25" style="2535" customWidth="1"/>
    <col min="8461" max="8462" width="11.125" style="2535" customWidth="1"/>
    <col min="8463" max="8463" width="1.5" style="2535" customWidth="1"/>
    <col min="8464" max="8464" width="3.25" style="2535" customWidth="1"/>
    <col min="8465" max="8466" width="11.125" style="2535" customWidth="1"/>
    <col min="8467" max="8467" width="1.5" style="2535" customWidth="1"/>
    <col min="8468" max="8473" width="11.125" style="2535" customWidth="1"/>
    <col min="8474" max="8474" width="1.5" style="2535" customWidth="1"/>
    <col min="8475" max="8475" width="10.25" style="2535" customWidth="1"/>
    <col min="8476" max="8477" width="11.125" style="2535" customWidth="1"/>
    <col min="8478" max="8478" width="1.5" style="2535" customWidth="1"/>
    <col min="8479" max="8479" width="3.25" style="2535" customWidth="1"/>
    <col min="8480" max="8481" width="11.125" style="2535" customWidth="1"/>
    <col min="8482" max="8482" width="1.5" style="2535" customWidth="1"/>
    <col min="8483" max="8488" width="11.125" style="2535" customWidth="1"/>
    <col min="8489" max="8489" width="1.5" style="2535" customWidth="1"/>
    <col min="8490" max="8490" width="10.25" style="2535" customWidth="1"/>
    <col min="8491" max="8492" width="11.125" style="2535" customWidth="1"/>
    <col min="8493" max="8493" width="1.5" style="2535" customWidth="1"/>
    <col min="8494" max="8495" width="6.875" style="2535"/>
    <col min="8496" max="8496" width="9.875" style="2535" customWidth="1"/>
    <col min="8497" max="8704" width="6.875" style="2535"/>
    <col min="8705" max="8705" width="3.25" style="2535" customWidth="1"/>
    <col min="8706" max="8707" width="11.125" style="2535" customWidth="1"/>
    <col min="8708" max="8708" width="1.5" style="2535" customWidth="1"/>
    <col min="8709" max="8714" width="11.125" style="2535" customWidth="1"/>
    <col min="8715" max="8715" width="1.5" style="2535" customWidth="1"/>
    <col min="8716" max="8716" width="10.25" style="2535" customWidth="1"/>
    <col min="8717" max="8718" width="11.125" style="2535" customWidth="1"/>
    <col min="8719" max="8719" width="1.5" style="2535" customWidth="1"/>
    <col min="8720" max="8720" width="3.25" style="2535" customWidth="1"/>
    <col min="8721" max="8722" width="11.125" style="2535" customWidth="1"/>
    <col min="8723" max="8723" width="1.5" style="2535" customWidth="1"/>
    <col min="8724" max="8729" width="11.125" style="2535" customWidth="1"/>
    <col min="8730" max="8730" width="1.5" style="2535" customWidth="1"/>
    <col min="8731" max="8731" width="10.25" style="2535" customWidth="1"/>
    <col min="8732" max="8733" width="11.125" style="2535" customWidth="1"/>
    <col min="8734" max="8734" width="1.5" style="2535" customWidth="1"/>
    <col min="8735" max="8735" width="3.25" style="2535" customWidth="1"/>
    <col min="8736" max="8737" width="11.125" style="2535" customWidth="1"/>
    <col min="8738" max="8738" width="1.5" style="2535" customWidth="1"/>
    <col min="8739" max="8744" width="11.125" style="2535" customWidth="1"/>
    <col min="8745" max="8745" width="1.5" style="2535" customWidth="1"/>
    <col min="8746" max="8746" width="10.25" style="2535" customWidth="1"/>
    <col min="8747" max="8748" width="11.125" style="2535" customWidth="1"/>
    <col min="8749" max="8749" width="1.5" style="2535" customWidth="1"/>
    <col min="8750" max="8751" width="6.875" style="2535"/>
    <col min="8752" max="8752" width="9.875" style="2535" customWidth="1"/>
    <col min="8753" max="8960" width="6.875" style="2535"/>
    <col min="8961" max="8961" width="3.25" style="2535" customWidth="1"/>
    <col min="8962" max="8963" width="11.125" style="2535" customWidth="1"/>
    <col min="8964" max="8964" width="1.5" style="2535" customWidth="1"/>
    <col min="8965" max="8970" width="11.125" style="2535" customWidth="1"/>
    <col min="8971" max="8971" width="1.5" style="2535" customWidth="1"/>
    <col min="8972" max="8972" width="10.25" style="2535" customWidth="1"/>
    <col min="8973" max="8974" width="11.125" style="2535" customWidth="1"/>
    <col min="8975" max="8975" width="1.5" style="2535" customWidth="1"/>
    <col min="8976" max="8976" width="3.25" style="2535" customWidth="1"/>
    <col min="8977" max="8978" width="11.125" style="2535" customWidth="1"/>
    <col min="8979" max="8979" width="1.5" style="2535" customWidth="1"/>
    <col min="8980" max="8985" width="11.125" style="2535" customWidth="1"/>
    <col min="8986" max="8986" width="1.5" style="2535" customWidth="1"/>
    <col min="8987" max="8987" width="10.25" style="2535" customWidth="1"/>
    <col min="8988" max="8989" width="11.125" style="2535" customWidth="1"/>
    <col min="8990" max="8990" width="1.5" style="2535" customWidth="1"/>
    <col min="8991" max="8991" width="3.25" style="2535" customWidth="1"/>
    <col min="8992" max="8993" width="11.125" style="2535" customWidth="1"/>
    <col min="8994" max="8994" width="1.5" style="2535" customWidth="1"/>
    <col min="8995" max="9000" width="11.125" style="2535" customWidth="1"/>
    <col min="9001" max="9001" width="1.5" style="2535" customWidth="1"/>
    <col min="9002" max="9002" width="10.25" style="2535" customWidth="1"/>
    <col min="9003" max="9004" width="11.125" style="2535" customWidth="1"/>
    <col min="9005" max="9005" width="1.5" style="2535" customWidth="1"/>
    <col min="9006" max="9007" width="6.875" style="2535"/>
    <col min="9008" max="9008" width="9.875" style="2535" customWidth="1"/>
    <col min="9009" max="9216" width="6.875" style="2535"/>
    <col min="9217" max="9217" width="3.25" style="2535" customWidth="1"/>
    <col min="9218" max="9219" width="11.125" style="2535" customWidth="1"/>
    <col min="9220" max="9220" width="1.5" style="2535" customWidth="1"/>
    <col min="9221" max="9226" width="11.125" style="2535" customWidth="1"/>
    <col min="9227" max="9227" width="1.5" style="2535" customWidth="1"/>
    <col min="9228" max="9228" width="10.25" style="2535" customWidth="1"/>
    <col min="9229" max="9230" width="11.125" style="2535" customWidth="1"/>
    <col min="9231" max="9231" width="1.5" style="2535" customWidth="1"/>
    <col min="9232" max="9232" width="3.25" style="2535" customWidth="1"/>
    <col min="9233" max="9234" width="11.125" style="2535" customWidth="1"/>
    <col min="9235" max="9235" width="1.5" style="2535" customWidth="1"/>
    <col min="9236" max="9241" width="11.125" style="2535" customWidth="1"/>
    <col min="9242" max="9242" width="1.5" style="2535" customWidth="1"/>
    <col min="9243" max="9243" width="10.25" style="2535" customWidth="1"/>
    <col min="9244" max="9245" width="11.125" style="2535" customWidth="1"/>
    <col min="9246" max="9246" width="1.5" style="2535" customWidth="1"/>
    <col min="9247" max="9247" width="3.25" style="2535" customWidth="1"/>
    <col min="9248" max="9249" width="11.125" style="2535" customWidth="1"/>
    <col min="9250" max="9250" width="1.5" style="2535" customWidth="1"/>
    <col min="9251" max="9256" width="11.125" style="2535" customWidth="1"/>
    <col min="9257" max="9257" width="1.5" style="2535" customWidth="1"/>
    <col min="9258" max="9258" width="10.25" style="2535" customWidth="1"/>
    <col min="9259" max="9260" width="11.125" style="2535" customWidth="1"/>
    <col min="9261" max="9261" width="1.5" style="2535" customWidth="1"/>
    <col min="9262" max="9263" width="6.875" style="2535"/>
    <col min="9264" max="9264" width="9.875" style="2535" customWidth="1"/>
    <col min="9265" max="9472" width="6.875" style="2535"/>
    <col min="9473" max="9473" width="3.25" style="2535" customWidth="1"/>
    <col min="9474" max="9475" width="11.125" style="2535" customWidth="1"/>
    <col min="9476" max="9476" width="1.5" style="2535" customWidth="1"/>
    <col min="9477" max="9482" width="11.125" style="2535" customWidth="1"/>
    <col min="9483" max="9483" width="1.5" style="2535" customWidth="1"/>
    <col min="9484" max="9484" width="10.25" style="2535" customWidth="1"/>
    <col min="9485" max="9486" width="11.125" style="2535" customWidth="1"/>
    <col min="9487" max="9487" width="1.5" style="2535" customWidth="1"/>
    <col min="9488" max="9488" width="3.25" style="2535" customWidth="1"/>
    <col min="9489" max="9490" width="11.125" style="2535" customWidth="1"/>
    <col min="9491" max="9491" width="1.5" style="2535" customWidth="1"/>
    <col min="9492" max="9497" width="11.125" style="2535" customWidth="1"/>
    <col min="9498" max="9498" width="1.5" style="2535" customWidth="1"/>
    <col min="9499" max="9499" width="10.25" style="2535" customWidth="1"/>
    <col min="9500" max="9501" width="11.125" style="2535" customWidth="1"/>
    <col min="9502" max="9502" width="1.5" style="2535" customWidth="1"/>
    <col min="9503" max="9503" width="3.25" style="2535" customWidth="1"/>
    <col min="9504" max="9505" width="11.125" style="2535" customWidth="1"/>
    <col min="9506" max="9506" width="1.5" style="2535" customWidth="1"/>
    <col min="9507" max="9512" width="11.125" style="2535" customWidth="1"/>
    <col min="9513" max="9513" width="1.5" style="2535" customWidth="1"/>
    <col min="9514" max="9514" width="10.25" style="2535" customWidth="1"/>
    <col min="9515" max="9516" width="11.125" style="2535" customWidth="1"/>
    <col min="9517" max="9517" width="1.5" style="2535" customWidth="1"/>
    <col min="9518" max="9519" width="6.875" style="2535"/>
    <col min="9520" max="9520" width="9.875" style="2535" customWidth="1"/>
    <col min="9521" max="9728" width="6.875" style="2535"/>
    <col min="9729" max="9729" width="3.25" style="2535" customWidth="1"/>
    <col min="9730" max="9731" width="11.125" style="2535" customWidth="1"/>
    <col min="9732" max="9732" width="1.5" style="2535" customWidth="1"/>
    <col min="9733" max="9738" width="11.125" style="2535" customWidth="1"/>
    <col min="9739" max="9739" width="1.5" style="2535" customWidth="1"/>
    <col min="9740" max="9740" width="10.25" style="2535" customWidth="1"/>
    <col min="9741" max="9742" width="11.125" style="2535" customWidth="1"/>
    <col min="9743" max="9743" width="1.5" style="2535" customWidth="1"/>
    <col min="9744" max="9744" width="3.25" style="2535" customWidth="1"/>
    <col min="9745" max="9746" width="11.125" style="2535" customWidth="1"/>
    <col min="9747" max="9747" width="1.5" style="2535" customWidth="1"/>
    <col min="9748" max="9753" width="11.125" style="2535" customWidth="1"/>
    <col min="9754" max="9754" width="1.5" style="2535" customWidth="1"/>
    <col min="9755" max="9755" width="10.25" style="2535" customWidth="1"/>
    <col min="9756" max="9757" width="11.125" style="2535" customWidth="1"/>
    <col min="9758" max="9758" width="1.5" style="2535" customWidth="1"/>
    <col min="9759" max="9759" width="3.25" style="2535" customWidth="1"/>
    <col min="9760" max="9761" width="11.125" style="2535" customWidth="1"/>
    <col min="9762" max="9762" width="1.5" style="2535" customWidth="1"/>
    <col min="9763" max="9768" width="11.125" style="2535" customWidth="1"/>
    <col min="9769" max="9769" width="1.5" style="2535" customWidth="1"/>
    <col min="9770" max="9770" width="10.25" style="2535" customWidth="1"/>
    <col min="9771" max="9772" width="11.125" style="2535" customWidth="1"/>
    <col min="9773" max="9773" width="1.5" style="2535" customWidth="1"/>
    <col min="9774" max="9775" width="6.875" style="2535"/>
    <col min="9776" max="9776" width="9.875" style="2535" customWidth="1"/>
    <col min="9777" max="9984" width="6.875" style="2535"/>
    <col min="9985" max="9985" width="3.25" style="2535" customWidth="1"/>
    <col min="9986" max="9987" width="11.125" style="2535" customWidth="1"/>
    <col min="9988" max="9988" width="1.5" style="2535" customWidth="1"/>
    <col min="9989" max="9994" width="11.125" style="2535" customWidth="1"/>
    <col min="9995" max="9995" width="1.5" style="2535" customWidth="1"/>
    <col min="9996" max="9996" width="10.25" style="2535" customWidth="1"/>
    <col min="9997" max="9998" width="11.125" style="2535" customWidth="1"/>
    <col min="9999" max="9999" width="1.5" style="2535" customWidth="1"/>
    <col min="10000" max="10000" width="3.25" style="2535" customWidth="1"/>
    <col min="10001" max="10002" width="11.125" style="2535" customWidth="1"/>
    <col min="10003" max="10003" width="1.5" style="2535" customWidth="1"/>
    <col min="10004" max="10009" width="11.125" style="2535" customWidth="1"/>
    <col min="10010" max="10010" width="1.5" style="2535" customWidth="1"/>
    <col min="10011" max="10011" width="10.25" style="2535" customWidth="1"/>
    <col min="10012" max="10013" width="11.125" style="2535" customWidth="1"/>
    <col min="10014" max="10014" width="1.5" style="2535" customWidth="1"/>
    <col min="10015" max="10015" width="3.25" style="2535" customWidth="1"/>
    <col min="10016" max="10017" width="11.125" style="2535" customWidth="1"/>
    <col min="10018" max="10018" width="1.5" style="2535" customWidth="1"/>
    <col min="10019" max="10024" width="11.125" style="2535" customWidth="1"/>
    <col min="10025" max="10025" width="1.5" style="2535" customWidth="1"/>
    <col min="10026" max="10026" width="10.25" style="2535" customWidth="1"/>
    <col min="10027" max="10028" width="11.125" style="2535" customWidth="1"/>
    <col min="10029" max="10029" width="1.5" style="2535" customWidth="1"/>
    <col min="10030" max="10031" width="6.875" style="2535"/>
    <col min="10032" max="10032" width="9.875" style="2535" customWidth="1"/>
    <col min="10033" max="10240" width="6.875" style="2535"/>
    <col min="10241" max="10241" width="3.25" style="2535" customWidth="1"/>
    <col min="10242" max="10243" width="11.125" style="2535" customWidth="1"/>
    <col min="10244" max="10244" width="1.5" style="2535" customWidth="1"/>
    <col min="10245" max="10250" width="11.125" style="2535" customWidth="1"/>
    <col min="10251" max="10251" width="1.5" style="2535" customWidth="1"/>
    <col min="10252" max="10252" width="10.25" style="2535" customWidth="1"/>
    <col min="10253" max="10254" width="11.125" style="2535" customWidth="1"/>
    <col min="10255" max="10255" width="1.5" style="2535" customWidth="1"/>
    <col min="10256" max="10256" width="3.25" style="2535" customWidth="1"/>
    <col min="10257" max="10258" width="11.125" style="2535" customWidth="1"/>
    <col min="10259" max="10259" width="1.5" style="2535" customWidth="1"/>
    <col min="10260" max="10265" width="11.125" style="2535" customWidth="1"/>
    <col min="10266" max="10266" width="1.5" style="2535" customWidth="1"/>
    <col min="10267" max="10267" width="10.25" style="2535" customWidth="1"/>
    <col min="10268" max="10269" width="11.125" style="2535" customWidth="1"/>
    <col min="10270" max="10270" width="1.5" style="2535" customWidth="1"/>
    <col min="10271" max="10271" width="3.25" style="2535" customWidth="1"/>
    <col min="10272" max="10273" width="11.125" style="2535" customWidth="1"/>
    <col min="10274" max="10274" width="1.5" style="2535" customWidth="1"/>
    <col min="10275" max="10280" width="11.125" style="2535" customWidth="1"/>
    <col min="10281" max="10281" width="1.5" style="2535" customWidth="1"/>
    <col min="10282" max="10282" width="10.25" style="2535" customWidth="1"/>
    <col min="10283" max="10284" width="11.125" style="2535" customWidth="1"/>
    <col min="10285" max="10285" width="1.5" style="2535" customWidth="1"/>
    <col min="10286" max="10287" width="6.875" style="2535"/>
    <col min="10288" max="10288" width="9.875" style="2535" customWidth="1"/>
    <col min="10289" max="10496" width="6.875" style="2535"/>
    <col min="10497" max="10497" width="3.25" style="2535" customWidth="1"/>
    <col min="10498" max="10499" width="11.125" style="2535" customWidth="1"/>
    <col min="10500" max="10500" width="1.5" style="2535" customWidth="1"/>
    <col min="10501" max="10506" width="11.125" style="2535" customWidth="1"/>
    <col min="10507" max="10507" width="1.5" style="2535" customWidth="1"/>
    <col min="10508" max="10508" width="10.25" style="2535" customWidth="1"/>
    <col min="10509" max="10510" width="11.125" style="2535" customWidth="1"/>
    <col min="10511" max="10511" width="1.5" style="2535" customWidth="1"/>
    <col min="10512" max="10512" width="3.25" style="2535" customWidth="1"/>
    <col min="10513" max="10514" width="11.125" style="2535" customWidth="1"/>
    <col min="10515" max="10515" width="1.5" style="2535" customWidth="1"/>
    <col min="10516" max="10521" width="11.125" style="2535" customWidth="1"/>
    <col min="10522" max="10522" width="1.5" style="2535" customWidth="1"/>
    <col min="10523" max="10523" width="10.25" style="2535" customWidth="1"/>
    <col min="10524" max="10525" width="11.125" style="2535" customWidth="1"/>
    <col min="10526" max="10526" width="1.5" style="2535" customWidth="1"/>
    <col min="10527" max="10527" width="3.25" style="2535" customWidth="1"/>
    <col min="10528" max="10529" width="11.125" style="2535" customWidth="1"/>
    <col min="10530" max="10530" width="1.5" style="2535" customWidth="1"/>
    <col min="10531" max="10536" width="11.125" style="2535" customWidth="1"/>
    <col min="10537" max="10537" width="1.5" style="2535" customWidth="1"/>
    <col min="10538" max="10538" width="10.25" style="2535" customWidth="1"/>
    <col min="10539" max="10540" width="11.125" style="2535" customWidth="1"/>
    <col min="10541" max="10541" width="1.5" style="2535" customWidth="1"/>
    <col min="10542" max="10543" width="6.875" style="2535"/>
    <col min="10544" max="10544" width="9.875" style="2535" customWidth="1"/>
    <col min="10545" max="10752" width="6.875" style="2535"/>
    <col min="10753" max="10753" width="3.25" style="2535" customWidth="1"/>
    <col min="10754" max="10755" width="11.125" style="2535" customWidth="1"/>
    <col min="10756" max="10756" width="1.5" style="2535" customWidth="1"/>
    <col min="10757" max="10762" width="11.125" style="2535" customWidth="1"/>
    <col min="10763" max="10763" width="1.5" style="2535" customWidth="1"/>
    <col min="10764" max="10764" width="10.25" style="2535" customWidth="1"/>
    <col min="10765" max="10766" width="11.125" style="2535" customWidth="1"/>
    <col min="10767" max="10767" width="1.5" style="2535" customWidth="1"/>
    <col min="10768" max="10768" width="3.25" style="2535" customWidth="1"/>
    <col min="10769" max="10770" width="11.125" style="2535" customWidth="1"/>
    <col min="10771" max="10771" width="1.5" style="2535" customWidth="1"/>
    <col min="10772" max="10777" width="11.125" style="2535" customWidth="1"/>
    <col min="10778" max="10778" width="1.5" style="2535" customWidth="1"/>
    <col min="10779" max="10779" width="10.25" style="2535" customWidth="1"/>
    <col min="10780" max="10781" width="11.125" style="2535" customWidth="1"/>
    <col min="10782" max="10782" width="1.5" style="2535" customWidth="1"/>
    <col min="10783" max="10783" width="3.25" style="2535" customWidth="1"/>
    <col min="10784" max="10785" width="11.125" style="2535" customWidth="1"/>
    <col min="10786" max="10786" width="1.5" style="2535" customWidth="1"/>
    <col min="10787" max="10792" width="11.125" style="2535" customWidth="1"/>
    <col min="10793" max="10793" width="1.5" style="2535" customWidth="1"/>
    <col min="10794" max="10794" width="10.25" style="2535" customWidth="1"/>
    <col min="10795" max="10796" width="11.125" style="2535" customWidth="1"/>
    <col min="10797" max="10797" width="1.5" style="2535" customWidth="1"/>
    <col min="10798" max="10799" width="6.875" style="2535"/>
    <col min="10800" max="10800" width="9.875" style="2535" customWidth="1"/>
    <col min="10801" max="11008" width="6.875" style="2535"/>
    <col min="11009" max="11009" width="3.25" style="2535" customWidth="1"/>
    <col min="11010" max="11011" width="11.125" style="2535" customWidth="1"/>
    <col min="11012" max="11012" width="1.5" style="2535" customWidth="1"/>
    <col min="11013" max="11018" width="11.125" style="2535" customWidth="1"/>
    <col min="11019" max="11019" width="1.5" style="2535" customWidth="1"/>
    <col min="11020" max="11020" width="10.25" style="2535" customWidth="1"/>
    <col min="11021" max="11022" width="11.125" style="2535" customWidth="1"/>
    <col min="11023" max="11023" width="1.5" style="2535" customWidth="1"/>
    <col min="11024" max="11024" width="3.25" style="2535" customWidth="1"/>
    <col min="11025" max="11026" width="11.125" style="2535" customWidth="1"/>
    <col min="11027" max="11027" width="1.5" style="2535" customWidth="1"/>
    <col min="11028" max="11033" width="11.125" style="2535" customWidth="1"/>
    <col min="11034" max="11034" width="1.5" style="2535" customWidth="1"/>
    <col min="11035" max="11035" width="10.25" style="2535" customWidth="1"/>
    <col min="11036" max="11037" width="11.125" style="2535" customWidth="1"/>
    <col min="11038" max="11038" width="1.5" style="2535" customWidth="1"/>
    <col min="11039" max="11039" width="3.25" style="2535" customWidth="1"/>
    <col min="11040" max="11041" width="11.125" style="2535" customWidth="1"/>
    <col min="11042" max="11042" width="1.5" style="2535" customWidth="1"/>
    <col min="11043" max="11048" width="11.125" style="2535" customWidth="1"/>
    <col min="11049" max="11049" width="1.5" style="2535" customWidth="1"/>
    <col min="11050" max="11050" width="10.25" style="2535" customWidth="1"/>
    <col min="11051" max="11052" width="11.125" style="2535" customWidth="1"/>
    <col min="11053" max="11053" width="1.5" style="2535" customWidth="1"/>
    <col min="11054" max="11055" width="6.875" style="2535"/>
    <col min="11056" max="11056" width="9.875" style="2535" customWidth="1"/>
    <col min="11057" max="11264" width="6.875" style="2535"/>
    <col min="11265" max="11265" width="3.25" style="2535" customWidth="1"/>
    <col min="11266" max="11267" width="11.125" style="2535" customWidth="1"/>
    <col min="11268" max="11268" width="1.5" style="2535" customWidth="1"/>
    <col min="11269" max="11274" width="11.125" style="2535" customWidth="1"/>
    <col min="11275" max="11275" width="1.5" style="2535" customWidth="1"/>
    <col min="11276" max="11276" width="10.25" style="2535" customWidth="1"/>
    <col min="11277" max="11278" width="11.125" style="2535" customWidth="1"/>
    <col min="11279" max="11279" width="1.5" style="2535" customWidth="1"/>
    <col min="11280" max="11280" width="3.25" style="2535" customWidth="1"/>
    <col min="11281" max="11282" width="11.125" style="2535" customWidth="1"/>
    <col min="11283" max="11283" width="1.5" style="2535" customWidth="1"/>
    <col min="11284" max="11289" width="11.125" style="2535" customWidth="1"/>
    <col min="11290" max="11290" width="1.5" style="2535" customWidth="1"/>
    <col min="11291" max="11291" width="10.25" style="2535" customWidth="1"/>
    <col min="11292" max="11293" width="11.125" style="2535" customWidth="1"/>
    <col min="11294" max="11294" width="1.5" style="2535" customWidth="1"/>
    <col min="11295" max="11295" width="3.25" style="2535" customWidth="1"/>
    <col min="11296" max="11297" width="11.125" style="2535" customWidth="1"/>
    <col min="11298" max="11298" width="1.5" style="2535" customWidth="1"/>
    <col min="11299" max="11304" width="11.125" style="2535" customWidth="1"/>
    <col min="11305" max="11305" width="1.5" style="2535" customWidth="1"/>
    <col min="11306" max="11306" width="10.25" style="2535" customWidth="1"/>
    <col min="11307" max="11308" width="11.125" style="2535" customWidth="1"/>
    <col min="11309" max="11309" width="1.5" style="2535" customWidth="1"/>
    <col min="11310" max="11311" width="6.875" style="2535"/>
    <col min="11312" max="11312" width="9.875" style="2535" customWidth="1"/>
    <col min="11313" max="11520" width="6.875" style="2535"/>
    <col min="11521" max="11521" width="3.25" style="2535" customWidth="1"/>
    <col min="11522" max="11523" width="11.125" style="2535" customWidth="1"/>
    <col min="11524" max="11524" width="1.5" style="2535" customWidth="1"/>
    <col min="11525" max="11530" width="11.125" style="2535" customWidth="1"/>
    <col min="11531" max="11531" width="1.5" style="2535" customWidth="1"/>
    <col min="11532" max="11532" width="10.25" style="2535" customWidth="1"/>
    <col min="11533" max="11534" width="11.125" style="2535" customWidth="1"/>
    <col min="11535" max="11535" width="1.5" style="2535" customWidth="1"/>
    <col min="11536" max="11536" width="3.25" style="2535" customWidth="1"/>
    <col min="11537" max="11538" width="11.125" style="2535" customWidth="1"/>
    <col min="11539" max="11539" width="1.5" style="2535" customWidth="1"/>
    <col min="11540" max="11545" width="11.125" style="2535" customWidth="1"/>
    <col min="11546" max="11546" width="1.5" style="2535" customWidth="1"/>
    <col min="11547" max="11547" width="10.25" style="2535" customWidth="1"/>
    <col min="11548" max="11549" width="11.125" style="2535" customWidth="1"/>
    <col min="11550" max="11550" width="1.5" style="2535" customWidth="1"/>
    <col min="11551" max="11551" width="3.25" style="2535" customWidth="1"/>
    <col min="11552" max="11553" width="11.125" style="2535" customWidth="1"/>
    <col min="11554" max="11554" width="1.5" style="2535" customWidth="1"/>
    <col min="11555" max="11560" width="11.125" style="2535" customWidth="1"/>
    <col min="11561" max="11561" width="1.5" style="2535" customWidth="1"/>
    <col min="11562" max="11562" width="10.25" style="2535" customWidth="1"/>
    <col min="11563" max="11564" width="11.125" style="2535" customWidth="1"/>
    <col min="11565" max="11565" width="1.5" style="2535" customWidth="1"/>
    <col min="11566" max="11567" width="6.875" style="2535"/>
    <col min="11568" max="11568" width="9.875" style="2535" customWidth="1"/>
    <col min="11569" max="11776" width="6.875" style="2535"/>
    <col min="11777" max="11777" width="3.25" style="2535" customWidth="1"/>
    <col min="11778" max="11779" width="11.125" style="2535" customWidth="1"/>
    <col min="11780" max="11780" width="1.5" style="2535" customWidth="1"/>
    <col min="11781" max="11786" width="11.125" style="2535" customWidth="1"/>
    <col min="11787" max="11787" width="1.5" style="2535" customWidth="1"/>
    <col min="11788" max="11788" width="10.25" style="2535" customWidth="1"/>
    <col min="11789" max="11790" width="11.125" style="2535" customWidth="1"/>
    <col min="11791" max="11791" width="1.5" style="2535" customWidth="1"/>
    <col min="11792" max="11792" width="3.25" style="2535" customWidth="1"/>
    <col min="11793" max="11794" width="11.125" style="2535" customWidth="1"/>
    <col min="11795" max="11795" width="1.5" style="2535" customWidth="1"/>
    <col min="11796" max="11801" width="11.125" style="2535" customWidth="1"/>
    <col min="11802" max="11802" width="1.5" style="2535" customWidth="1"/>
    <col min="11803" max="11803" width="10.25" style="2535" customWidth="1"/>
    <col min="11804" max="11805" width="11.125" style="2535" customWidth="1"/>
    <col min="11806" max="11806" width="1.5" style="2535" customWidth="1"/>
    <col min="11807" max="11807" width="3.25" style="2535" customWidth="1"/>
    <col min="11808" max="11809" width="11.125" style="2535" customWidth="1"/>
    <col min="11810" max="11810" width="1.5" style="2535" customWidth="1"/>
    <col min="11811" max="11816" width="11.125" style="2535" customWidth="1"/>
    <col min="11817" max="11817" width="1.5" style="2535" customWidth="1"/>
    <col min="11818" max="11818" width="10.25" style="2535" customWidth="1"/>
    <col min="11819" max="11820" width="11.125" style="2535" customWidth="1"/>
    <col min="11821" max="11821" width="1.5" style="2535" customWidth="1"/>
    <col min="11822" max="11823" width="6.875" style="2535"/>
    <col min="11824" max="11824" width="9.875" style="2535" customWidth="1"/>
    <col min="11825" max="12032" width="6.875" style="2535"/>
    <col min="12033" max="12033" width="3.25" style="2535" customWidth="1"/>
    <col min="12034" max="12035" width="11.125" style="2535" customWidth="1"/>
    <col min="12036" max="12036" width="1.5" style="2535" customWidth="1"/>
    <col min="12037" max="12042" width="11.125" style="2535" customWidth="1"/>
    <col min="12043" max="12043" width="1.5" style="2535" customWidth="1"/>
    <col min="12044" max="12044" width="10.25" style="2535" customWidth="1"/>
    <col min="12045" max="12046" width="11.125" style="2535" customWidth="1"/>
    <col min="12047" max="12047" width="1.5" style="2535" customWidth="1"/>
    <col min="12048" max="12048" width="3.25" style="2535" customWidth="1"/>
    <col min="12049" max="12050" width="11.125" style="2535" customWidth="1"/>
    <col min="12051" max="12051" width="1.5" style="2535" customWidth="1"/>
    <col min="12052" max="12057" width="11.125" style="2535" customWidth="1"/>
    <col min="12058" max="12058" width="1.5" style="2535" customWidth="1"/>
    <col min="12059" max="12059" width="10.25" style="2535" customWidth="1"/>
    <col min="12060" max="12061" width="11.125" style="2535" customWidth="1"/>
    <col min="12062" max="12062" width="1.5" style="2535" customWidth="1"/>
    <col min="12063" max="12063" width="3.25" style="2535" customWidth="1"/>
    <col min="12064" max="12065" width="11.125" style="2535" customWidth="1"/>
    <col min="12066" max="12066" width="1.5" style="2535" customWidth="1"/>
    <col min="12067" max="12072" width="11.125" style="2535" customWidth="1"/>
    <col min="12073" max="12073" width="1.5" style="2535" customWidth="1"/>
    <col min="12074" max="12074" width="10.25" style="2535" customWidth="1"/>
    <col min="12075" max="12076" width="11.125" style="2535" customWidth="1"/>
    <col min="12077" max="12077" width="1.5" style="2535" customWidth="1"/>
    <col min="12078" max="12079" width="6.875" style="2535"/>
    <col min="12080" max="12080" width="9.875" style="2535" customWidth="1"/>
    <col min="12081" max="12288" width="6.875" style="2535"/>
    <col min="12289" max="12289" width="3.25" style="2535" customWidth="1"/>
    <col min="12290" max="12291" width="11.125" style="2535" customWidth="1"/>
    <col min="12292" max="12292" width="1.5" style="2535" customWidth="1"/>
    <col min="12293" max="12298" width="11.125" style="2535" customWidth="1"/>
    <col min="12299" max="12299" width="1.5" style="2535" customWidth="1"/>
    <col min="12300" max="12300" width="10.25" style="2535" customWidth="1"/>
    <col min="12301" max="12302" width="11.125" style="2535" customWidth="1"/>
    <col min="12303" max="12303" width="1.5" style="2535" customWidth="1"/>
    <col min="12304" max="12304" width="3.25" style="2535" customWidth="1"/>
    <col min="12305" max="12306" width="11.125" style="2535" customWidth="1"/>
    <col min="12307" max="12307" width="1.5" style="2535" customWidth="1"/>
    <col min="12308" max="12313" width="11.125" style="2535" customWidth="1"/>
    <col min="12314" max="12314" width="1.5" style="2535" customWidth="1"/>
    <col min="12315" max="12315" width="10.25" style="2535" customWidth="1"/>
    <col min="12316" max="12317" width="11.125" style="2535" customWidth="1"/>
    <col min="12318" max="12318" width="1.5" style="2535" customWidth="1"/>
    <col min="12319" max="12319" width="3.25" style="2535" customWidth="1"/>
    <col min="12320" max="12321" width="11.125" style="2535" customWidth="1"/>
    <col min="12322" max="12322" width="1.5" style="2535" customWidth="1"/>
    <col min="12323" max="12328" width="11.125" style="2535" customWidth="1"/>
    <col min="12329" max="12329" width="1.5" style="2535" customWidth="1"/>
    <col min="12330" max="12330" width="10.25" style="2535" customWidth="1"/>
    <col min="12331" max="12332" width="11.125" style="2535" customWidth="1"/>
    <col min="12333" max="12333" width="1.5" style="2535" customWidth="1"/>
    <col min="12334" max="12335" width="6.875" style="2535"/>
    <col min="12336" max="12336" width="9.875" style="2535" customWidth="1"/>
    <col min="12337" max="12544" width="6.875" style="2535"/>
    <col min="12545" max="12545" width="3.25" style="2535" customWidth="1"/>
    <col min="12546" max="12547" width="11.125" style="2535" customWidth="1"/>
    <col min="12548" max="12548" width="1.5" style="2535" customWidth="1"/>
    <col min="12549" max="12554" width="11.125" style="2535" customWidth="1"/>
    <col min="12555" max="12555" width="1.5" style="2535" customWidth="1"/>
    <col min="12556" max="12556" width="10.25" style="2535" customWidth="1"/>
    <col min="12557" max="12558" width="11.125" style="2535" customWidth="1"/>
    <col min="12559" max="12559" width="1.5" style="2535" customWidth="1"/>
    <col min="12560" max="12560" width="3.25" style="2535" customWidth="1"/>
    <col min="12561" max="12562" width="11.125" style="2535" customWidth="1"/>
    <col min="12563" max="12563" width="1.5" style="2535" customWidth="1"/>
    <col min="12564" max="12569" width="11.125" style="2535" customWidth="1"/>
    <col min="12570" max="12570" width="1.5" style="2535" customWidth="1"/>
    <col min="12571" max="12571" width="10.25" style="2535" customWidth="1"/>
    <col min="12572" max="12573" width="11.125" style="2535" customWidth="1"/>
    <col min="12574" max="12574" width="1.5" style="2535" customWidth="1"/>
    <col min="12575" max="12575" width="3.25" style="2535" customWidth="1"/>
    <col min="12576" max="12577" width="11.125" style="2535" customWidth="1"/>
    <col min="12578" max="12578" width="1.5" style="2535" customWidth="1"/>
    <col min="12579" max="12584" width="11.125" style="2535" customWidth="1"/>
    <col min="12585" max="12585" width="1.5" style="2535" customWidth="1"/>
    <col min="12586" max="12586" width="10.25" style="2535" customWidth="1"/>
    <col min="12587" max="12588" width="11.125" style="2535" customWidth="1"/>
    <col min="12589" max="12589" width="1.5" style="2535" customWidth="1"/>
    <col min="12590" max="12591" width="6.875" style="2535"/>
    <col min="12592" max="12592" width="9.875" style="2535" customWidth="1"/>
    <col min="12593" max="12800" width="6.875" style="2535"/>
    <col min="12801" max="12801" width="3.25" style="2535" customWidth="1"/>
    <col min="12802" max="12803" width="11.125" style="2535" customWidth="1"/>
    <col min="12804" max="12804" width="1.5" style="2535" customWidth="1"/>
    <col min="12805" max="12810" width="11.125" style="2535" customWidth="1"/>
    <col min="12811" max="12811" width="1.5" style="2535" customWidth="1"/>
    <col min="12812" max="12812" width="10.25" style="2535" customWidth="1"/>
    <col min="12813" max="12814" width="11.125" style="2535" customWidth="1"/>
    <col min="12815" max="12815" width="1.5" style="2535" customWidth="1"/>
    <col min="12816" max="12816" width="3.25" style="2535" customWidth="1"/>
    <col min="12817" max="12818" width="11.125" style="2535" customWidth="1"/>
    <col min="12819" max="12819" width="1.5" style="2535" customWidth="1"/>
    <col min="12820" max="12825" width="11.125" style="2535" customWidth="1"/>
    <col min="12826" max="12826" width="1.5" style="2535" customWidth="1"/>
    <col min="12827" max="12827" width="10.25" style="2535" customWidth="1"/>
    <col min="12828" max="12829" width="11.125" style="2535" customWidth="1"/>
    <col min="12830" max="12830" width="1.5" style="2535" customWidth="1"/>
    <col min="12831" max="12831" width="3.25" style="2535" customWidth="1"/>
    <col min="12832" max="12833" width="11.125" style="2535" customWidth="1"/>
    <col min="12834" max="12834" width="1.5" style="2535" customWidth="1"/>
    <col min="12835" max="12840" width="11.125" style="2535" customWidth="1"/>
    <col min="12841" max="12841" width="1.5" style="2535" customWidth="1"/>
    <col min="12842" max="12842" width="10.25" style="2535" customWidth="1"/>
    <col min="12843" max="12844" width="11.125" style="2535" customWidth="1"/>
    <col min="12845" max="12845" width="1.5" style="2535" customWidth="1"/>
    <col min="12846" max="12847" width="6.875" style="2535"/>
    <col min="12848" max="12848" width="9.875" style="2535" customWidth="1"/>
    <col min="12849" max="13056" width="6.875" style="2535"/>
    <col min="13057" max="13057" width="3.25" style="2535" customWidth="1"/>
    <col min="13058" max="13059" width="11.125" style="2535" customWidth="1"/>
    <col min="13060" max="13060" width="1.5" style="2535" customWidth="1"/>
    <col min="13061" max="13066" width="11.125" style="2535" customWidth="1"/>
    <col min="13067" max="13067" width="1.5" style="2535" customWidth="1"/>
    <col min="13068" max="13068" width="10.25" style="2535" customWidth="1"/>
    <col min="13069" max="13070" width="11.125" style="2535" customWidth="1"/>
    <col min="13071" max="13071" width="1.5" style="2535" customWidth="1"/>
    <col min="13072" max="13072" width="3.25" style="2535" customWidth="1"/>
    <col min="13073" max="13074" width="11.125" style="2535" customWidth="1"/>
    <col min="13075" max="13075" width="1.5" style="2535" customWidth="1"/>
    <col min="13076" max="13081" width="11.125" style="2535" customWidth="1"/>
    <col min="13082" max="13082" width="1.5" style="2535" customWidth="1"/>
    <col min="13083" max="13083" width="10.25" style="2535" customWidth="1"/>
    <col min="13084" max="13085" width="11.125" style="2535" customWidth="1"/>
    <col min="13086" max="13086" width="1.5" style="2535" customWidth="1"/>
    <col min="13087" max="13087" width="3.25" style="2535" customWidth="1"/>
    <col min="13088" max="13089" width="11.125" style="2535" customWidth="1"/>
    <col min="13090" max="13090" width="1.5" style="2535" customWidth="1"/>
    <col min="13091" max="13096" width="11.125" style="2535" customWidth="1"/>
    <col min="13097" max="13097" width="1.5" style="2535" customWidth="1"/>
    <col min="13098" max="13098" width="10.25" style="2535" customWidth="1"/>
    <col min="13099" max="13100" width="11.125" style="2535" customWidth="1"/>
    <col min="13101" max="13101" width="1.5" style="2535" customWidth="1"/>
    <col min="13102" max="13103" width="6.875" style="2535"/>
    <col min="13104" max="13104" width="9.875" style="2535" customWidth="1"/>
    <col min="13105" max="13312" width="6.875" style="2535"/>
    <col min="13313" max="13313" width="3.25" style="2535" customWidth="1"/>
    <col min="13314" max="13315" width="11.125" style="2535" customWidth="1"/>
    <col min="13316" max="13316" width="1.5" style="2535" customWidth="1"/>
    <col min="13317" max="13322" width="11.125" style="2535" customWidth="1"/>
    <col min="13323" max="13323" width="1.5" style="2535" customWidth="1"/>
    <col min="13324" max="13324" width="10.25" style="2535" customWidth="1"/>
    <col min="13325" max="13326" width="11.125" style="2535" customWidth="1"/>
    <col min="13327" max="13327" width="1.5" style="2535" customWidth="1"/>
    <col min="13328" max="13328" width="3.25" style="2535" customWidth="1"/>
    <col min="13329" max="13330" width="11.125" style="2535" customWidth="1"/>
    <col min="13331" max="13331" width="1.5" style="2535" customWidth="1"/>
    <col min="13332" max="13337" width="11.125" style="2535" customWidth="1"/>
    <col min="13338" max="13338" width="1.5" style="2535" customWidth="1"/>
    <col min="13339" max="13339" width="10.25" style="2535" customWidth="1"/>
    <col min="13340" max="13341" width="11.125" style="2535" customWidth="1"/>
    <col min="13342" max="13342" width="1.5" style="2535" customWidth="1"/>
    <col min="13343" max="13343" width="3.25" style="2535" customWidth="1"/>
    <col min="13344" max="13345" width="11.125" style="2535" customWidth="1"/>
    <col min="13346" max="13346" width="1.5" style="2535" customWidth="1"/>
    <col min="13347" max="13352" width="11.125" style="2535" customWidth="1"/>
    <col min="13353" max="13353" width="1.5" style="2535" customWidth="1"/>
    <col min="13354" max="13354" width="10.25" style="2535" customWidth="1"/>
    <col min="13355" max="13356" width="11.125" style="2535" customWidth="1"/>
    <col min="13357" max="13357" width="1.5" style="2535" customWidth="1"/>
    <col min="13358" max="13359" width="6.875" style="2535"/>
    <col min="13360" max="13360" width="9.875" style="2535" customWidth="1"/>
    <col min="13361" max="13568" width="6.875" style="2535"/>
    <col min="13569" max="13569" width="3.25" style="2535" customWidth="1"/>
    <col min="13570" max="13571" width="11.125" style="2535" customWidth="1"/>
    <col min="13572" max="13572" width="1.5" style="2535" customWidth="1"/>
    <col min="13573" max="13578" width="11.125" style="2535" customWidth="1"/>
    <col min="13579" max="13579" width="1.5" style="2535" customWidth="1"/>
    <col min="13580" max="13580" width="10.25" style="2535" customWidth="1"/>
    <col min="13581" max="13582" width="11.125" style="2535" customWidth="1"/>
    <col min="13583" max="13583" width="1.5" style="2535" customWidth="1"/>
    <col min="13584" max="13584" width="3.25" style="2535" customWidth="1"/>
    <col min="13585" max="13586" width="11.125" style="2535" customWidth="1"/>
    <col min="13587" max="13587" width="1.5" style="2535" customWidth="1"/>
    <col min="13588" max="13593" width="11.125" style="2535" customWidth="1"/>
    <col min="13594" max="13594" width="1.5" style="2535" customWidth="1"/>
    <col min="13595" max="13595" width="10.25" style="2535" customWidth="1"/>
    <col min="13596" max="13597" width="11.125" style="2535" customWidth="1"/>
    <col min="13598" max="13598" width="1.5" style="2535" customWidth="1"/>
    <col min="13599" max="13599" width="3.25" style="2535" customWidth="1"/>
    <col min="13600" max="13601" width="11.125" style="2535" customWidth="1"/>
    <col min="13602" max="13602" width="1.5" style="2535" customWidth="1"/>
    <col min="13603" max="13608" width="11.125" style="2535" customWidth="1"/>
    <col min="13609" max="13609" width="1.5" style="2535" customWidth="1"/>
    <col min="13610" max="13610" width="10.25" style="2535" customWidth="1"/>
    <col min="13611" max="13612" width="11.125" style="2535" customWidth="1"/>
    <col min="13613" max="13613" width="1.5" style="2535" customWidth="1"/>
    <col min="13614" max="13615" width="6.875" style="2535"/>
    <col min="13616" max="13616" width="9.875" style="2535" customWidth="1"/>
    <col min="13617" max="13824" width="6.875" style="2535"/>
    <col min="13825" max="13825" width="3.25" style="2535" customWidth="1"/>
    <col min="13826" max="13827" width="11.125" style="2535" customWidth="1"/>
    <col min="13828" max="13828" width="1.5" style="2535" customWidth="1"/>
    <col min="13829" max="13834" width="11.125" style="2535" customWidth="1"/>
    <col min="13835" max="13835" width="1.5" style="2535" customWidth="1"/>
    <col min="13836" max="13836" width="10.25" style="2535" customWidth="1"/>
    <col min="13837" max="13838" width="11.125" style="2535" customWidth="1"/>
    <col min="13839" max="13839" width="1.5" style="2535" customWidth="1"/>
    <col min="13840" max="13840" width="3.25" style="2535" customWidth="1"/>
    <col min="13841" max="13842" width="11.125" style="2535" customWidth="1"/>
    <col min="13843" max="13843" width="1.5" style="2535" customWidth="1"/>
    <col min="13844" max="13849" width="11.125" style="2535" customWidth="1"/>
    <col min="13850" max="13850" width="1.5" style="2535" customWidth="1"/>
    <col min="13851" max="13851" width="10.25" style="2535" customWidth="1"/>
    <col min="13852" max="13853" width="11.125" style="2535" customWidth="1"/>
    <col min="13854" max="13854" width="1.5" style="2535" customWidth="1"/>
    <col min="13855" max="13855" width="3.25" style="2535" customWidth="1"/>
    <col min="13856" max="13857" width="11.125" style="2535" customWidth="1"/>
    <col min="13858" max="13858" width="1.5" style="2535" customWidth="1"/>
    <col min="13859" max="13864" width="11.125" style="2535" customWidth="1"/>
    <col min="13865" max="13865" width="1.5" style="2535" customWidth="1"/>
    <col min="13866" max="13866" width="10.25" style="2535" customWidth="1"/>
    <col min="13867" max="13868" width="11.125" style="2535" customWidth="1"/>
    <col min="13869" max="13869" width="1.5" style="2535" customWidth="1"/>
    <col min="13870" max="13871" width="6.875" style="2535"/>
    <col min="13872" max="13872" width="9.875" style="2535" customWidth="1"/>
    <col min="13873" max="14080" width="6.875" style="2535"/>
    <col min="14081" max="14081" width="3.25" style="2535" customWidth="1"/>
    <col min="14082" max="14083" width="11.125" style="2535" customWidth="1"/>
    <col min="14084" max="14084" width="1.5" style="2535" customWidth="1"/>
    <col min="14085" max="14090" width="11.125" style="2535" customWidth="1"/>
    <col min="14091" max="14091" width="1.5" style="2535" customWidth="1"/>
    <col min="14092" max="14092" width="10.25" style="2535" customWidth="1"/>
    <col min="14093" max="14094" width="11.125" style="2535" customWidth="1"/>
    <col min="14095" max="14095" width="1.5" style="2535" customWidth="1"/>
    <col min="14096" max="14096" width="3.25" style="2535" customWidth="1"/>
    <col min="14097" max="14098" width="11.125" style="2535" customWidth="1"/>
    <col min="14099" max="14099" width="1.5" style="2535" customWidth="1"/>
    <col min="14100" max="14105" width="11.125" style="2535" customWidth="1"/>
    <col min="14106" max="14106" width="1.5" style="2535" customWidth="1"/>
    <col min="14107" max="14107" width="10.25" style="2535" customWidth="1"/>
    <col min="14108" max="14109" width="11.125" style="2535" customWidth="1"/>
    <col min="14110" max="14110" width="1.5" style="2535" customWidth="1"/>
    <col min="14111" max="14111" width="3.25" style="2535" customWidth="1"/>
    <col min="14112" max="14113" width="11.125" style="2535" customWidth="1"/>
    <col min="14114" max="14114" width="1.5" style="2535" customWidth="1"/>
    <col min="14115" max="14120" width="11.125" style="2535" customWidth="1"/>
    <col min="14121" max="14121" width="1.5" style="2535" customWidth="1"/>
    <col min="14122" max="14122" width="10.25" style="2535" customWidth="1"/>
    <col min="14123" max="14124" width="11.125" style="2535" customWidth="1"/>
    <col min="14125" max="14125" width="1.5" style="2535" customWidth="1"/>
    <col min="14126" max="14127" width="6.875" style="2535"/>
    <col min="14128" max="14128" width="9.875" style="2535" customWidth="1"/>
    <col min="14129" max="14336" width="6.875" style="2535"/>
    <col min="14337" max="14337" width="3.25" style="2535" customWidth="1"/>
    <col min="14338" max="14339" width="11.125" style="2535" customWidth="1"/>
    <col min="14340" max="14340" width="1.5" style="2535" customWidth="1"/>
    <col min="14341" max="14346" width="11.125" style="2535" customWidth="1"/>
    <col min="14347" max="14347" width="1.5" style="2535" customWidth="1"/>
    <col min="14348" max="14348" width="10.25" style="2535" customWidth="1"/>
    <col min="14349" max="14350" width="11.125" style="2535" customWidth="1"/>
    <col min="14351" max="14351" width="1.5" style="2535" customWidth="1"/>
    <col min="14352" max="14352" width="3.25" style="2535" customWidth="1"/>
    <col min="14353" max="14354" width="11.125" style="2535" customWidth="1"/>
    <col min="14355" max="14355" width="1.5" style="2535" customWidth="1"/>
    <col min="14356" max="14361" width="11.125" style="2535" customWidth="1"/>
    <col min="14362" max="14362" width="1.5" style="2535" customWidth="1"/>
    <col min="14363" max="14363" width="10.25" style="2535" customWidth="1"/>
    <col min="14364" max="14365" width="11.125" style="2535" customWidth="1"/>
    <col min="14366" max="14366" width="1.5" style="2535" customWidth="1"/>
    <col min="14367" max="14367" width="3.25" style="2535" customWidth="1"/>
    <col min="14368" max="14369" width="11.125" style="2535" customWidth="1"/>
    <col min="14370" max="14370" width="1.5" style="2535" customWidth="1"/>
    <col min="14371" max="14376" width="11.125" style="2535" customWidth="1"/>
    <col min="14377" max="14377" width="1.5" style="2535" customWidth="1"/>
    <col min="14378" max="14378" width="10.25" style="2535" customWidth="1"/>
    <col min="14379" max="14380" width="11.125" style="2535" customWidth="1"/>
    <col min="14381" max="14381" width="1.5" style="2535" customWidth="1"/>
    <col min="14382" max="14383" width="6.875" style="2535"/>
    <col min="14384" max="14384" width="9.875" style="2535" customWidth="1"/>
    <col min="14385" max="14592" width="6.875" style="2535"/>
    <col min="14593" max="14593" width="3.25" style="2535" customWidth="1"/>
    <col min="14594" max="14595" width="11.125" style="2535" customWidth="1"/>
    <col min="14596" max="14596" width="1.5" style="2535" customWidth="1"/>
    <col min="14597" max="14602" width="11.125" style="2535" customWidth="1"/>
    <col min="14603" max="14603" width="1.5" style="2535" customWidth="1"/>
    <col min="14604" max="14604" width="10.25" style="2535" customWidth="1"/>
    <col min="14605" max="14606" width="11.125" style="2535" customWidth="1"/>
    <col min="14607" max="14607" width="1.5" style="2535" customWidth="1"/>
    <col min="14608" max="14608" width="3.25" style="2535" customWidth="1"/>
    <col min="14609" max="14610" width="11.125" style="2535" customWidth="1"/>
    <col min="14611" max="14611" width="1.5" style="2535" customWidth="1"/>
    <col min="14612" max="14617" width="11.125" style="2535" customWidth="1"/>
    <col min="14618" max="14618" width="1.5" style="2535" customWidth="1"/>
    <col min="14619" max="14619" width="10.25" style="2535" customWidth="1"/>
    <col min="14620" max="14621" width="11.125" style="2535" customWidth="1"/>
    <col min="14622" max="14622" width="1.5" style="2535" customWidth="1"/>
    <col min="14623" max="14623" width="3.25" style="2535" customWidth="1"/>
    <col min="14624" max="14625" width="11.125" style="2535" customWidth="1"/>
    <col min="14626" max="14626" width="1.5" style="2535" customWidth="1"/>
    <col min="14627" max="14632" width="11.125" style="2535" customWidth="1"/>
    <col min="14633" max="14633" width="1.5" style="2535" customWidth="1"/>
    <col min="14634" max="14634" width="10.25" style="2535" customWidth="1"/>
    <col min="14635" max="14636" width="11.125" style="2535" customWidth="1"/>
    <col min="14637" max="14637" width="1.5" style="2535" customWidth="1"/>
    <col min="14638" max="14639" width="6.875" style="2535"/>
    <col min="14640" max="14640" width="9.875" style="2535" customWidth="1"/>
    <col min="14641" max="14848" width="6.875" style="2535"/>
    <col min="14849" max="14849" width="3.25" style="2535" customWidth="1"/>
    <col min="14850" max="14851" width="11.125" style="2535" customWidth="1"/>
    <col min="14852" max="14852" width="1.5" style="2535" customWidth="1"/>
    <col min="14853" max="14858" width="11.125" style="2535" customWidth="1"/>
    <col min="14859" max="14859" width="1.5" style="2535" customWidth="1"/>
    <col min="14860" max="14860" width="10.25" style="2535" customWidth="1"/>
    <col min="14861" max="14862" width="11.125" style="2535" customWidth="1"/>
    <col min="14863" max="14863" width="1.5" style="2535" customWidth="1"/>
    <col min="14864" max="14864" width="3.25" style="2535" customWidth="1"/>
    <col min="14865" max="14866" width="11.125" style="2535" customWidth="1"/>
    <col min="14867" max="14867" width="1.5" style="2535" customWidth="1"/>
    <col min="14868" max="14873" width="11.125" style="2535" customWidth="1"/>
    <col min="14874" max="14874" width="1.5" style="2535" customWidth="1"/>
    <col min="14875" max="14875" width="10.25" style="2535" customWidth="1"/>
    <col min="14876" max="14877" width="11.125" style="2535" customWidth="1"/>
    <col min="14878" max="14878" width="1.5" style="2535" customWidth="1"/>
    <col min="14879" max="14879" width="3.25" style="2535" customWidth="1"/>
    <col min="14880" max="14881" width="11.125" style="2535" customWidth="1"/>
    <col min="14882" max="14882" width="1.5" style="2535" customWidth="1"/>
    <col min="14883" max="14888" width="11.125" style="2535" customWidth="1"/>
    <col min="14889" max="14889" width="1.5" style="2535" customWidth="1"/>
    <col min="14890" max="14890" width="10.25" style="2535" customWidth="1"/>
    <col min="14891" max="14892" width="11.125" style="2535" customWidth="1"/>
    <col min="14893" max="14893" width="1.5" style="2535" customWidth="1"/>
    <col min="14894" max="14895" width="6.875" style="2535"/>
    <col min="14896" max="14896" width="9.875" style="2535" customWidth="1"/>
    <col min="14897" max="15104" width="6.875" style="2535"/>
    <col min="15105" max="15105" width="3.25" style="2535" customWidth="1"/>
    <col min="15106" max="15107" width="11.125" style="2535" customWidth="1"/>
    <col min="15108" max="15108" width="1.5" style="2535" customWidth="1"/>
    <col min="15109" max="15114" width="11.125" style="2535" customWidth="1"/>
    <col min="15115" max="15115" width="1.5" style="2535" customWidth="1"/>
    <col min="15116" max="15116" width="10.25" style="2535" customWidth="1"/>
    <col min="15117" max="15118" width="11.125" style="2535" customWidth="1"/>
    <col min="15119" max="15119" width="1.5" style="2535" customWidth="1"/>
    <col min="15120" max="15120" width="3.25" style="2535" customWidth="1"/>
    <col min="15121" max="15122" width="11.125" style="2535" customWidth="1"/>
    <col min="15123" max="15123" width="1.5" style="2535" customWidth="1"/>
    <col min="15124" max="15129" width="11.125" style="2535" customWidth="1"/>
    <col min="15130" max="15130" width="1.5" style="2535" customWidth="1"/>
    <col min="15131" max="15131" width="10.25" style="2535" customWidth="1"/>
    <col min="15132" max="15133" width="11.125" style="2535" customWidth="1"/>
    <col min="15134" max="15134" width="1.5" style="2535" customWidth="1"/>
    <col min="15135" max="15135" width="3.25" style="2535" customWidth="1"/>
    <col min="15136" max="15137" width="11.125" style="2535" customWidth="1"/>
    <col min="15138" max="15138" width="1.5" style="2535" customWidth="1"/>
    <col min="15139" max="15144" width="11.125" style="2535" customWidth="1"/>
    <col min="15145" max="15145" width="1.5" style="2535" customWidth="1"/>
    <col min="15146" max="15146" width="10.25" style="2535" customWidth="1"/>
    <col min="15147" max="15148" width="11.125" style="2535" customWidth="1"/>
    <col min="15149" max="15149" width="1.5" style="2535" customWidth="1"/>
    <col min="15150" max="15151" width="6.875" style="2535"/>
    <col min="15152" max="15152" width="9.875" style="2535" customWidth="1"/>
    <col min="15153" max="15360" width="6.875" style="2535"/>
    <col min="15361" max="15361" width="3.25" style="2535" customWidth="1"/>
    <col min="15362" max="15363" width="11.125" style="2535" customWidth="1"/>
    <col min="15364" max="15364" width="1.5" style="2535" customWidth="1"/>
    <col min="15365" max="15370" width="11.125" style="2535" customWidth="1"/>
    <col min="15371" max="15371" width="1.5" style="2535" customWidth="1"/>
    <col min="15372" max="15372" width="10.25" style="2535" customWidth="1"/>
    <col min="15373" max="15374" width="11.125" style="2535" customWidth="1"/>
    <col min="15375" max="15375" width="1.5" style="2535" customWidth="1"/>
    <col min="15376" max="15376" width="3.25" style="2535" customWidth="1"/>
    <col min="15377" max="15378" width="11.125" style="2535" customWidth="1"/>
    <col min="15379" max="15379" width="1.5" style="2535" customWidth="1"/>
    <col min="15380" max="15385" width="11.125" style="2535" customWidth="1"/>
    <col min="15386" max="15386" width="1.5" style="2535" customWidth="1"/>
    <col min="15387" max="15387" width="10.25" style="2535" customWidth="1"/>
    <col min="15388" max="15389" width="11.125" style="2535" customWidth="1"/>
    <col min="15390" max="15390" width="1.5" style="2535" customWidth="1"/>
    <col min="15391" max="15391" width="3.25" style="2535" customWidth="1"/>
    <col min="15392" max="15393" width="11.125" style="2535" customWidth="1"/>
    <col min="15394" max="15394" width="1.5" style="2535" customWidth="1"/>
    <col min="15395" max="15400" width="11.125" style="2535" customWidth="1"/>
    <col min="15401" max="15401" width="1.5" style="2535" customWidth="1"/>
    <col min="15402" max="15402" width="10.25" style="2535" customWidth="1"/>
    <col min="15403" max="15404" width="11.125" style="2535" customWidth="1"/>
    <col min="15405" max="15405" width="1.5" style="2535" customWidth="1"/>
    <col min="15406" max="15407" width="6.875" style="2535"/>
    <col min="15408" max="15408" width="9.875" style="2535" customWidth="1"/>
    <col min="15409" max="15616" width="6.875" style="2535"/>
    <col min="15617" max="15617" width="3.25" style="2535" customWidth="1"/>
    <col min="15618" max="15619" width="11.125" style="2535" customWidth="1"/>
    <col min="15620" max="15620" width="1.5" style="2535" customWidth="1"/>
    <col min="15621" max="15626" width="11.125" style="2535" customWidth="1"/>
    <col min="15627" max="15627" width="1.5" style="2535" customWidth="1"/>
    <col min="15628" max="15628" width="10.25" style="2535" customWidth="1"/>
    <col min="15629" max="15630" width="11.125" style="2535" customWidth="1"/>
    <col min="15631" max="15631" width="1.5" style="2535" customWidth="1"/>
    <col min="15632" max="15632" width="3.25" style="2535" customWidth="1"/>
    <col min="15633" max="15634" width="11.125" style="2535" customWidth="1"/>
    <col min="15635" max="15635" width="1.5" style="2535" customWidth="1"/>
    <col min="15636" max="15641" width="11.125" style="2535" customWidth="1"/>
    <col min="15642" max="15642" width="1.5" style="2535" customWidth="1"/>
    <col min="15643" max="15643" width="10.25" style="2535" customWidth="1"/>
    <col min="15644" max="15645" width="11.125" style="2535" customWidth="1"/>
    <col min="15646" max="15646" width="1.5" style="2535" customWidth="1"/>
    <col min="15647" max="15647" width="3.25" style="2535" customWidth="1"/>
    <col min="15648" max="15649" width="11.125" style="2535" customWidth="1"/>
    <col min="15650" max="15650" width="1.5" style="2535" customWidth="1"/>
    <col min="15651" max="15656" width="11.125" style="2535" customWidth="1"/>
    <col min="15657" max="15657" width="1.5" style="2535" customWidth="1"/>
    <col min="15658" max="15658" width="10.25" style="2535" customWidth="1"/>
    <col min="15659" max="15660" width="11.125" style="2535" customWidth="1"/>
    <col min="15661" max="15661" width="1.5" style="2535" customWidth="1"/>
    <col min="15662" max="15663" width="6.875" style="2535"/>
    <col min="15664" max="15664" width="9.875" style="2535" customWidth="1"/>
    <col min="15665" max="15872" width="6.875" style="2535"/>
    <col min="15873" max="15873" width="3.25" style="2535" customWidth="1"/>
    <col min="15874" max="15875" width="11.125" style="2535" customWidth="1"/>
    <col min="15876" max="15876" width="1.5" style="2535" customWidth="1"/>
    <col min="15877" max="15882" width="11.125" style="2535" customWidth="1"/>
    <col min="15883" max="15883" width="1.5" style="2535" customWidth="1"/>
    <col min="15884" max="15884" width="10.25" style="2535" customWidth="1"/>
    <col min="15885" max="15886" width="11.125" style="2535" customWidth="1"/>
    <col min="15887" max="15887" width="1.5" style="2535" customWidth="1"/>
    <col min="15888" max="15888" width="3.25" style="2535" customWidth="1"/>
    <col min="15889" max="15890" width="11.125" style="2535" customWidth="1"/>
    <col min="15891" max="15891" width="1.5" style="2535" customWidth="1"/>
    <col min="15892" max="15897" width="11.125" style="2535" customWidth="1"/>
    <col min="15898" max="15898" width="1.5" style="2535" customWidth="1"/>
    <col min="15899" max="15899" width="10.25" style="2535" customWidth="1"/>
    <col min="15900" max="15901" width="11.125" style="2535" customWidth="1"/>
    <col min="15902" max="15902" width="1.5" style="2535" customWidth="1"/>
    <col min="15903" max="15903" width="3.25" style="2535" customWidth="1"/>
    <col min="15904" max="15905" width="11.125" style="2535" customWidth="1"/>
    <col min="15906" max="15906" width="1.5" style="2535" customWidth="1"/>
    <col min="15907" max="15912" width="11.125" style="2535" customWidth="1"/>
    <col min="15913" max="15913" width="1.5" style="2535" customWidth="1"/>
    <col min="15914" max="15914" width="10.25" style="2535" customWidth="1"/>
    <col min="15915" max="15916" width="11.125" style="2535" customWidth="1"/>
    <col min="15917" max="15917" width="1.5" style="2535" customWidth="1"/>
    <col min="15918" max="15919" width="6.875" style="2535"/>
    <col min="15920" max="15920" width="9.875" style="2535" customWidth="1"/>
    <col min="15921" max="16128" width="6.875" style="2535"/>
    <col min="16129" max="16129" width="3.25" style="2535" customWidth="1"/>
    <col min="16130" max="16131" width="11.125" style="2535" customWidth="1"/>
    <col min="16132" max="16132" width="1.5" style="2535" customWidth="1"/>
    <col min="16133" max="16138" width="11.125" style="2535" customWidth="1"/>
    <col min="16139" max="16139" width="1.5" style="2535" customWidth="1"/>
    <col min="16140" max="16140" width="10.25" style="2535" customWidth="1"/>
    <col min="16141" max="16142" width="11.125" style="2535" customWidth="1"/>
    <col min="16143" max="16143" width="1.5" style="2535" customWidth="1"/>
    <col min="16144" max="16144" width="3.25" style="2535" customWidth="1"/>
    <col min="16145" max="16146" width="11.125" style="2535" customWidth="1"/>
    <col min="16147" max="16147" width="1.5" style="2535" customWidth="1"/>
    <col min="16148" max="16153" width="11.125" style="2535" customWidth="1"/>
    <col min="16154" max="16154" width="1.5" style="2535" customWidth="1"/>
    <col min="16155" max="16155" width="10.25" style="2535" customWidth="1"/>
    <col min="16156" max="16157" width="11.125" style="2535" customWidth="1"/>
    <col min="16158" max="16158" width="1.5" style="2535" customWidth="1"/>
    <col min="16159" max="16159" width="3.25" style="2535" customWidth="1"/>
    <col min="16160" max="16161" width="11.125" style="2535" customWidth="1"/>
    <col min="16162" max="16162" width="1.5" style="2535" customWidth="1"/>
    <col min="16163" max="16168" width="11.125" style="2535" customWidth="1"/>
    <col min="16169" max="16169" width="1.5" style="2535" customWidth="1"/>
    <col min="16170" max="16170" width="10.25" style="2535" customWidth="1"/>
    <col min="16171" max="16172" width="11.125" style="2535" customWidth="1"/>
    <col min="16173" max="16173" width="1.5" style="2535" customWidth="1"/>
    <col min="16174" max="16175" width="6.875" style="2535"/>
    <col min="16176" max="16176" width="9.875" style="2535" customWidth="1"/>
    <col min="16177" max="16384" width="6.875" style="2535"/>
  </cols>
  <sheetData>
    <row r="2" spans="1:53">
      <c r="A2" s="2536"/>
      <c r="B2" s="2537"/>
      <c r="C2" s="2537"/>
      <c r="D2" s="2537"/>
      <c r="E2" s="2537"/>
      <c r="F2" s="2537"/>
      <c r="G2" s="2538" t="s">
        <v>206</v>
      </c>
      <c r="H2" s="2541"/>
      <c r="I2" s="2539"/>
      <c r="J2" s="2539"/>
      <c r="K2" s="2539"/>
      <c r="L2" s="2539"/>
      <c r="M2" s="2539"/>
      <c r="N2" s="2540"/>
      <c r="P2" s="2536"/>
      <c r="Q2" s="2537"/>
      <c r="R2" s="2537"/>
      <c r="S2" s="2537"/>
      <c r="T2" s="2537"/>
      <c r="U2" s="2537"/>
      <c r="V2" s="2538" t="s">
        <v>206</v>
      </c>
      <c r="W2" s="2541"/>
      <c r="X2" s="2539"/>
      <c r="Y2" s="2539"/>
      <c r="Z2" s="2539"/>
      <c r="AA2" s="2539"/>
      <c r="AB2" s="2539"/>
      <c r="AC2" s="2540"/>
      <c r="AE2" s="2536"/>
      <c r="AF2" s="2537"/>
      <c r="AG2" s="2537"/>
      <c r="AH2" s="2537"/>
      <c r="AI2" s="2537"/>
      <c r="AJ2" s="2537"/>
      <c r="AK2" s="2538" t="s">
        <v>206</v>
      </c>
      <c r="AL2" s="2541"/>
      <c r="AM2" s="2539"/>
      <c r="AN2" s="2539"/>
      <c r="AO2" s="2539"/>
      <c r="AP2" s="2539"/>
      <c r="AQ2" s="2539"/>
      <c r="AR2" s="2540"/>
    </row>
    <row r="3" spans="1:53">
      <c r="A3" s="2542"/>
      <c r="G3" s="2543" t="s">
        <v>82</v>
      </c>
      <c r="H3" s="2546"/>
      <c r="I3" s="2544"/>
      <c r="J3" s="2544"/>
      <c r="K3" s="2544"/>
      <c r="L3" s="2544"/>
      <c r="M3" s="2544"/>
      <c r="N3" s="2545"/>
      <c r="P3" s="2542"/>
      <c r="V3" s="2543" t="s">
        <v>82</v>
      </c>
      <c r="W3" s="2546"/>
      <c r="X3" s="2544"/>
      <c r="Y3" s="2544"/>
      <c r="Z3" s="2544"/>
      <c r="AA3" s="2544"/>
      <c r="AB3" s="2544"/>
      <c r="AC3" s="2545"/>
      <c r="AE3" s="2542"/>
      <c r="AK3" s="2543" t="s">
        <v>82</v>
      </c>
      <c r="AL3" s="2546"/>
      <c r="AM3" s="2544"/>
      <c r="AN3" s="2544"/>
      <c r="AO3" s="2544"/>
      <c r="AP3" s="2544"/>
      <c r="AQ3" s="2544"/>
      <c r="AR3" s="2545"/>
      <c r="AV3" s="2547" t="s">
        <v>1258</v>
      </c>
      <c r="AW3" s="2547"/>
      <c r="AX3" s="2547"/>
      <c r="AY3" s="2547"/>
      <c r="AZ3" s="2547"/>
      <c r="BA3" s="2547"/>
    </row>
    <row r="4" spans="1:53">
      <c r="A4" s="2542"/>
      <c r="G4" s="2543" t="s">
        <v>77</v>
      </c>
      <c r="H4" s="2551"/>
      <c r="I4" s="2544"/>
      <c r="J4" s="2544"/>
      <c r="K4" s="2544"/>
      <c r="L4" s="2548" t="s">
        <v>76</v>
      </c>
      <c r="M4" s="2549"/>
      <c r="N4" s="2550"/>
      <c r="P4" s="2542"/>
      <c r="V4" s="2543" t="s">
        <v>77</v>
      </c>
      <c r="W4" s="2551"/>
      <c r="X4" s="2544"/>
      <c r="Y4" s="2544"/>
      <c r="Z4" s="2544"/>
      <c r="AA4" s="2548" t="s">
        <v>76</v>
      </c>
      <c r="AB4" s="2549"/>
      <c r="AC4" s="2550"/>
      <c r="AE4" s="2542"/>
      <c r="AK4" s="2543" t="s">
        <v>77</v>
      </c>
      <c r="AL4" s="2551"/>
      <c r="AM4" s="2544"/>
      <c r="AN4" s="2544"/>
      <c r="AO4" s="2544"/>
      <c r="AP4" s="2548" t="s">
        <v>76</v>
      </c>
      <c r="AQ4" s="2549"/>
      <c r="AR4" s="2550"/>
      <c r="AV4" s="2552" t="s">
        <v>1259</v>
      </c>
      <c r="AW4" s="2547"/>
      <c r="AX4" s="2547"/>
      <c r="AY4" s="2547"/>
      <c r="AZ4" s="2547"/>
      <c r="BA4" s="2547"/>
    </row>
    <row r="5" spans="1:53">
      <c r="A5" s="2553"/>
      <c r="B5" s="2554"/>
      <c r="C5" s="2554"/>
      <c r="D5" s="2554"/>
      <c r="E5" s="2554"/>
      <c r="F5" s="2554"/>
      <c r="G5" s="2555" t="s">
        <v>75</v>
      </c>
      <c r="H5" s="2558"/>
      <c r="I5" s="2556"/>
      <c r="J5" s="2556"/>
      <c r="K5" s="2556"/>
      <c r="L5" s="2557" t="s">
        <v>1106</v>
      </c>
      <c r="M5" s="2558"/>
      <c r="N5" s="2559"/>
      <c r="P5" s="2553"/>
      <c r="Q5" s="2554"/>
      <c r="R5" s="2554"/>
      <c r="S5" s="2554"/>
      <c r="T5" s="2554"/>
      <c r="U5" s="2554"/>
      <c r="V5" s="2555" t="s">
        <v>75</v>
      </c>
      <c r="W5" s="2558"/>
      <c r="X5" s="2556"/>
      <c r="Y5" s="2556"/>
      <c r="Z5" s="2556"/>
      <c r="AA5" s="2557" t="s">
        <v>1106</v>
      </c>
      <c r="AB5" s="2558"/>
      <c r="AC5" s="2559"/>
      <c r="AE5" s="2553"/>
      <c r="AF5" s="2554"/>
      <c r="AG5" s="2554"/>
      <c r="AH5" s="2554"/>
      <c r="AI5" s="2554"/>
      <c r="AJ5" s="2554"/>
      <c r="AK5" s="2555" t="s">
        <v>75</v>
      </c>
      <c r="AL5" s="2558"/>
      <c r="AM5" s="2556"/>
      <c r="AN5" s="2556"/>
      <c r="AO5" s="2556"/>
      <c r="AP5" s="2557" t="s">
        <v>1106</v>
      </c>
      <c r="AQ5" s="2558"/>
      <c r="AR5" s="2559"/>
      <c r="AV5" s="2560" t="s">
        <v>1260</v>
      </c>
      <c r="AW5" s="2547"/>
      <c r="AX5" s="2547"/>
      <c r="AY5" s="2547"/>
      <c r="AZ5" s="2547" t="s">
        <v>1261</v>
      </c>
      <c r="BA5" s="2547"/>
    </row>
    <row r="6" spans="1:53" ht="14.25" thickBot="1">
      <c r="A6" s="2542"/>
      <c r="H6" s="2561"/>
      <c r="N6" s="2562"/>
      <c r="P6" s="2542"/>
      <c r="W6" s="2561"/>
      <c r="AC6" s="2562"/>
      <c r="AE6" s="2542"/>
      <c r="AL6" s="2561"/>
      <c r="AR6" s="2562"/>
      <c r="AV6" s="2547"/>
      <c r="AW6" s="2547"/>
      <c r="AX6" s="2547"/>
      <c r="AY6" s="2529"/>
      <c r="AZ6" s="2529"/>
      <c r="BA6" s="2529"/>
    </row>
    <row r="7" spans="1:53">
      <c r="A7" s="2563" t="s">
        <v>1263</v>
      </c>
      <c r="B7" s="2547"/>
      <c r="C7" s="2547"/>
      <c r="D7" s="2547"/>
      <c r="E7" s="2547"/>
      <c r="F7" s="2547"/>
      <c r="G7" s="2547"/>
      <c r="H7" s="2564"/>
      <c r="I7" s="2547"/>
      <c r="J7" s="2547"/>
      <c r="K7" s="2547"/>
      <c r="L7" s="2547"/>
      <c r="M7" s="2547"/>
      <c r="N7" s="2565"/>
      <c r="P7" s="2563" t="s">
        <v>1289</v>
      </c>
      <c r="Q7" s="2547"/>
      <c r="R7" s="2547"/>
      <c r="S7" s="2547"/>
      <c r="T7" s="2547"/>
      <c r="U7" s="2547"/>
      <c r="V7" s="2547"/>
      <c r="W7" s="2564"/>
      <c r="X7" s="2547"/>
      <c r="Y7" s="2547"/>
      <c r="Z7" s="2547"/>
      <c r="AA7" s="2547"/>
      <c r="AB7" s="2547"/>
      <c r="AC7" s="2565"/>
      <c r="AE7" s="2563" t="s">
        <v>1289</v>
      </c>
      <c r="AF7" s="2547"/>
      <c r="AG7" s="2547"/>
      <c r="AH7" s="2547"/>
      <c r="AI7" s="2547"/>
      <c r="AJ7" s="2547"/>
      <c r="AK7" s="2547"/>
      <c r="AL7" s="2564"/>
      <c r="AM7" s="2547"/>
      <c r="AN7" s="2547"/>
      <c r="AO7" s="2547"/>
      <c r="AP7" s="2547"/>
      <c r="AQ7" s="2547"/>
      <c r="AR7" s="2565"/>
      <c r="AV7" s="2566" t="s">
        <v>284</v>
      </c>
      <c r="AW7" s="2567" t="s">
        <v>12</v>
      </c>
      <c r="AX7" s="2568" t="s">
        <v>285</v>
      </c>
      <c r="AY7" s="2569" t="s">
        <v>286</v>
      </c>
      <c r="AZ7" s="2570" t="s">
        <v>167</v>
      </c>
      <c r="BA7" s="2571" t="s">
        <v>287</v>
      </c>
    </row>
    <row r="8" spans="1:53" ht="15.75" thickBot="1">
      <c r="A8" s="2572"/>
      <c r="C8" s="2547"/>
      <c r="D8" s="2547"/>
      <c r="E8" s="2547"/>
      <c r="F8" s="2547"/>
      <c r="G8" s="2547"/>
      <c r="H8" s="2547"/>
      <c r="I8" s="2547"/>
      <c r="J8" s="2547"/>
      <c r="K8" s="2547"/>
      <c r="L8" s="2547"/>
      <c r="M8" s="2547"/>
      <c r="N8" s="2573"/>
      <c r="P8" s="2572"/>
      <c r="R8" s="2547"/>
      <c r="S8" s="2547"/>
      <c r="T8" s="2547"/>
      <c r="U8" s="2547"/>
      <c r="V8" s="2547"/>
      <c r="W8" s="2547"/>
      <c r="X8" s="2547"/>
      <c r="Y8" s="2547"/>
      <c r="Z8" s="2547"/>
      <c r="AA8" s="2547"/>
      <c r="AB8" s="2547"/>
      <c r="AC8" s="2573"/>
      <c r="AE8" s="2572"/>
      <c r="AG8" s="2547"/>
      <c r="AH8" s="2547"/>
      <c r="AI8" s="2547"/>
      <c r="AJ8" s="2547"/>
      <c r="AK8" s="2547"/>
      <c r="AL8" s="2547"/>
      <c r="AM8" s="2547"/>
      <c r="AN8" s="2547"/>
      <c r="AO8" s="2547"/>
      <c r="AP8" s="2547"/>
      <c r="AQ8" s="2547"/>
      <c r="AR8" s="2573"/>
      <c r="AV8" s="2530" t="s">
        <v>60</v>
      </c>
      <c r="AW8" s="2531" t="s">
        <v>1264</v>
      </c>
      <c r="AX8" s="2532" t="s">
        <v>1264</v>
      </c>
      <c r="AY8" s="2533" t="s">
        <v>289</v>
      </c>
      <c r="AZ8" s="2533" t="s">
        <v>1305</v>
      </c>
      <c r="BA8" s="2534" t="s">
        <v>1306</v>
      </c>
    </row>
    <row r="9" spans="1:53">
      <c r="A9" s="2542"/>
      <c r="B9" s="2574" t="s">
        <v>208</v>
      </c>
      <c r="C9" s="2575" t="s">
        <v>27</v>
      </c>
      <c r="D9" s="2575"/>
      <c r="E9" s="2578"/>
      <c r="F9" s="2575"/>
      <c r="I9" s="2535" t="s">
        <v>240</v>
      </c>
      <c r="K9" s="2535" t="s">
        <v>27</v>
      </c>
      <c r="L9" s="2576"/>
      <c r="N9" s="2577"/>
      <c r="P9" s="2542"/>
      <c r="Q9" s="2574" t="s">
        <v>208</v>
      </c>
      <c r="R9" s="2575" t="s">
        <v>27</v>
      </c>
      <c r="S9" s="2575"/>
      <c r="T9" s="2578"/>
      <c r="U9" s="2575"/>
      <c r="X9" s="2535" t="s">
        <v>240</v>
      </c>
      <c r="Z9" s="2535" t="s">
        <v>27</v>
      </c>
      <c r="AA9" s="2576"/>
      <c r="AC9" s="2577"/>
      <c r="AE9" s="2542"/>
      <c r="AF9" s="2574" t="s">
        <v>208</v>
      </c>
      <c r="AG9" s="2575" t="s">
        <v>27</v>
      </c>
      <c r="AH9" s="2575"/>
      <c r="AI9" s="2578"/>
      <c r="AJ9" s="2575"/>
      <c r="AM9" s="2535" t="s">
        <v>240</v>
      </c>
      <c r="AO9" s="2535" t="s">
        <v>27</v>
      </c>
      <c r="AP9" s="2576"/>
      <c r="AR9" s="2577"/>
      <c r="AV9" s="2579">
        <v>1</v>
      </c>
      <c r="AW9" s="2580">
        <v>5.94</v>
      </c>
      <c r="AX9" s="2581">
        <v>2.4900000000000002</v>
      </c>
      <c r="AY9" s="2582">
        <v>81.849999999999994</v>
      </c>
      <c r="AZ9" s="2583">
        <f t="shared" ref="AZ9:AZ27" si="0">+(AW9)^2*PI()*(0.25)</f>
        <v>27.711674638050212</v>
      </c>
      <c r="BA9" s="2584">
        <f t="shared" ref="BA9:BA27" si="1">AZ9*AX9</f>
        <v>69.002069848745037</v>
      </c>
    </row>
    <row r="10" spans="1:53">
      <c r="A10" s="2542"/>
      <c r="B10" s="2574" t="s">
        <v>1124</v>
      </c>
      <c r="C10" s="2575" t="s">
        <v>27</v>
      </c>
      <c r="D10" s="2575"/>
      <c r="E10" s="2578"/>
      <c r="F10" s="2575"/>
      <c r="I10" s="2535" t="s">
        <v>234</v>
      </c>
      <c r="K10" s="2535" t="s">
        <v>27</v>
      </c>
      <c r="L10" s="2576"/>
      <c r="N10" s="2577"/>
      <c r="P10" s="2542"/>
      <c r="Q10" s="2574" t="s">
        <v>1124</v>
      </c>
      <c r="R10" s="2575" t="s">
        <v>27</v>
      </c>
      <c r="S10" s="2575"/>
      <c r="T10" s="2578"/>
      <c r="U10" s="2575"/>
      <c r="X10" s="2535" t="s">
        <v>234</v>
      </c>
      <c r="Z10" s="2535" t="s">
        <v>27</v>
      </c>
      <c r="AA10" s="2576"/>
      <c r="AC10" s="2577"/>
      <c r="AE10" s="2542"/>
      <c r="AF10" s="2574" t="s">
        <v>1124</v>
      </c>
      <c r="AG10" s="2575" t="s">
        <v>27</v>
      </c>
      <c r="AH10" s="2575"/>
      <c r="AI10" s="2578"/>
      <c r="AJ10" s="2575"/>
      <c r="AM10" s="2535" t="s">
        <v>234</v>
      </c>
      <c r="AO10" s="2535" t="s">
        <v>27</v>
      </c>
      <c r="AP10" s="2576"/>
      <c r="AR10" s="2577"/>
      <c r="AV10" s="2579"/>
      <c r="AW10" s="2585"/>
      <c r="AX10" s="2585"/>
      <c r="AY10" s="2582"/>
      <c r="AZ10" s="2583">
        <f t="shared" si="0"/>
        <v>0</v>
      </c>
      <c r="BA10" s="2584">
        <f t="shared" si="1"/>
        <v>0</v>
      </c>
    </row>
    <row r="11" spans="1:53">
      <c r="A11" s="2542"/>
      <c r="B11" s="2574" t="s">
        <v>210</v>
      </c>
      <c r="C11" s="2575" t="s">
        <v>27</v>
      </c>
      <c r="D11" s="2575"/>
      <c r="E11" s="2578"/>
      <c r="F11" s="2575" t="s">
        <v>68</v>
      </c>
      <c r="I11" s="2535" t="s">
        <v>212</v>
      </c>
      <c r="K11" s="2535" t="s">
        <v>27</v>
      </c>
      <c r="L11" s="2576"/>
      <c r="N11" s="2577"/>
      <c r="P11" s="2542"/>
      <c r="Q11" s="2574" t="s">
        <v>210</v>
      </c>
      <c r="R11" s="2575" t="s">
        <v>27</v>
      </c>
      <c r="S11" s="2575"/>
      <c r="T11" s="2578"/>
      <c r="U11" s="2575" t="s">
        <v>68</v>
      </c>
      <c r="X11" s="2535" t="s">
        <v>212</v>
      </c>
      <c r="Z11" s="2535" t="s">
        <v>27</v>
      </c>
      <c r="AA11" s="2576"/>
      <c r="AC11" s="2577"/>
      <c r="AE11" s="2542"/>
      <c r="AF11" s="2574" t="s">
        <v>210</v>
      </c>
      <c r="AG11" s="2575" t="s">
        <v>27</v>
      </c>
      <c r="AH11" s="2575"/>
      <c r="AI11" s="2578"/>
      <c r="AJ11" s="2575" t="s">
        <v>68</v>
      </c>
      <c r="AM11" s="2535" t="s">
        <v>212</v>
      </c>
      <c r="AO11" s="2535" t="s">
        <v>27</v>
      </c>
      <c r="AP11" s="2576"/>
      <c r="AR11" s="2577"/>
      <c r="AV11" s="2579"/>
      <c r="AW11" s="2585"/>
      <c r="AX11" s="2585"/>
      <c r="AY11" s="2582"/>
      <c r="AZ11" s="2583">
        <f t="shared" si="0"/>
        <v>0</v>
      </c>
      <c r="BA11" s="2584">
        <f t="shared" si="1"/>
        <v>0</v>
      </c>
    </row>
    <row r="12" spans="1:53">
      <c r="A12" s="2542"/>
      <c r="B12" s="2574"/>
      <c r="C12" s="2575"/>
      <c r="D12" s="2575"/>
      <c r="E12" s="2586"/>
      <c r="F12" s="2575"/>
      <c r="J12" s="2547"/>
      <c r="K12" s="2547"/>
      <c r="N12" s="2577"/>
      <c r="P12" s="2542"/>
      <c r="Q12" s="2574"/>
      <c r="R12" s="2575"/>
      <c r="S12" s="2575"/>
      <c r="T12" s="2586"/>
      <c r="U12" s="2575"/>
      <c r="Y12" s="2547"/>
      <c r="Z12" s="2547"/>
      <c r="AC12" s="2577"/>
      <c r="AE12" s="2542"/>
      <c r="AF12" s="2574"/>
      <c r="AG12" s="2575"/>
      <c r="AH12" s="2575"/>
      <c r="AI12" s="2586"/>
      <c r="AJ12" s="2575"/>
      <c r="AN12" s="2547"/>
      <c r="AO12" s="2547"/>
      <c r="AR12" s="2577"/>
      <c r="AV12" s="2579"/>
      <c r="AW12" s="2585"/>
      <c r="AX12" s="2585"/>
      <c r="AY12" s="2582"/>
      <c r="AZ12" s="2583">
        <f t="shared" si="0"/>
        <v>0</v>
      </c>
      <c r="BA12" s="2584">
        <f t="shared" si="1"/>
        <v>0</v>
      </c>
    </row>
    <row r="13" spans="1:53">
      <c r="A13" s="2542"/>
      <c r="B13" s="2587"/>
      <c r="G13" s="2587"/>
      <c r="L13" s="2588" t="s">
        <v>1265</v>
      </c>
      <c r="M13" s="2588" t="s">
        <v>1266</v>
      </c>
      <c r="N13" s="2577"/>
      <c r="P13" s="2542"/>
      <c r="Q13" s="2587"/>
      <c r="V13" s="2587"/>
      <c r="AA13" s="2588" t="s">
        <v>1265</v>
      </c>
      <c r="AB13" s="2588" t="s">
        <v>1266</v>
      </c>
      <c r="AC13" s="2577"/>
      <c r="AE13" s="2542"/>
      <c r="AF13" s="2587"/>
      <c r="AK13" s="2587"/>
      <c r="AP13" s="2588" t="s">
        <v>1265</v>
      </c>
      <c r="AQ13" s="2588" t="s">
        <v>1266</v>
      </c>
      <c r="AR13" s="2577"/>
      <c r="AV13" s="2579"/>
      <c r="AW13" s="2585"/>
      <c r="AX13" s="2585"/>
      <c r="AY13" s="2582"/>
      <c r="AZ13" s="2583">
        <f t="shared" si="0"/>
        <v>0</v>
      </c>
      <c r="BA13" s="2584">
        <f t="shared" si="1"/>
        <v>0</v>
      </c>
    </row>
    <row r="14" spans="1:53">
      <c r="A14" s="2542"/>
      <c r="B14" s="2589" t="s">
        <v>1163</v>
      </c>
      <c r="C14" s="2544"/>
      <c r="D14" s="2544"/>
      <c r="E14" s="2590" t="s">
        <v>104</v>
      </c>
      <c r="F14" s="2716">
        <v>1</v>
      </c>
      <c r="H14" s="2589" t="s">
        <v>1267</v>
      </c>
      <c r="I14" s="2544"/>
      <c r="J14" s="2590" t="s">
        <v>414</v>
      </c>
      <c r="K14" s="2592"/>
      <c r="L14" s="2593">
        <v>207.92</v>
      </c>
      <c r="M14" s="2594">
        <v>217.88</v>
      </c>
      <c r="N14" s="2577"/>
      <c r="P14" s="2542"/>
      <c r="Q14" s="2589" t="s">
        <v>1163</v>
      </c>
      <c r="R14" s="2544"/>
      <c r="S14" s="2544"/>
      <c r="T14" s="2590" t="s">
        <v>104</v>
      </c>
      <c r="U14" s="2591">
        <f>F14</f>
        <v>1</v>
      </c>
      <c r="W14" s="2589" t="s">
        <v>1267</v>
      </c>
      <c r="X14" s="2544"/>
      <c r="Y14" s="2590" t="s">
        <v>414</v>
      </c>
      <c r="Z14" s="2592"/>
      <c r="AA14" s="2593">
        <f>L14</f>
        <v>207.92</v>
      </c>
      <c r="AB14" s="2594">
        <f>M14</f>
        <v>217.88</v>
      </c>
      <c r="AC14" s="2577"/>
      <c r="AE14" s="2542"/>
      <c r="AF14" s="2589" t="s">
        <v>1163</v>
      </c>
      <c r="AG14" s="2544"/>
      <c r="AH14" s="2544"/>
      <c r="AI14" s="2590" t="s">
        <v>104</v>
      </c>
      <c r="AJ14" s="2591">
        <f>U14</f>
        <v>1</v>
      </c>
      <c r="AL14" s="2589" t="s">
        <v>1267</v>
      </c>
      <c r="AM14" s="2544"/>
      <c r="AN14" s="2590" t="s">
        <v>414</v>
      </c>
      <c r="AO14" s="2592"/>
      <c r="AP14" s="2593">
        <f>AA14</f>
        <v>207.92</v>
      </c>
      <c r="AQ14" s="2594">
        <f>AB14</f>
        <v>217.88</v>
      </c>
      <c r="AR14" s="2577"/>
      <c r="AV14" s="2579"/>
      <c r="AW14" s="2585"/>
      <c r="AX14" s="2585"/>
      <c r="AY14" s="2582"/>
      <c r="AZ14" s="2583">
        <f t="shared" si="0"/>
        <v>0</v>
      </c>
      <c r="BA14" s="2584">
        <f t="shared" si="1"/>
        <v>0</v>
      </c>
    </row>
    <row r="15" spans="1:53">
      <c r="A15" s="2542"/>
      <c r="B15" s="2595" t="s">
        <v>1268</v>
      </c>
      <c r="C15" s="2596"/>
      <c r="D15" s="2596"/>
      <c r="E15" s="2590" t="s">
        <v>104</v>
      </c>
      <c r="F15" s="2597">
        <f>VLOOKUP(F14,AV9:AY29,2)</f>
        <v>5.94</v>
      </c>
      <c r="H15" s="2595" t="s">
        <v>1269</v>
      </c>
      <c r="I15" s="2544"/>
      <c r="J15" s="2590" t="s">
        <v>414</v>
      </c>
      <c r="K15" s="2592"/>
      <c r="L15" s="2598">
        <f>L18+L16</f>
        <v>178.14</v>
      </c>
      <c r="M15" s="2594">
        <v>107.97</v>
      </c>
      <c r="N15" s="2577"/>
      <c r="P15" s="2542"/>
      <c r="Q15" s="2595" t="s">
        <v>1268</v>
      </c>
      <c r="R15" s="2596"/>
      <c r="S15" s="2596"/>
      <c r="T15" s="2590" t="s">
        <v>104</v>
      </c>
      <c r="U15" s="2597">
        <f t="shared" ref="U15:U22" si="2">F15</f>
        <v>5.94</v>
      </c>
      <c r="W15" s="2595" t="s">
        <v>1269</v>
      </c>
      <c r="X15" s="2544"/>
      <c r="Y15" s="2590" t="s">
        <v>414</v>
      </c>
      <c r="Z15" s="2592"/>
      <c r="AA15" s="2598">
        <f t="shared" ref="AA15:AB23" si="3">L15</f>
        <v>178.14</v>
      </c>
      <c r="AB15" s="2594">
        <f t="shared" si="3"/>
        <v>107.97</v>
      </c>
      <c r="AC15" s="2577"/>
      <c r="AE15" s="2542"/>
      <c r="AF15" s="2595" t="s">
        <v>1268</v>
      </c>
      <c r="AG15" s="2596"/>
      <c r="AH15" s="2596"/>
      <c r="AI15" s="2590" t="s">
        <v>104</v>
      </c>
      <c r="AJ15" s="2597">
        <f t="shared" ref="AJ15:AJ22" si="4">U15</f>
        <v>5.94</v>
      </c>
      <c r="AL15" s="2595" t="s">
        <v>1269</v>
      </c>
      <c r="AM15" s="2544"/>
      <c r="AN15" s="2590" t="s">
        <v>414</v>
      </c>
      <c r="AO15" s="2592"/>
      <c r="AP15" s="2598">
        <f t="shared" ref="AP15:AQ23" si="5">AA15</f>
        <v>178.14</v>
      </c>
      <c r="AQ15" s="2594">
        <f t="shared" si="5"/>
        <v>107.97</v>
      </c>
      <c r="AR15" s="2577"/>
      <c r="AV15" s="2579"/>
      <c r="AW15" s="2585"/>
      <c r="AX15" s="2585"/>
      <c r="AY15" s="2582"/>
      <c r="AZ15" s="2583">
        <f t="shared" si="0"/>
        <v>0</v>
      </c>
      <c r="BA15" s="2584">
        <f t="shared" si="1"/>
        <v>0</v>
      </c>
    </row>
    <row r="16" spans="1:53" ht="15">
      <c r="A16" s="2542"/>
      <c r="B16" s="2595" t="s">
        <v>1270</v>
      </c>
      <c r="C16" s="2596"/>
      <c r="D16" s="2596"/>
      <c r="E16" s="2599" t="s">
        <v>721</v>
      </c>
      <c r="F16" s="2597">
        <f>VLOOKUP(F14,AV9:AY29,3)</f>
        <v>2.4900000000000002</v>
      </c>
      <c r="H16" s="2589" t="s">
        <v>1271</v>
      </c>
      <c r="I16" s="2544"/>
      <c r="J16" s="2590" t="s">
        <v>414</v>
      </c>
      <c r="K16" s="2592"/>
      <c r="L16" s="2598">
        <f>VLOOKUP(F14,AV9:AY29,4)</f>
        <v>81.849999999999994</v>
      </c>
      <c r="M16" s="2594">
        <v>11.68</v>
      </c>
      <c r="N16" s="2577"/>
      <c r="P16" s="2542"/>
      <c r="Q16" s="2595" t="s">
        <v>1270</v>
      </c>
      <c r="R16" s="2596"/>
      <c r="S16" s="2596"/>
      <c r="T16" s="2599" t="s">
        <v>721</v>
      </c>
      <c r="U16" s="2597">
        <f t="shared" si="2"/>
        <v>2.4900000000000002</v>
      </c>
      <c r="W16" s="2589" t="s">
        <v>1271</v>
      </c>
      <c r="X16" s="2544"/>
      <c r="Y16" s="2590" t="s">
        <v>414</v>
      </c>
      <c r="Z16" s="2592"/>
      <c r="AA16" s="2598">
        <f t="shared" si="3"/>
        <v>81.849999999999994</v>
      </c>
      <c r="AB16" s="2594">
        <f t="shared" si="3"/>
        <v>11.68</v>
      </c>
      <c r="AC16" s="2577"/>
      <c r="AE16" s="2542"/>
      <c r="AF16" s="2595" t="s">
        <v>1270</v>
      </c>
      <c r="AG16" s="2596"/>
      <c r="AH16" s="2596"/>
      <c r="AI16" s="2599" t="s">
        <v>721</v>
      </c>
      <c r="AJ16" s="2597">
        <f t="shared" si="4"/>
        <v>2.4900000000000002</v>
      </c>
      <c r="AL16" s="2589" t="s">
        <v>1271</v>
      </c>
      <c r="AM16" s="2544"/>
      <c r="AN16" s="2590" t="s">
        <v>414</v>
      </c>
      <c r="AO16" s="2592"/>
      <c r="AP16" s="2598">
        <f t="shared" si="5"/>
        <v>81.849999999999994</v>
      </c>
      <c r="AQ16" s="2594">
        <f t="shared" si="5"/>
        <v>11.68</v>
      </c>
      <c r="AR16" s="2577"/>
      <c r="AV16" s="2579"/>
      <c r="AW16" s="2585"/>
      <c r="AX16" s="2585"/>
      <c r="AY16" s="2582"/>
      <c r="AZ16" s="2583">
        <f t="shared" si="0"/>
        <v>0</v>
      </c>
      <c r="BA16" s="2584">
        <f t="shared" si="1"/>
        <v>0</v>
      </c>
    </row>
    <row r="17" spans="1:53" ht="15">
      <c r="A17" s="2542"/>
      <c r="B17" s="2595" t="s">
        <v>1272</v>
      </c>
      <c r="C17" s="2596"/>
      <c r="D17" s="2596"/>
      <c r="E17" s="2599" t="s">
        <v>721</v>
      </c>
      <c r="F17" s="2600">
        <f>+(F15)^2*PI()*0.25</f>
        <v>27.711674638050212</v>
      </c>
      <c r="H17" s="2589" t="s">
        <v>1273</v>
      </c>
      <c r="I17" s="2590"/>
      <c r="J17" s="2590" t="s">
        <v>414</v>
      </c>
      <c r="K17" s="2592"/>
      <c r="L17" s="2598">
        <f>L14-L16</f>
        <v>126.07</v>
      </c>
      <c r="M17" s="2601">
        <f>M14-M16</f>
        <v>206.2</v>
      </c>
      <c r="N17" s="2577"/>
      <c r="P17" s="2542"/>
      <c r="Q17" s="2595" t="s">
        <v>1272</v>
      </c>
      <c r="R17" s="2596"/>
      <c r="S17" s="2596"/>
      <c r="T17" s="2599" t="s">
        <v>721</v>
      </c>
      <c r="U17" s="2600">
        <f t="shared" si="2"/>
        <v>27.711674638050212</v>
      </c>
      <c r="W17" s="2589" t="s">
        <v>1273</v>
      </c>
      <c r="X17" s="2590"/>
      <c r="Y17" s="2590" t="s">
        <v>414</v>
      </c>
      <c r="Z17" s="2592"/>
      <c r="AA17" s="2598">
        <f t="shared" si="3"/>
        <v>126.07</v>
      </c>
      <c r="AB17" s="2601">
        <f t="shared" si="3"/>
        <v>206.2</v>
      </c>
      <c r="AC17" s="2577"/>
      <c r="AE17" s="2542"/>
      <c r="AF17" s="2595" t="s">
        <v>1272</v>
      </c>
      <c r="AG17" s="2596"/>
      <c r="AH17" s="2596"/>
      <c r="AI17" s="2599" t="s">
        <v>721</v>
      </c>
      <c r="AJ17" s="2600">
        <f t="shared" si="4"/>
        <v>27.711674638050212</v>
      </c>
      <c r="AL17" s="2589" t="s">
        <v>1273</v>
      </c>
      <c r="AM17" s="2590"/>
      <c r="AN17" s="2590" t="s">
        <v>414</v>
      </c>
      <c r="AO17" s="2592"/>
      <c r="AP17" s="2598">
        <f t="shared" si="5"/>
        <v>126.07</v>
      </c>
      <c r="AQ17" s="2601">
        <f t="shared" si="5"/>
        <v>206.2</v>
      </c>
      <c r="AR17" s="2577"/>
      <c r="AV17" s="2579"/>
      <c r="AW17" s="2585"/>
      <c r="AX17" s="2585"/>
      <c r="AY17" s="2582"/>
      <c r="AZ17" s="2583">
        <f t="shared" si="0"/>
        <v>0</v>
      </c>
      <c r="BA17" s="2584">
        <f t="shared" si="1"/>
        <v>0</v>
      </c>
    </row>
    <row r="18" spans="1:53" ht="15">
      <c r="A18" s="2542"/>
      <c r="B18" s="2595" t="s">
        <v>1274</v>
      </c>
      <c r="C18" s="2596"/>
      <c r="D18" s="2596"/>
      <c r="E18" s="2599" t="s">
        <v>615</v>
      </c>
      <c r="F18" s="2600">
        <f>F17*F16</f>
        <v>69.002069848745037</v>
      </c>
      <c r="H18" s="2595" t="s">
        <v>1275</v>
      </c>
      <c r="I18" s="2590"/>
      <c r="J18" s="2590" t="s">
        <v>414</v>
      </c>
      <c r="K18" s="2592"/>
      <c r="L18" s="2598">
        <f>M18</f>
        <v>96.289999999999992</v>
      </c>
      <c r="M18" s="2601">
        <f>M15-M16</f>
        <v>96.289999999999992</v>
      </c>
      <c r="N18" s="2577"/>
      <c r="P18" s="2542"/>
      <c r="Q18" s="2595" t="s">
        <v>1274</v>
      </c>
      <c r="R18" s="2596"/>
      <c r="S18" s="2596"/>
      <c r="T18" s="2599" t="s">
        <v>615</v>
      </c>
      <c r="U18" s="2600">
        <f t="shared" si="2"/>
        <v>69.002069848745037</v>
      </c>
      <c r="W18" s="2595" t="s">
        <v>1275</v>
      </c>
      <c r="X18" s="2590"/>
      <c r="Y18" s="2590" t="s">
        <v>414</v>
      </c>
      <c r="Z18" s="2592"/>
      <c r="AA18" s="2598">
        <f t="shared" si="3"/>
        <v>96.289999999999992</v>
      </c>
      <c r="AB18" s="2601">
        <f t="shared" si="3"/>
        <v>96.289999999999992</v>
      </c>
      <c r="AC18" s="2577"/>
      <c r="AE18" s="2542"/>
      <c r="AF18" s="2595" t="s">
        <v>1274</v>
      </c>
      <c r="AG18" s="2596"/>
      <c r="AH18" s="2596"/>
      <c r="AI18" s="2599" t="s">
        <v>615</v>
      </c>
      <c r="AJ18" s="2600">
        <f t="shared" si="4"/>
        <v>69.002069848745037</v>
      </c>
      <c r="AL18" s="2595" t="s">
        <v>1275</v>
      </c>
      <c r="AM18" s="2590"/>
      <c r="AN18" s="2590" t="s">
        <v>414</v>
      </c>
      <c r="AO18" s="2592"/>
      <c r="AP18" s="2598">
        <f t="shared" si="5"/>
        <v>96.289999999999992</v>
      </c>
      <c r="AQ18" s="2601">
        <f t="shared" si="5"/>
        <v>96.289999999999992</v>
      </c>
      <c r="AR18" s="2577"/>
      <c r="AV18" s="2579"/>
      <c r="AW18" s="2585"/>
      <c r="AX18" s="2585"/>
      <c r="AY18" s="2582"/>
      <c r="AZ18" s="2583">
        <f t="shared" si="0"/>
        <v>0</v>
      </c>
      <c r="BA18" s="2584">
        <f t="shared" si="1"/>
        <v>0</v>
      </c>
    </row>
    <row r="19" spans="1:53">
      <c r="A19" s="2542"/>
      <c r="B19" s="2595" t="s">
        <v>1276</v>
      </c>
      <c r="C19" s="2596"/>
      <c r="D19" s="2596"/>
      <c r="E19" s="2602" t="s">
        <v>595</v>
      </c>
      <c r="F19" s="2603">
        <f>'DS RS(1)'!F19</f>
        <v>0.58099999999999996</v>
      </c>
      <c r="H19" s="2595" t="s">
        <v>919</v>
      </c>
      <c r="I19" s="2590"/>
      <c r="J19" s="2590" t="s">
        <v>1</v>
      </c>
      <c r="K19" s="2592"/>
      <c r="L19" s="2598">
        <f>(L17-L18)/(L18)*100</f>
        <v>30.927406791982559</v>
      </c>
      <c r="M19" s="2598">
        <f>(M17-M18)/(M18)*100</f>
        <v>114.14477100425798</v>
      </c>
      <c r="N19" s="2577"/>
      <c r="P19" s="2542"/>
      <c r="Q19" s="2595" t="s">
        <v>1276</v>
      </c>
      <c r="R19" s="2596"/>
      <c r="S19" s="2596"/>
      <c r="T19" s="2602" t="s">
        <v>595</v>
      </c>
      <c r="U19" s="2603">
        <f t="shared" si="2"/>
        <v>0.58099999999999996</v>
      </c>
      <c r="W19" s="2595" t="s">
        <v>919</v>
      </c>
      <c r="X19" s="2590"/>
      <c r="Y19" s="2590" t="s">
        <v>1</v>
      </c>
      <c r="Z19" s="2592"/>
      <c r="AA19" s="2598">
        <f t="shared" si="3"/>
        <v>30.927406791982559</v>
      </c>
      <c r="AB19" s="2598">
        <f t="shared" si="3"/>
        <v>114.14477100425798</v>
      </c>
      <c r="AC19" s="2577"/>
      <c r="AE19" s="2542"/>
      <c r="AF19" s="2595" t="s">
        <v>1276</v>
      </c>
      <c r="AG19" s="2596"/>
      <c r="AH19" s="2596"/>
      <c r="AI19" s="2602" t="s">
        <v>595</v>
      </c>
      <c r="AJ19" s="2603">
        <f t="shared" si="4"/>
        <v>0.58099999999999996</v>
      </c>
      <c r="AL19" s="2595" t="s">
        <v>919</v>
      </c>
      <c r="AM19" s="2590"/>
      <c r="AN19" s="2590" t="s">
        <v>1</v>
      </c>
      <c r="AO19" s="2592"/>
      <c r="AP19" s="2598">
        <f t="shared" si="5"/>
        <v>30.927406791982559</v>
      </c>
      <c r="AQ19" s="2598">
        <f t="shared" si="5"/>
        <v>114.14477100425798</v>
      </c>
      <c r="AR19" s="2577"/>
      <c r="AV19" s="2579"/>
      <c r="AW19" s="2585"/>
      <c r="AX19" s="2585"/>
      <c r="AY19" s="2582"/>
      <c r="AZ19" s="2583">
        <f t="shared" si="0"/>
        <v>0</v>
      </c>
      <c r="BA19" s="2584">
        <f t="shared" si="1"/>
        <v>0</v>
      </c>
    </row>
    <row r="20" spans="1:53" ht="15">
      <c r="A20" s="2542"/>
      <c r="B20" s="2595" t="s">
        <v>1277</v>
      </c>
      <c r="C20" s="2596"/>
      <c r="D20" s="2596"/>
      <c r="E20" s="2590" t="s">
        <v>1172</v>
      </c>
      <c r="F20" s="2604">
        <v>66.36</v>
      </c>
      <c r="H20" s="2605" t="s">
        <v>920</v>
      </c>
      <c r="I20" s="2590"/>
      <c r="J20" s="2590" t="s">
        <v>1303</v>
      </c>
      <c r="K20" s="2592"/>
      <c r="L20" s="2606">
        <f>L17/F18</f>
        <v>1.8270466418811764</v>
      </c>
      <c r="M20" s="2606">
        <f>M17/F18</f>
        <v>2.9883161541675145</v>
      </c>
      <c r="N20" s="2577"/>
      <c r="P20" s="2542"/>
      <c r="Q20" s="2595" t="s">
        <v>1277</v>
      </c>
      <c r="R20" s="2596"/>
      <c r="S20" s="2596"/>
      <c r="T20" s="2590" t="s">
        <v>1172</v>
      </c>
      <c r="U20" s="2607">
        <f t="shared" si="2"/>
        <v>66.36</v>
      </c>
      <c r="W20" s="2605" t="s">
        <v>920</v>
      </c>
      <c r="X20" s="2590"/>
      <c r="Y20" s="2590" t="s">
        <v>1303</v>
      </c>
      <c r="Z20" s="2592"/>
      <c r="AA20" s="2606">
        <f t="shared" si="3"/>
        <v>1.8270466418811764</v>
      </c>
      <c r="AB20" s="2606">
        <f t="shared" si="3"/>
        <v>2.9883161541675145</v>
      </c>
      <c r="AC20" s="2577"/>
      <c r="AE20" s="2542"/>
      <c r="AF20" s="2595" t="s">
        <v>1277</v>
      </c>
      <c r="AG20" s="2596"/>
      <c r="AH20" s="2596"/>
      <c r="AI20" s="2590" t="s">
        <v>1172</v>
      </c>
      <c r="AJ20" s="2607">
        <f t="shared" si="4"/>
        <v>66.36</v>
      </c>
      <c r="AL20" s="2605" t="s">
        <v>920</v>
      </c>
      <c r="AM20" s="2590"/>
      <c r="AN20" s="2590" t="s">
        <v>1303</v>
      </c>
      <c r="AO20" s="2592"/>
      <c r="AP20" s="2606">
        <f t="shared" si="5"/>
        <v>1.8270466418811764</v>
      </c>
      <c r="AQ20" s="2606">
        <f t="shared" si="5"/>
        <v>2.9883161541675145</v>
      </c>
      <c r="AR20" s="2577"/>
      <c r="AV20" s="2579"/>
      <c r="AW20" s="2585"/>
      <c r="AX20" s="2585"/>
      <c r="AY20" s="2582"/>
      <c r="AZ20" s="2583">
        <f t="shared" si="0"/>
        <v>0</v>
      </c>
      <c r="BA20" s="2584">
        <f t="shared" si="1"/>
        <v>0</v>
      </c>
    </row>
    <row r="21" spans="1:53" ht="15">
      <c r="A21" s="2542"/>
      <c r="B21" s="2595" t="s">
        <v>1131</v>
      </c>
      <c r="C21" s="2596"/>
      <c r="D21" s="2596"/>
      <c r="E21" s="2608" t="s">
        <v>1304</v>
      </c>
      <c r="F21" s="2609">
        <f>(F20/F17)*100</f>
        <v>239.46586002739338</v>
      </c>
      <c r="H21" s="2605" t="s">
        <v>918</v>
      </c>
      <c r="I21" s="2590"/>
      <c r="J21" s="2590" t="s">
        <v>1303</v>
      </c>
      <c r="K21" s="2592"/>
      <c r="L21" s="2606">
        <f>L20/(1+(L19/100))</f>
        <v>1.3954653854742483</v>
      </c>
      <c r="M21" s="2606">
        <f>M20/(1+(M19/100))</f>
        <v>1.3954653854742483</v>
      </c>
      <c r="N21" s="2577"/>
      <c r="P21" s="2542"/>
      <c r="Q21" s="2595" t="s">
        <v>1131</v>
      </c>
      <c r="R21" s="2596"/>
      <c r="S21" s="2596"/>
      <c r="T21" s="2608" t="s">
        <v>1304</v>
      </c>
      <c r="U21" s="2610">
        <f t="shared" si="2"/>
        <v>239.46586002739338</v>
      </c>
      <c r="W21" s="2605" t="s">
        <v>918</v>
      </c>
      <c r="X21" s="2590"/>
      <c r="Y21" s="2590" t="s">
        <v>1303</v>
      </c>
      <c r="Z21" s="2592"/>
      <c r="AA21" s="2606">
        <f t="shared" si="3"/>
        <v>1.3954653854742483</v>
      </c>
      <c r="AB21" s="2606">
        <f t="shared" si="3"/>
        <v>1.3954653854742483</v>
      </c>
      <c r="AC21" s="2577"/>
      <c r="AE21" s="2542"/>
      <c r="AF21" s="2595" t="s">
        <v>1131</v>
      </c>
      <c r="AG21" s="2596"/>
      <c r="AH21" s="2596"/>
      <c r="AI21" s="2608" t="s">
        <v>1304</v>
      </c>
      <c r="AJ21" s="2610">
        <f t="shared" si="4"/>
        <v>239.46586002739338</v>
      </c>
      <c r="AL21" s="2605" t="s">
        <v>918</v>
      </c>
      <c r="AM21" s="2590"/>
      <c r="AN21" s="2590" t="s">
        <v>1303</v>
      </c>
      <c r="AO21" s="2592"/>
      <c r="AP21" s="2606">
        <f t="shared" si="5"/>
        <v>1.3954653854742483</v>
      </c>
      <c r="AQ21" s="2606">
        <f t="shared" si="5"/>
        <v>1.3954653854742483</v>
      </c>
      <c r="AR21" s="2577"/>
      <c r="AV21" s="2579"/>
      <c r="AW21" s="2585"/>
      <c r="AX21" s="2585"/>
      <c r="AY21" s="2582"/>
      <c r="AZ21" s="2583">
        <f t="shared" si="0"/>
        <v>0</v>
      </c>
      <c r="BA21" s="2584">
        <f t="shared" si="1"/>
        <v>0</v>
      </c>
    </row>
    <row r="22" spans="1:53">
      <c r="A22" s="2542"/>
      <c r="B22" s="2595" t="s">
        <v>1278</v>
      </c>
      <c r="C22" s="2596"/>
      <c r="D22" s="2596"/>
      <c r="E22" s="2608" t="s">
        <v>556</v>
      </c>
      <c r="F22" s="2611">
        <v>1.22</v>
      </c>
      <c r="H22" s="2589" t="s">
        <v>1279</v>
      </c>
      <c r="I22" s="2590"/>
      <c r="J22" s="2590"/>
      <c r="K22" s="2592"/>
      <c r="L22" s="2612">
        <f>'DS RS(1)'!L22</f>
        <v>2.63</v>
      </c>
      <c r="M22" s="2613">
        <f>L22</f>
        <v>2.63</v>
      </c>
      <c r="N22" s="2577"/>
      <c r="P22" s="2542"/>
      <c r="Q22" s="2595" t="s">
        <v>1278</v>
      </c>
      <c r="R22" s="2596"/>
      <c r="S22" s="2596"/>
      <c r="T22" s="2608" t="s">
        <v>556</v>
      </c>
      <c r="U22" s="2614">
        <f t="shared" si="2"/>
        <v>1.22</v>
      </c>
      <c r="W22" s="2589" t="s">
        <v>1279</v>
      </c>
      <c r="X22" s="2590"/>
      <c r="Y22" s="2590"/>
      <c r="Z22" s="2592"/>
      <c r="AA22" s="2612">
        <f t="shared" si="3"/>
        <v>2.63</v>
      </c>
      <c r="AB22" s="2613">
        <f t="shared" si="3"/>
        <v>2.63</v>
      </c>
      <c r="AC22" s="2577"/>
      <c r="AE22" s="2542"/>
      <c r="AF22" s="2595" t="s">
        <v>1278</v>
      </c>
      <c r="AG22" s="2596"/>
      <c r="AH22" s="2596"/>
      <c r="AI22" s="2608" t="s">
        <v>556</v>
      </c>
      <c r="AJ22" s="2614">
        <f t="shared" si="4"/>
        <v>1.22</v>
      </c>
      <c r="AL22" s="2589" t="s">
        <v>1279</v>
      </c>
      <c r="AM22" s="2590"/>
      <c r="AN22" s="2590"/>
      <c r="AO22" s="2592"/>
      <c r="AP22" s="2612">
        <f t="shared" si="5"/>
        <v>2.63</v>
      </c>
      <c r="AQ22" s="2613">
        <f t="shared" si="5"/>
        <v>2.63</v>
      </c>
      <c r="AR22" s="2577"/>
      <c r="AV22" s="2579"/>
      <c r="AW22" s="2585"/>
      <c r="AX22" s="2585"/>
      <c r="AY22" s="2582"/>
      <c r="AZ22" s="2583">
        <f t="shared" si="0"/>
        <v>0</v>
      </c>
      <c r="BA22" s="2584">
        <f t="shared" si="1"/>
        <v>0</v>
      </c>
    </row>
    <row r="23" spans="1:53">
      <c r="A23" s="2542"/>
      <c r="H23" s="2589" t="s">
        <v>1280</v>
      </c>
      <c r="I23" s="2544"/>
      <c r="J23" s="2590"/>
      <c r="K23" s="2589"/>
      <c r="L23" s="2615">
        <f>+(L22/L21)-1</f>
        <v>0.88467591340948637</v>
      </c>
      <c r="M23" s="2615">
        <f>+(M22/M21)-1</f>
        <v>0.88467591340948637</v>
      </c>
      <c r="N23" s="2577"/>
      <c r="P23" s="2542"/>
      <c r="W23" s="2589" t="s">
        <v>1280</v>
      </c>
      <c r="X23" s="2544"/>
      <c r="Y23" s="2590"/>
      <c r="Z23" s="2589"/>
      <c r="AA23" s="2615">
        <f t="shared" si="3"/>
        <v>0.88467591340948637</v>
      </c>
      <c r="AB23" s="2615">
        <f t="shared" si="3"/>
        <v>0.88467591340948637</v>
      </c>
      <c r="AC23" s="2577"/>
      <c r="AE23" s="2542"/>
      <c r="AL23" s="2589" t="s">
        <v>1280</v>
      </c>
      <c r="AM23" s="2544"/>
      <c r="AN23" s="2590"/>
      <c r="AO23" s="2589"/>
      <c r="AP23" s="2615">
        <f t="shared" si="5"/>
        <v>0.88467591340948637</v>
      </c>
      <c r="AQ23" s="2615">
        <f t="shared" si="5"/>
        <v>0.88467591340948637</v>
      </c>
      <c r="AR23" s="2577"/>
      <c r="AV23" s="2579"/>
      <c r="AW23" s="2585"/>
      <c r="AX23" s="2585"/>
      <c r="AY23" s="2582"/>
      <c r="AZ23" s="2583">
        <f t="shared" si="0"/>
        <v>0</v>
      </c>
      <c r="BA23" s="2584">
        <f t="shared" si="1"/>
        <v>0</v>
      </c>
    </row>
    <row r="24" spans="1:53">
      <c r="A24" s="2542"/>
      <c r="J24" s="2575"/>
      <c r="L24" s="2616"/>
      <c r="M24" s="2616"/>
      <c r="N24" s="2577"/>
      <c r="P24" s="2542"/>
      <c r="Y24" s="2575"/>
      <c r="AA24" s="2616"/>
      <c r="AB24" s="2616"/>
      <c r="AC24" s="2577"/>
      <c r="AE24" s="2542"/>
      <c r="AN24" s="2575"/>
      <c r="AP24" s="2616"/>
      <c r="AQ24" s="2616"/>
      <c r="AR24" s="2577"/>
      <c r="AV24" s="2579"/>
      <c r="AW24" s="2585"/>
      <c r="AX24" s="2585"/>
      <c r="AY24" s="2582"/>
      <c r="AZ24" s="2583">
        <f t="shared" si="0"/>
        <v>0</v>
      </c>
      <c r="BA24" s="2584">
        <f t="shared" si="1"/>
        <v>0</v>
      </c>
    </row>
    <row r="25" spans="1:53">
      <c r="A25" s="2542"/>
      <c r="B25" s="2574"/>
      <c r="C25" s="2574"/>
      <c r="D25" s="2574"/>
      <c r="E25" s="2575"/>
      <c r="F25" s="2617"/>
      <c r="G25" s="2588"/>
      <c r="H25" s="2587"/>
      <c r="I25" s="2587"/>
      <c r="N25" s="2577"/>
      <c r="P25" s="2542"/>
      <c r="Q25" s="2574"/>
      <c r="R25" s="2574"/>
      <c r="S25" s="2574"/>
      <c r="T25" s="2575"/>
      <c r="U25" s="2617"/>
      <c r="V25" s="2588"/>
      <c r="W25" s="2587"/>
      <c r="X25" s="2587"/>
      <c r="AC25" s="2577"/>
      <c r="AE25" s="2542"/>
      <c r="AF25" s="2574"/>
      <c r="AG25" s="2574"/>
      <c r="AH25" s="2574"/>
      <c r="AI25" s="2575"/>
      <c r="AJ25" s="2617"/>
      <c r="AK25" s="2588"/>
      <c r="AL25" s="2587"/>
      <c r="AM25" s="2587"/>
      <c r="AR25" s="2577"/>
      <c r="AV25" s="2579"/>
      <c r="AW25" s="2585"/>
      <c r="AX25" s="2585"/>
      <c r="AY25" s="2582"/>
      <c r="AZ25" s="2583">
        <f t="shared" si="0"/>
        <v>0</v>
      </c>
      <c r="BA25" s="2584">
        <f t="shared" si="1"/>
        <v>0</v>
      </c>
    </row>
    <row r="26" spans="1:53">
      <c r="A26" s="2542"/>
      <c r="E26" s="2618" t="s">
        <v>1204</v>
      </c>
      <c r="F26" s="2619" t="s">
        <v>1281</v>
      </c>
      <c r="G26" s="2620" t="s">
        <v>1204</v>
      </c>
      <c r="H26" s="2621" t="s">
        <v>1282</v>
      </c>
      <c r="I26" s="2622" t="s">
        <v>1283</v>
      </c>
      <c r="J26" s="2623"/>
      <c r="K26" s="2624" t="s">
        <v>1284</v>
      </c>
      <c r="L26" s="2625"/>
      <c r="N26" s="2577"/>
      <c r="P26" s="2542"/>
      <c r="T26" s="2618" t="s">
        <v>1204</v>
      </c>
      <c r="U26" s="2619" t="s">
        <v>1281</v>
      </c>
      <c r="V26" s="2620" t="s">
        <v>1204</v>
      </c>
      <c r="W26" s="2621" t="s">
        <v>1282</v>
      </c>
      <c r="X26" s="2622" t="s">
        <v>1283</v>
      </c>
      <c r="Y26" s="2623"/>
      <c r="Z26" s="2624" t="s">
        <v>1284</v>
      </c>
      <c r="AA26" s="2625"/>
      <c r="AC26" s="2577"/>
      <c r="AE26" s="2542"/>
      <c r="AI26" s="2618" t="s">
        <v>1204</v>
      </c>
      <c r="AJ26" s="2619" t="s">
        <v>1281</v>
      </c>
      <c r="AK26" s="2620" t="s">
        <v>1204</v>
      </c>
      <c r="AL26" s="2621" t="s">
        <v>1282</v>
      </c>
      <c r="AM26" s="2622" t="s">
        <v>1283</v>
      </c>
      <c r="AN26" s="2623"/>
      <c r="AO26" s="2624" t="s">
        <v>1284</v>
      </c>
      <c r="AP26" s="2625"/>
      <c r="AR26" s="2577"/>
      <c r="AV26" s="2626"/>
      <c r="AW26" s="2585"/>
      <c r="AX26" s="2582"/>
      <c r="AY26" s="2582"/>
      <c r="AZ26" s="2583">
        <f t="shared" si="0"/>
        <v>0</v>
      </c>
      <c r="BA26" s="2584">
        <f t="shared" si="1"/>
        <v>0</v>
      </c>
    </row>
    <row r="27" spans="1:53">
      <c r="A27" s="2542"/>
      <c r="E27" s="2627" t="s">
        <v>1285</v>
      </c>
      <c r="F27" s="2628" t="s">
        <v>1185</v>
      </c>
      <c r="G27" s="2628" t="s">
        <v>174</v>
      </c>
      <c r="H27" s="2629" t="s">
        <v>778</v>
      </c>
      <c r="I27" s="2628" t="s">
        <v>1185</v>
      </c>
      <c r="J27" s="2628" t="s">
        <v>1286</v>
      </c>
      <c r="K27" s="2574"/>
      <c r="L27" s="2630"/>
      <c r="M27" s="2547"/>
      <c r="N27" s="2577"/>
      <c r="P27" s="2542"/>
      <c r="T27" s="2627" t="s">
        <v>1285</v>
      </c>
      <c r="U27" s="2628" t="s">
        <v>1185</v>
      </c>
      <c r="V27" s="2628" t="s">
        <v>174</v>
      </c>
      <c r="W27" s="2629" t="s">
        <v>778</v>
      </c>
      <c r="X27" s="2628" t="s">
        <v>1185</v>
      </c>
      <c r="Y27" s="2628" t="s">
        <v>1286</v>
      </c>
      <c r="Z27" s="2574"/>
      <c r="AA27" s="2630"/>
      <c r="AB27" s="2547"/>
      <c r="AC27" s="2577"/>
      <c r="AE27" s="2542"/>
      <c r="AI27" s="2627" t="s">
        <v>1285</v>
      </c>
      <c r="AJ27" s="2628" t="s">
        <v>1185</v>
      </c>
      <c r="AK27" s="2628" t="s">
        <v>174</v>
      </c>
      <c r="AL27" s="2629" t="s">
        <v>778</v>
      </c>
      <c r="AM27" s="2628" t="s">
        <v>1185</v>
      </c>
      <c r="AN27" s="2628" t="s">
        <v>1286</v>
      </c>
      <c r="AO27" s="2574"/>
      <c r="AP27" s="2630"/>
      <c r="AQ27" s="2547"/>
      <c r="AR27" s="2577"/>
      <c r="AV27" s="2631"/>
      <c r="AW27" s="2632"/>
      <c r="AX27" s="2633"/>
      <c r="AY27" s="2633"/>
      <c r="AZ27" s="2583">
        <f t="shared" si="0"/>
        <v>0</v>
      </c>
      <c r="BA27" s="2584">
        <f t="shared" si="1"/>
        <v>0</v>
      </c>
    </row>
    <row r="28" spans="1:53">
      <c r="A28" s="2542"/>
      <c r="E28" s="2627"/>
      <c r="F28" s="2634"/>
      <c r="G28" s="2628"/>
      <c r="H28" s="2628"/>
      <c r="I28" s="2628"/>
      <c r="J28" s="2628" t="s">
        <v>1287</v>
      </c>
      <c r="K28" s="2574"/>
      <c r="L28" s="2635"/>
      <c r="N28" s="2577"/>
      <c r="P28" s="2542"/>
      <c r="T28" s="2627"/>
      <c r="U28" s="2634"/>
      <c r="V28" s="2628"/>
      <c r="W28" s="2628"/>
      <c r="X28" s="2628"/>
      <c r="Y28" s="2628" t="s">
        <v>1287</v>
      </c>
      <c r="Z28" s="2574"/>
      <c r="AA28" s="2635"/>
      <c r="AC28" s="2577"/>
      <c r="AE28" s="2542"/>
      <c r="AI28" s="2627"/>
      <c r="AJ28" s="2634"/>
      <c r="AK28" s="2628"/>
      <c r="AL28" s="2628"/>
      <c r="AM28" s="2628"/>
      <c r="AN28" s="2628" t="s">
        <v>1287</v>
      </c>
      <c r="AO28" s="2574"/>
      <c r="AP28" s="2635"/>
      <c r="AR28" s="2577"/>
      <c r="AV28" s="2636"/>
      <c r="AW28" s="2637"/>
      <c r="AX28" s="2638"/>
      <c r="AY28" s="2638"/>
      <c r="AZ28" s="2639">
        <f>+(AW28)^2*PI()*(0.25)</f>
        <v>0</v>
      </c>
      <c r="BA28" s="2640">
        <f>AZ28*AX28</f>
        <v>0</v>
      </c>
    </row>
    <row r="29" spans="1:53" ht="15.75" thickBot="1">
      <c r="A29" s="4833" t="s">
        <v>1345</v>
      </c>
      <c r="B29" s="4834"/>
      <c r="C29" s="4835"/>
      <c r="E29" s="2641" t="s">
        <v>2</v>
      </c>
      <c r="F29" s="2642" t="s">
        <v>126</v>
      </c>
      <c r="G29" s="2643" t="s">
        <v>120</v>
      </c>
      <c r="H29" s="2643" t="s">
        <v>908</v>
      </c>
      <c r="I29" s="2643" t="s">
        <v>584</v>
      </c>
      <c r="J29" s="2643" t="s">
        <v>583</v>
      </c>
      <c r="K29" s="2644"/>
      <c r="L29" s="2645"/>
      <c r="N29" s="2577"/>
      <c r="P29" s="2542"/>
      <c r="T29" s="2641" t="s">
        <v>2</v>
      </c>
      <c r="U29" s="2642" t="s">
        <v>126</v>
      </c>
      <c r="V29" s="2643" t="s">
        <v>120</v>
      </c>
      <c r="W29" s="2643" t="s">
        <v>908</v>
      </c>
      <c r="X29" s="2643" t="s">
        <v>584</v>
      </c>
      <c r="Y29" s="2643" t="s">
        <v>583</v>
      </c>
      <c r="Z29" s="2644"/>
      <c r="AA29" s="2645"/>
      <c r="AC29" s="2577"/>
      <c r="AE29" s="2542"/>
      <c r="AI29" s="2641" t="s">
        <v>2</v>
      </c>
      <c r="AJ29" s="2642" t="s">
        <v>126</v>
      </c>
      <c r="AK29" s="2643" t="s">
        <v>120</v>
      </c>
      <c r="AL29" s="2643" t="s">
        <v>908</v>
      </c>
      <c r="AM29" s="2643" t="s">
        <v>584</v>
      </c>
      <c r="AN29" s="2643" t="s">
        <v>583</v>
      </c>
      <c r="AO29" s="2644"/>
      <c r="AP29" s="2645"/>
      <c r="AR29" s="2577"/>
      <c r="AV29" s="2646" t="s">
        <v>1288</v>
      </c>
      <c r="AW29" s="2647">
        <f>SUM(AW9:AW27)/19</f>
        <v>0.31263157894736843</v>
      </c>
      <c r="AX29" s="2648">
        <f>SUM(AX9:AX27)/19</f>
        <v>0.13105263157894739</v>
      </c>
      <c r="AY29" s="2647">
        <f>SUM(AY9:AY27)/19</f>
        <v>4.3078947368421048</v>
      </c>
      <c r="AZ29" s="2647">
        <f>SUM(AZ9:AZ27)/19</f>
        <v>1.4585091914763268</v>
      </c>
      <c r="BA29" s="2649">
        <f>SUM(BA9:BA27)/19</f>
        <v>3.6316878867760547</v>
      </c>
    </row>
    <row r="30" spans="1:53" s="2588" customFormat="1" ht="17.100000000000001" customHeight="1">
      <c r="A30" s="2895">
        <v>0</v>
      </c>
      <c r="B30" s="2896"/>
      <c r="C30" s="2895">
        <v>0</v>
      </c>
      <c r="E30" s="2689">
        <v>0</v>
      </c>
      <c r="F30" s="2717"/>
      <c r="G30" s="2686">
        <f t="shared" ref="G30:G58" si="6">$F$19*F30</f>
        <v>0</v>
      </c>
      <c r="H30" s="2707">
        <f t="shared" ref="H30:H58" si="7">+(G30/$F$17)*10</f>
        <v>0</v>
      </c>
      <c r="I30" s="2718"/>
      <c r="J30" s="2687">
        <v>0</v>
      </c>
      <c r="K30" s="2653"/>
      <c r="L30" s="2650"/>
      <c r="N30" s="2678"/>
      <c r="O30" s="2922"/>
      <c r="P30" s="2663"/>
      <c r="T30" s="2689">
        <v>0</v>
      </c>
      <c r="U30" s="2717"/>
      <c r="V30" s="2686">
        <f t="shared" ref="V30:V58" si="8">$F$19*U30</f>
        <v>0</v>
      </c>
      <c r="W30" s="2707">
        <f t="shared" ref="W30:W58" si="9">+(V30/$F$17)*10</f>
        <v>0</v>
      </c>
      <c r="X30" s="2718"/>
      <c r="Y30" s="2687">
        <v>0</v>
      </c>
      <c r="Z30" s="2653"/>
      <c r="AA30" s="2650"/>
      <c r="AC30" s="2678"/>
      <c r="AD30" s="2921"/>
      <c r="AE30" s="2663"/>
      <c r="AI30" s="2689">
        <v>0</v>
      </c>
      <c r="AJ30" s="2717"/>
      <c r="AK30" s="2686">
        <f t="shared" ref="AK30:AK58" si="10">$F$19*AJ30</f>
        <v>0</v>
      </c>
      <c r="AL30" s="2707">
        <f t="shared" ref="AL30:AL58" si="11">+(AK30/$F$17)*10</f>
        <v>0</v>
      </c>
      <c r="AM30" s="2718"/>
      <c r="AN30" s="2687">
        <v>0</v>
      </c>
      <c r="AO30" s="2653"/>
      <c r="AP30" s="2650"/>
      <c r="AR30" s="2678"/>
    </row>
    <row r="31" spans="1:53" s="2588" customFormat="1" ht="17.100000000000001" customHeight="1">
      <c r="A31" s="2897">
        <f>SQRT(D75)</f>
        <v>0.31622776601683794</v>
      </c>
      <c r="B31" s="2896"/>
      <c r="C31" s="735">
        <f>-($B$30-B31)/100</f>
        <v>0</v>
      </c>
      <c r="E31" s="2689">
        <v>0.25</v>
      </c>
      <c r="F31" s="2718"/>
      <c r="G31" s="2686">
        <f t="shared" si="6"/>
        <v>0</v>
      </c>
      <c r="H31" s="2686">
        <f t="shared" si="7"/>
        <v>0</v>
      </c>
      <c r="I31" s="2718"/>
      <c r="J31" s="2687">
        <f t="shared" ref="J31:J58" si="12">-($I$30-I31)/100</f>
        <v>0</v>
      </c>
      <c r="K31" s="2653"/>
      <c r="L31" s="2650">
        <v>146.19999999999999</v>
      </c>
      <c r="M31" s="2588">
        <f>L31+295.8</f>
        <v>442</v>
      </c>
      <c r="N31" s="2678"/>
      <c r="O31" s="2922"/>
      <c r="P31" s="2663"/>
      <c r="T31" s="2689">
        <v>0.25</v>
      </c>
      <c r="U31" s="2718"/>
      <c r="V31" s="2686">
        <f t="shared" si="8"/>
        <v>0</v>
      </c>
      <c r="W31" s="2686">
        <f t="shared" si="9"/>
        <v>0</v>
      </c>
      <c r="X31" s="2718"/>
      <c r="Y31" s="2687">
        <f t="shared" ref="Y31:Y58" si="13">-($X$30-X31)/100</f>
        <v>0</v>
      </c>
      <c r="Z31" s="2653"/>
      <c r="AA31" s="2650">
        <v>91.7</v>
      </c>
      <c r="AB31" s="2588">
        <f>AA31+250</f>
        <v>341.7</v>
      </c>
      <c r="AC31" s="2678"/>
      <c r="AD31" s="2921"/>
      <c r="AE31" s="2663"/>
      <c r="AI31" s="2689">
        <v>0.25</v>
      </c>
      <c r="AJ31" s="2718"/>
      <c r="AK31" s="2686">
        <f t="shared" si="10"/>
        <v>0</v>
      </c>
      <c r="AL31" s="2686">
        <f t="shared" si="11"/>
        <v>0</v>
      </c>
      <c r="AM31" s="2718"/>
      <c r="AN31" s="2687">
        <f t="shared" ref="AN31:AN58" si="14">-($AM$30-AM31)/100</f>
        <v>0</v>
      </c>
      <c r="AO31" s="2653"/>
      <c r="AP31" s="2650">
        <v>91.7</v>
      </c>
      <c r="AQ31" s="2588">
        <f>AP31+167</f>
        <v>258.7</v>
      </c>
      <c r="AR31" s="2678"/>
    </row>
    <row r="32" spans="1:53" s="2588" customFormat="1" ht="17.100000000000001" customHeight="1">
      <c r="A32" s="2897">
        <f t="shared" ref="A32:A44" si="15">SQRT(D76)</f>
        <v>0.5</v>
      </c>
      <c r="B32" s="2896"/>
      <c r="C32" s="735">
        <f>-($B$30-B32)/100</f>
        <v>0</v>
      </c>
      <c r="E32" s="2689">
        <v>0.5</v>
      </c>
      <c r="F32" s="2718"/>
      <c r="G32" s="2686">
        <f t="shared" si="6"/>
        <v>0</v>
      </c>
      <c r="H32" s="2686">
        <f t="shared" si="7"/>
        <v>0</v>
      </c>
      <c r="I32" s="2718"/>
      <c r="J32" s="2687">
        <f t="shared" si="12"/>
        <v>0</v>
      </c>
      <c r="K32" s="2653"/>
      <c r="L32" s="2650">
        <v>204.5</v>
      </c>
      <c r="M32" s="2588">
        <f t="shared" ref="M32:M58" si="16">L32+295.8</f>
        <v>500.3</v>
      </c>
      <c r="N32" s="2678"/>
      <c r="O32" s="2922"/>
      <c r="P32" s="2663"/>
      <c r="T32" s="2689">
        <v>0.5</v>
      </c>
      <c r="U32" s="2718"/>
      <c r="V32" s="2686">
        <f t="shared" si="8"/>
        <v>0</v>
      </c>
      <c r="W32" s="2686">
        <f t="shared" si="9"/>
        <v>0</v>
      </c>
      <c r="X32" s="2718"/>
      <c r="Y32" s="2687">
        <f t="shared" si="13"/>
        <v>0</v>
      </c>
      <c r="Z32" s="2653"/>
      <c r="AA32" s="2650">
        <v>160.69999999999999</v>
      </c>
      <c r="AB32" s="2588">
        <f t="shared" ref="AB32:AB58" si="17">AA32+250</f>
        <v>410.7</v>
      </c>
      <c r="AC32" s="2678"/>
      <c r="AD32" s="2921"/>
      <c r="AE32" s="2663"/>
      <c r="AI32" s="2689">
        <v>0.5</v>
      </c>
      <c r="AJ32" s="2718"/>
      <c r="AK32" s="2686">
        <f t="shared" si="10"/>
        <v>0</v>
      </c>
      <c r="AL32" s="2686">
        <f t="shared" si="11"/>
        <v>0</v>
      </c>
      <c r="AM32" s="2718"/>
      <c r="AN32" s="2687">
        <f t="shared" si="14"/>
        <v>0</v>
      </c>
      <c r="AO32" s="2653"/>
      <c r="AP32" s="2650">
        <v>160.69999999999999</v>
      </c>
      <c r="AQ32" s="2588">
        <f t="shared" ref="AQ32:AQ58" si="18">AP32+167</f>
        <v>327.7</v>
      </c>
      <c r="AR32" s="2678"/>
    </row>
    <row r="33" spans="1:44" s="2588" customFormat="1" ht="17.100000000000001" customHeight="1">
      <c r="A33" s="2897">
        <f t="shared" si="15"/>
        <v>0.70710678118654757</v>
      </c>
      <c r="B33" s="2896"/>
      <c r="C33" s="735">
        <f>-($B$30-B33)/100</f>
        <v>0</v>
      </c>
      <c r="E33" s="2689">
        <v>0.75</v>
      </c>
      <c r="F33" s="2718"/>
      <c r="G33" s="2686">
        <f t="shared" si="6"/>
        <v>0</v>
      </c>
      <c r="H33" s="2686">
        <f t="shared" si="7"/>
        <v>0</v>
      </c>
      <c r="I33" s="2718"/>
      <c r="J33" s="2687">
        <f t="shared" si="12"/>
        <v>0</v>
      </c>
      <c r="K33" s="2652"/>
      <c r="L33" s="2651">
        <v>237.6</v>
      </c>
      <c r="M33" s="2588">
        <f t="shared" si="16"/>
        <v>533.4</v>
      </c>
      <c r="N33" s="2678"/>
      <c r="O33" s="2922"/>
      <c r="P33" s="2663"/>
      <c r="T33" s="2689">
        <v>0.75</v>
      </c>
      <c r="U33" s="2718"/>
      <c r="V33" s="2686">
        <f t="shared" si="8"/>
        <v>0</v>
      </c>
      <c r="W33" s="2686">
        <f t="shared" si="9"/>
        <v>0</v>
      </c>
      <c r="X33" s="2718"/>
      <c r="Y33" s="2687">
        <f t="shared" si="13"/>
        <v>0</v>
      </c>
      <c r="Z33" s="2652"/>
      <c r="AA33" s="2651">
        <v>197.5</v>
      </c>
      <c r="AB33" s="2588">
        <f t="shared" si="17"/>
        <v>447.5</v>
      </c>
      <c r="AC33" s="2678"/>
      <c r="AD33" s="2921"/>
      <c r="AE33" s="2663"/>
      <c r="AI33" s="2689">
        <v>0.75</v>
      </c>
      <c r="AJ33" s="2718"/>
      <c r="AK33" s="2686">
        <f t="shared" si="10"/>
        <v>0</v>
      </c>
      <c r="AL33" s="2686">
        <f t="shared" si="11"/>
        <v>0</v>
      </c>
      <c r="AM33" s="2718"/>
      <c r="AN33" s="2687">
        <f t="shared" si="14"/>
        <v>0</v>
      </c>
      <c r="AO33" s="2652"/>
      <c r="AP33" s="2651">
        <v>197.5</v>
      </c>
      <c r="AQ33" s="2588">
        <f t="shared" si="18"/>
        <v>364.5</v>
      </c>
      <c r="AR33" s="2678"/>
    </row>
    <row r="34" spans="1:44" s="2588" customFormat="1" ht="17.100000000000001" customHeight="1">
      <c r="A34" s="2897">
        <f t="shared" si="15"/>
        <v>1</v>
      </c>
      <c r="B34" s="2896"/>
      <c r="C34" s="735">
        <f>-($B$30-B34)/100</f>
        <v>0</v>
      </c>
      <c r="E34" s="2689">
        <v>1</v>
      </c>
      <c r="F34" s="2718"/>
      <c r="G34" s="2686">
        <f t="shared" si="6"/>
        <v>0</v>
      </c>
      <c r="H34" s="2686">
        <f t="shared" si="7"/>
        <v>0</v>
      </c>
      <c r="I34" s="2718"/>
      <c r="J34" s="2687">
        <f t="shared" si="12"/>
        <v>0</v>
      </c>
      <c r="K34" s="2652"/>
      <c r="L34" s="2651">
        <v>251.7</v>
      </c>
      <c r="M34" s="2588">
        <f t="shared" si="16"/>
        <v>547.5</v>
      </c>
      <c r="N34" s="2678"/>
      <c r="O34" s="2922"/>
      <c r="P34" s="2663"/>
      <c r="T34" s="2689">
        <v>1</v>
      </c>
      <c r="U34" s="2718"/>
      <c r="V34" s="2686">
        <f t="shared" si="8"/>
        <v>0</v>
      </c>
      <c r="W34" s="2686">
        <f t="shared" si="9"/>
        <v>0</v>
      </c>
      <c r="X34" s="2718"/>
      <c r="Y34" s="2687">
        <f t="shared" si="13"/>
        <v>0</v>
      </c>
      <c r="Z34" s="2652"/>
      <c r="AA34" s="2651">
        <v>208.6</v>
      </c>
      <c r="AB34" s="2588">
        <f t="shared" si="17"/>
        <v>458.6</v>
      </c>
      <c r="AC34" s="2678"/>
      <c r="AD34" s="2921"/>
      <c r="AE34" s="2663"/>
      <c r="AI34" s="2689">
        <v>1</v>
      </c>
      <c r="AJ34" s="2718"/>
      <c r="AK34" s="2686">
        <f t="shared" si="10"/>
        <v>0</v>
      </c>
      <c r="AL34" s="2686">
        <f t="shared" si="11"/>
        <v>0</v>
      </c>
      <c r="AM34" s="2718"/>
      <c r="AN34" s="2687">
        <f t="shared" si="14"/>
        <v>0</v>
      </c>
      <c r="AO34" s="2652"/>
      <c r="AP34" s="2651">
        <v>208.6</v>
      </c>
      <c r="AQ34" s="2588">
        <f t="shared" si="18"/>
        <v>375.6</v>
      </c>
      <c r="AR34" s="2678"/>
    </row>
    <row r="35" spans="1:44" s="2588" customFormat="1" ht="17.100000000000001" customHeight="1">
      <c r="A35" s="2897">
        <f t="shared" si="15"/>
        <v>1.4142135623730951</v>
      </c>
      <c r="B35" s="2896"/>
      <c r="C35" s="735">
        <f t="shared" ref="C35:C44" si="19">-($B$30-B35)/100</f>
        <v>0</v>
      </c>
      <c r="E35" s="2689">
        <v>1.25</v>
      </c>
      <c r="F35" s="2718"/>
      <c r="G35" s="2686">
        <f t="shared" si="6"/>
        <v>0</v>
      </c>
      <c r="H35" s="2686">
        <f t="shared" si="7"/>
        <v>0</v>
      </c>
      <c r="I35" s="2718"/>
      <c r="J35" s="2687">
        <f t="shared" si="12"/>
        <v>0</v>
      </c>
      <c r="K35" s="2653"/>
      <c r="L35" s="2650">
        <v>260.5</v>
      </c>
      <c r="M35" s="2588">
        <f t="shared" si="16"/>
        <v>556.29999999999995</v>
      </c>
      <c r="N35" s="2678"/>
      <c r="O35" s="2922"/>
      <c r="P35" s="2663"/>
      <c r="T35" s="2689">
        <v>1.25</v>
      </c>
      <c r="U35" s="2718"/>
      <c r="V35" s="2686">
        <f t="shared" si="8"/>
        <v>0</v>
      </c>
      <c r="W35" s="2686">
        <f t="shared" si="9"/>
        <v>0</v>
      </c>
      <c r="X35" s="2718"/>
      <c r="Y35" s="2687">
        <f t="shared" si="13"/>
        <v>0</v>
      </c>
      <c r="Z35" s="2653"/>
      <c r="AA35" s="2650">
        <v>209.2</v>
      </c>
      <c r="AB35" s="2588">
        <f t="shared" si="17"/>
        <v>459.2</v>
      </c>
      <c r="AC35" s="2678"/>
      <c r="AD35" s="2921"/>
      <c r="AE35" s="2663"/>
      <c r="AI35" s="2689">
        <v>1.25</v>
      </c>
      <c r="AJ35" s="2718"/>
      <c r="AK35" s="2686">
        <f t="shared" si="10"/>
        <v>0</v>
      </c>
      <c r="AL35" s="2686">
        <f t="shared" si="11"/>
        <v>0</v>
      </c>
      <c r="AM35" s="2718"/>
      <c r="AN35" s="2687">
        <f t="shared" si="14"/>
        <v>0</v>
      </c>
      <c r="AO35" s="2653"/>
      <c r="AP35" s="2650">
        <v>209.2</v>
      </c>
      <c r="AQ35" s="2588">
        <f t="shared" si="18"/>
        <v>376.2</v>
      </c>
      <c r="AR35" s="2678"/>
    </row>
    <row r="36" spans="1:44" s="2588" customFormat="1" ht="17.100000000000001" customHeight="1">
      <c r="A36" s="2897">
        <f t="shared" si="15"/>
        <v>2</v>
      </c>
      <c r="B36" s="2896"/>
      <c r="C36" s="735">
        <f t="shared" si="19"/>
        <v>0</v>
      </c>
      <c r="E36" s="2689">
        <v>1.5</v>
      </c>
      <c r="F36" s="2718"/>
      <c r="G36" s="2686">
        <f t="shared" si="6"/>
        <v>0</v>
      </c>
      <c r="H36" s="2686">
        <f t="shared" si="7"/>
        <v>0</v>
      </c>
      <c r="I36" s="2718"/>
      <c r="J36" s="2687">
        <f t="shared" si="12"/>
        <v>0</v>
      </c>
      <c r="K36" s="2653"/>
      <c r="L36" s="2650">
        <v>272.39999999999998</v>
      </c>
      <c r="M36" s="2588">
        <f t="shared" si="16"/>
        <v>568.20000000000005</v>
      </c>
      <c r="N36" s="2678"/>
      <c r="O36" s="2922"/>
      <c r="P36" s="2663"/>
      <c r="T36" s="2689">
        <v>1.5</v>
      </c>
      <c r="U36" s="2718"/>
      <c r="V36" s="2686">
        <f t="shared" si="8"/>
        <v>0</v>
      </c>
      <c r="W36" s="2686">
        <f t="shared" si="9"/>
        <v>0</v>
      </c>
      <c r="X36" s="2718"/>
      <c r="Y36" s="2687">
        <f t="shared" si="13"/>
        <v>0</v>
      </c>
      <c r="Z36" s="2653"/>
      <c r="AA36" s="2650">
        <v>210.4</v>
      </c>
      <c r="AB36" s="2588">
        <f t="shared" si="17"/>
        <v>460.4</v>
      </c>
      <c r="AC36" s="2678"/>
      <c r="AD36" s="2921"/>
      <c r="AE36" s="2663"/>
      <c r="AI36" s="2689">
        <v>1.5</v>
      </c>
      <c r="AJ36" s="2718"/>
      <c r="AK36" s="2686">
        <f t="shared" si="10"/>
        <v>0</v>
      </c>
      <c r="AL36" s="2686">
        <f t="shared" si="11"/>
        <v>0</v>
      </c>
      <c r="AM36" s="2718"/>
      <c r="AN36" s="2687">
        <f t="shared" si="14"/>
        <v>0</v>
      </c>
      <c r="AO36" s="2653"/>
      <c r="AP36" s="2650">
        <v>210.4</v>
      </c>
      <c r="AQ36" s="2588">
        <f t="shared" si="18"/>
        <v>377.4</v>
      </c>
      <c r="AR36" s="2678"/>
    </row>
    <row r="37" spans="1:44" s="2588" customFormat="1" ht="17.100000000000001" customHeight="1">
      <c r="A37" s="2897">
        <f t="shared" si="15"/>
        <v>2.8284271247461903</v>
      </c>
      <c r="B37" s="2896"/>
      <c r="C37" s="735">
        <f t="shared" si="19"/>
        <v>0</v>
      </c>
      <c r="E37" s="2689">
        <v>1.75</v>
      </c>
      <c r="F37" s="2718"/>
      <c r="G37" s="2686">
        <f t="shared" si="6"/>
        <v>0</v>
      </c>
      <c r="H37" s="2686">
        <f t="shared" si="7"/>
        <v>0</v>
      </c>
      <c r="I37" s="2718"/>
      <c r="J37" s="2687">
        <f t="shared" si="12"/>
        <v>0</v>
      </c>
      <c r="K37" s="2653"/>
      <c r="L37" s="2650">
        <v>276.2</v>
      </c>
      <c r="M37" s="2588">
        <f t="shared" si="16"/>
        <v>572</v>
      </c>
      <c r="N37" s="2678"/>
      <c r="O37" s="2922"/>
      <c r="P37" s="2663"/>
      <c r="T37" s="2689">
        <v>1.75</v>
      </c>
      <c r="U37" s="2718"/>
      <c r="V37" s="2686">
        <f t="shared" si="8"/>
        <v>0</v>
      </c>
      <c r="W37" s="2686">
        <f t="shared" si="9"/>
        <v>0</v>
      </c>
      <c r="X37" s="2718"/>
      <c r="Y37" s="2687">
        <f t="shared" si="13"/>
        <v>0</v>
      </c>
      <c r="Z37" s="2653"/>
      <c r="AA37" s="2650">
        <v>211.5</v>
      </c>
      <c r="AB37" s="2588">
        <f t="shared" si="17"/>
        <v>461.5</v>
      </c>
      <c r="AC37" s="2678"/>
      <c r="AD37" s="2921"/>
      <c r="AE37" s="2663"/>
      <c r="AI37" s="2689">
        <v>1.75</v>
      </c>
      <c r="AJ37" s="2718"/>
      <c r="AK37" s="2686">
        <f t="shared" si="10"/>
        <v>0</v>
      </c>
      <c r="AL37" s="2686">
        <f t="shared" si="11"/>
        <v>0</v>
      </c>
      <c r="AM37" s="2718"/>
      <c r="AN37" s="2687">
        <f t="shared" si="14"/>
        <v>0</v>
      </c>
      <c r="AO37" s="2653"/>
      <c r="AP37" s="2650">
        <v>211.5</v>
      </c>
      <c r="AQ37" s="2588">
        <f t="shared" si="18"/>
        <v>378.5</v>
      </c>
      <c r="AR37" s="2678"/>
    </row>
    <row r="38" spans="1:44" s="2588" customFormat="1" ht="17.100000000000001" customHeight="1">
      <c r="A38" s="2897">
        <f t="shared" si="15"/>
        <v>3.872983346207417</v>
      </c>
      <c r="B38" s="2896"/>
      <c r="C38" s="735">
        <f t="shared" si="19"/>
        <v>0</v>
      </c>
      <c r="E38" s="2689">
        <v>2</v>
      </c>
      <c r="F38" s="2718"/>
      <c r="G38" s="2686">
        <f t="shared" si="6"/>
        <v>0</v>
      </c>
      <c r="H38" s="2686">
        <f t="shared" si="7"/>
        <v>0</v>
      </c>
      <c r="I38" s="2718"/>
      <c r="J38" s="2687">
        <f t="shared" si="12"/>
        <v>0</v>
      </c>
      <c r="K38" s="2653"/>
      <c r="L38" s="2650">
        <v>278.60000000000002</v>
      </c>
      <c r="M38" s="2588">
        <f t="shared" si="16"/>
        <v>574.40000000000009</v>
      </c>
      <c r="N38" s="2678"/>
      <c r="O38" s="2922"/>
      <c r="P38" s="2663"/>
      <c r="T38" s="2689">
        <v>2</v>
      </c>
      <c r="U38" s="2718"/>
      <c r="V38" s="2686">
        <f t="shared" si="8"/>
        <v>0</v>
      </c>
      <c r="W38" s="2686">
        <f t="shared" si="9"/>
        <v>0</v>
      </c>
      <c r="X38" s="2718"/>
      <c r="Y38" s="2687">
        <f t="shared" si="13"/>
        <v>0</v>
      </c>
      <c r="Z38" s="2653"/>
      <c r="AA38" s="2650">
        <v>211.7</v>
      </c>
      <c r="AB38" s="2588">
        <f t="shared" si="17"/>
        <v>461.7</v>
      </c>
      <c r="AC38" s="2678"/>
      <c r="AD38" s="2921"/>
      <c r="AE38" s="2663"/>
      <c r="AI38" s="2689">
        <v>2</v>
      </c>
      <c r="AJ38" s="2718"/>
      <c r="AK38" s="2686">
        <f t="shared" si="10"/>
        <v>0</v>
      </c>
      <c r="AL38" s="2686">
        <f t="shared" si="11"/>
        <v>0</v>
      </c>
      <c r="AM38" s="2718"/>
      <c r="AN38" s="2687">
        <f t="shared" si="14"/>
        <v>0</v>
      </c>
      <c r="AO38" s="2653"/>
      <c r="AP38" s="2650">
        <v>211.7</v>
      </c>
      <c r="AQ38" s="2588">
        <f t="shared" si="18"/>
        <v>378.7</v>
      </c>
      <c r="AR38" s="2678"/>
    </row>
    <row r="39" spans="1:44" s="2588" customFormat="1" ht="17.100000000000001" customHeight="1">
      <c r="A39" s="2897">
        <f t="shared" si="15"/>
        <v>5.4772255750516612</v>
      </c>
      <c r="B39" s="2896"/>
      <c r="C39" s="735">
        <f t="shared" si="19"/>
        <v>0</v>
      </c>
      <c r="E39" s="2689">
        <v>2.5</v>
      </c>
      <c r="F39" s="2718"/>
      <c r="G39" s="2686">
        <f t="shared" si="6"/>
        <v>0</v>
      </c>
      <c r="H39" s="2686">
        <f t="shared" si="7"/>
        <v>0</v>
      </c>
      <c r="I39" s="2718"/>
      <c r="J39" s="2687">
        <f t="shared" si="12"/>
        <v>0</v>
      </c>
      <c r="K39" s="2653"/>
      <c r="L39" s="2650">
        <v>279.2</v>
      </c>
      <c r="M39" s="2588">
        <f t="shared" si="16"/>
        <v>575</v>
      </c>
      <c r="N39" s="2678"/>
      <c r="O39" s="2922"/>
      <c r="P39" s="2663"/>
      <c r="T39" s="2689">
        <v>2.5</v>
      </c>
      <c r="U39" s="2718"/>
      <c r="V39" s="2686">
        <f t="shared" si="8"/>
        <v>0</v>
      </c>
      <c r="W39" s="2686">
        <f t="shared" si="9"/>
        <v>0</v>
      </c>
      <c r="X39" s="2718"/>
      <c r="Y39" s="2687">
        <f t="shared" si="13"/>
        <v>0</v>
      </c>
      <c r="Z39" s="2653"/>
      <c r="AA39" s="2650">
        <v>212.4</v>
      </c>
      <c r="AB39" s="2588">
        <f t="shared" si="17"/>
        <v>462.4</v>
      </c>
      <c r="AC39" s="2678"/>
      <c r="AD39" s="2921"/>
      <c r="AE39" s="2663"/>
      <c r="AI39" s="2689">
        <v>2.5</v>
      </c>
      <c r="AJ39" s="2718"/>
      <c r="AK39" s="2686">
        <f t="shared" si="10"/>
        <v>0</v>
      </c>
      <c r="AL39" s="2686">
        <f t="shared" si="11"/>
        <v>0</v>
      </c>
      <c r="AM39" s="2718"/>
      <c r="AN39" s="2687">
        <f t="shared" si="14"/>
        <v>0</v>
      </c>
      <c r="AO39" s="2653"/>
      <c r="AP39" s="2650">
        <v>212.4</v>
      </c>
      <c r="AQ39" s="2588">
        <f t="shared" si="18"/>
        <v>379.4</v>
      </c>
      <c r="AR39" s="2678"/>
    </row>
    <row r="40" spans="1:44" s="2588" customFormat="1" ht="17.100000000000001" customHeight="1">
      <c r="A40" s="2897">
        <f t="shared" si="15"/>
        <v>7.745966692414834</v>
      </c>
      <c r="B40" s="2896"/>
      <c r="C40" s="735">
        <f t="shared" si="19"/>
        <v>0</v>
      </c>
      <c r="E40" s="2689">
        <v>3</v>
      </c>
      <c r="F40" s="2718"/>
      <c r="G40" s="2686">
        <f t="shared" si="6"/>
        <v>0</v>
      </c>
      <c r="H40" s="2686">
        <f t="shared" si="7"/>
        <v>0</v>
      </c>
      <c r="I40" s="2718"/>
      <c r="J40" s="2687">
        <f t="shared" si="12"/>
        <v>0</v>
      </c>
      <c r="K40" s="2653"/>
      <c r="L40" s="2650">
        <v>281.5</v>
      </c>
      <c r="M40" s="2588">
        <f t="shared" si="16"/>
        <v>577.29999999999995</v>
      </c>
      <c r="N40" s="2678"/>
      <c r="O40" s="2922"/>
      <c r="P40" s="2663"/>
      <c r="T40" s="2689">
        <v>3</v>
      </c>
      <c r="U40" s="2718"/>
      <c r="V40" s="2686">
        <f t="shared" si="8"/>
        <v>0</v>
      </c>
      <c r="W40" s="2686">
        <f t="shared" si="9"/>
        <v>0</v>
      </c>
      <c r="X40" s="2718"/>
      <c r="Y40" s="2687">
        <f t="shared" si="13"/>
        <v>0</v>
      </c>
      <c r="Z40" s="2653"/>
      <c r="AA40" s="2650">
        <v>213.4</v>
      </c>
      <c r="AB40" s="2588">
        <f t="shared" si="17"/>
        <v>463.4</v>
      </c>
      <c r="AC40" s="2678"/>
      <c r="AD40" s="2921"/>
      <c r="AE40" s="2663"/>
      <c r="AI40" s="2689">
        <v>3</v>
      </c>
      <c r="AJ40" s="2718"/>
      <c r="AK40" s="2686">
        <f t="shared" si="10"/>
        <v>0</v>
      </c>
      <c r="AL40" s="2686">
        <f t="shared" si="11"/>
        <v>0</v>
      </c>
      <c r="AM40" s="2718"/>
      <c r="AN40" s="2687">
        <f t="shared" si="14"/>
        <v>0</v>
      </c>
      <c r="AO40" s="2653"/>
      <c r="AP40" s="2650">
        <v>213.4</v>
      </c>
      <c r="AQ40" s="2588">
        <f t="shared" si="18"/>
        <v>380.4</v>
      </c>
      <c r="AR40" s="2678"/>
    </row>
    <row r="41" spans="1:44" s="2588" customFormat="1" ht="17.100000000000001" customHeight="1">
      <c r="A41" s="2897">
        <f>SQRT(D85)</f>
        <v>10.954451150103322</v>
      </c>
      <c r="B41" s="2896"/>
      <c r="C41" s="735">
        <f t="shared" si="19"/>
        <v>0</v>
      </c>
      <c r="E41" s="2689">
        <v>3.5</v>
      </c>
      <c r="F41" s="2718"/>
      <c r="G41" s="2686">
        <f t="shared" si="6"/>
        <v>0</v>
      </c>
      <c r="H41" s="2686">
        <f t="shared" si="7"/>
        <v>0</v>
      </c>
      <c r="I41" s="2718"/>
      <c r="J41" s="2687">
        <f t="shared" si="12"/>
        <v>0</v>
      </c>
      <c r="K41" s="2653"/>
      <c r="L41" s="2650">
        <v>281.7</v>
      </c>
      <c r="M41" s="2588">
        <f t="shared" si="16"/>
        <v>577.5</v>
      </c>
      <c r="N41" s="2678"/>
      <c r="O41" s="2922"/>
      <c r="P41" s="2663"/>
      <c r="T41" s="2689">
        <v>3.5</v>
      </c>
      <c r="U41" s="2718"/>
      <c r="V41" s="2686">
        <f t="shared" si="8"/>
        <v>0</v>
      </c>
      <c r="W41" s="2686">
        <f t="shared" si="9"/>
        <v>0</v>
      </c>
      <c r="X41" s="2718"/>
      <c r="Y41" s="2687">
        <f t="shared" si="13"/>
        <v>0</v>
      </c>
      <c r="Z41" s="2653"/>
      <c r="AA41" s="2650">
        <v>214.2</v>
      </c>
      <c r="AB41" s="2588">
        <f t="shared" si="17"/>
        <v>464.2</v>
      </c>
      <c r="AC41" s="2678"/>
      <c r="AD41" s="2921"/>
      <c r="AE41" s="2663"/>
      <c r="AI41" s="2689">
        <v>3.5</v>
      </c>
      <c r="AJ41" s="2718"/>
      <c r="AK41" s="2686">
        <f t="shared" si="10"/>
        <v>0</v>
      </c>
      <c r="AL41" s="2686">
        <f t="shared" si="11"/>
        <v>0</v>
      </c>
      <c r="AM41" s="2718"/>
      <c r="AN41" s="2687">
        <f t="shared" si="14"/>
        <v>0</v>
      </c>
      <c r="AO41" s="2653"/>
      <c r="AP41" s="2650">
        <v>214.2</v>
      </c>
      <c r="AQ41" s="2588">
        <f t="shared" si="18"/>
        <v>381.2</v>
      </c>
      <c r="AR41" s="2678"/>
    </row>
    <row r="42" spans="1:44" s="2588" customFormat="1" ht="17.100000000000001" customHeight="1">
      <c r="A42" s="2897">
        <f t="shared" si="15"/>
        <v>16</v>
      </c>
      <c r="B42" s="2896"/>
      <c r="C42" s="735">
        <f t="shared" si="19"/>
        <v>0</v>
      </c>
      <c r="E42" s="2689">
        <v>4</v>
      </c>
      <c r="F42" s="2718"/>
      <c r="G42" s="2686">
        <f t="shared" si="6"/>
        <v>0</v>
      </c>
      <c r="H42" s="2686">
        <f t="shared" si="7"/>
        <v>0</v>
      </c>
      <c r="I42" s="2718"/>
      <c r="J42" s="2687">
        <f t="shared" si="12"/>
        <v>0</v>
      </c>
      <c r="K42" s="2653"/>
      <c r="L42" s="2650">
        <v>286.39999999999998</v>
      </c>
      <c r="M42" s="2588">
        <f t="shared" si="16"/>
        <v>582.20000000000005</v>
      </c>
      <c r="N42" s="2678"/>
      <c r="O42" s="2922"/>
      <c r="P42" s="2663"/>
      <c r="T42" s="2689">
        <v>4</v>
      </c>
      <c r="U42" s="2718"/>
      <c r="V42" s="2686">
        <f t="shared" si="8"/>
        <v>0</v>
      </c>
      <c r="W42" s="2686">
        <f t="shared" si="9"/>
        <v>0</v>
      </c>
      <c r="X42" s="2718"/>
      <c r="Y42" s="2687">
        <f t="shared" si="13"/>
        <v>0</v>
      </c>
      <c r="Z42" s="2653"/>
      <c r="AA42" s="2650">
        <v>216.5</v>
      </c>
      <c r="AB42" s="2588">
        <f t="shared" si="17"/>
        <v>466.5</v>
      </c>
      <c r="AC42" s="2678"/>
      <c r="AD42" s="2921"/>
      <c r="AE42" s="2663"/>
      <c r="AI42" s="2689">
        <v>4</v>
      </c>
      <c r="AJ42" s="2718"/>
      <c r="AK42" s="2686">
        <f t="shared" si="10"/>
        <v>0</v>
      </c>
      <c r="AL42" s="2686">
        <f t="shared" si="11"/>
        <v>0</v>
      </c>
      <c r="AM42" s="2718"/>
      <c r="AN42" s="2687">
        <f t="shared" si="14"/>
        <v>0</v>
      </c>
      <c r="AO42" s="2653"/>
      <c r="AP42" s="2650">
        <v>216.5</v>
      </c>
      <c r="AQ42" s="2588">
        <f t="shared" si="18"/>
        <v>383.5</v>
      </c>
      <c r="AR42" s="2678"/>
    </row>
    <row r="43" spans="1:44" s="2588" customFormat="1" ht="17.100000000000001" customHeight="1">
      <c r="A43" s="2897">
        <f t="shared" si="15"/>
        <v>22</v>
      </c>
      <c r="B43" s="2896"/>
      <c r="C43" s="735">
        <f t="shared" si="19"/>
        <v>0</v>
      </c>
      <c r="E43" s="2689">
        <v>4.5</v>
      </c>
      <c r="F43" s="2718"/>
      <c r="G43" s="2686">
        <f t="shared" si="6"/>
        <v>0</v>
      </c>
      <c r="H43" s="2686">
        <f t="shared" si="7"/>
        <v>0</v>
      </c>
      <c r="I43" s="2718"/>
      <c r="J43" s="2687">
        <f t="shared" si="12"/>
        <v>0</v>
      </c>
      <c r="K43" s="2653"/>
      <c r="L43" s="2650">
        <v>287.2</v>
      </c>
      <c r="M43" s="2588">
        <f t="shared" si="16"/>
        <v>583</v>
      </c>
      <c r="N43" s="2678"/>
      <c r="O43" s="2922"/>
      <c r="P43" s="2663"/>
      <c r="T43" s="2689">
        <v>4.5</v>
      </c>
      <c r="U43" s="2718"/>
      <c r="V43" s="2686">
        <f t="shared" si="8"/>
        <v>0</v>
      </c>
      <c r="W43" s="2686">
        <f t="shared" si="9"/>
        <v>0</v>
      </c>
      <c r="X43" s="2718"/>
      <c r="Y43" s="2687">
        <f t="shared" si="13"/>
        <v>0</v>
      </c>
      <c r="Z43" s="2653"/>
      <c r="AA43" s="2650">
        <v>220.4</v>
      </c>
      <c r="AB43" s="2588">
        <f t="shared" si="17"/>
        <v>470.4</v>
      </c>
      <c r="AC43" s="2678"/>
      <c r="AD43" s="2921"/>
      <c r="AE43" s="2663"/>
      <c r="AI43" s="2689">
        <v>4.5</v>
      </c>
      <c r="AJ43" s="2718"/>
      <c r="AK43" s="2686">
        <f t="shared" si="10"/>
        <v>0</v>
      </c>
      <c r="AL43" s="2686">
        <f t="shared" si="11"/>
        <v>0</v>
      </c>
      <c r="AM43" s="2718"/>
      <c r="AN43" s="2687">
        <f t="shared" si="14"/>
        <v>0</v>
      </c>
      <c r="AO43" s="2653"/>
      <c r="AP43" s="2650">
        <v>220.4</v>
      </c>
      <c r="AQ43" s="2588">
        <f t="shared" si="18"/>
        <v>387.4</v>
      </c>
      <c r="AR43" s="2678"/>
    </row>
    <row r="44" spans="1:44" s="2588" customFormat="1" ht="17.100000000000001" customHeight="1">
      <c r="A44" s="2897">
        <f t="shared" si="15"/>
        <v>37.947331922020552</v>
      </c>
      <c r="B44" s="2896"/>
      <c r="C44" s="735">
        <f t="shared" si="19"/>
        <v>0</v>
      </c>
      <c r="E44" s="2689">
        <v>5</v>
      </c>
      <c r="F44" s="2718"/>
      <c r="G44" s="2686">
        <f t="shared" si="6"/>
        <v>0</v>
      </c>
      <c r="H44" s="2686">
        <f t="shared" si="7"/>
        <v>0</v>
      </c>
      <c r="I44" s="2718"/>
      <c r="J44" s="2687">
        <f t="shared" si="12"/>
        <v>0</v>
      </c>
      <c r="K44" s="2653"/>
      <c r="L44" s="2650">
        <v>285.7</v>
      </c>
      <c r="M44" s="2588">
        <f t="shared" si="16"/>
        <v>581.5</v>
      </c>
      <c r="N44" s="2678"/>
      <c r="O44" s="2922"/>
      <c r="P44" s="2663"/>
      <c r="T44" s="2689">
        <v>5</v>
      </c>
      <c r="U44" s="2718"/>
      <c r="V44" s="2686">
        <f t="shared" si="8"/>
        <v>0</v>
      </c>
      <c r="W44" s="2686">
        <f t="shared" si="9"/>
        <v>0</v>
      </c>
      <c r="X44" s="2718"/>
      <c r="Y44" s="2687">
        <f t="shared" si="13"/>
        <v>0</v>
      </c>
      <c r="Z44" s="2653"/>
      <c r="AA44" s="2650">
        <v>228.5</v>
      </c>
      <c r="AB44" s="2588">
        <f t="shared" si="17"/>
        <v>478.5</v>
      </c>
      <c r="AC44" s="2678"/>
      <c r="AD44" s="2921"/>
      <c r="AE44" s="2663"/>
      <c r="AI44" s="2689">
        <v>5</v>
      </c>
      <c r="AJ44" s="2718"/>
      <c r="AK44" s="2686">
        <f t="shared" si="10"/>
        <v>0</v>
      </c>
      <c r="AL44" s="2686">
        <f t="shared" si="11"/>
        <v>0</v>
      </c>
      <c r="AM44" s="2718"/>
      <c r="AN44" s="2687">
        <f t="shared" si="14"/>
        <v>0</v>
      </c>
      <c r="AO44" s="2653"/>
      <c r="AP44" s="2650">
        <v>228.5</v>
      </c>
      <c r="AQ44" s="2588">
        <f t="shared" si="18"/>
        <v>395.5</v>
      </c>
      <c r="AR44" s="2678"/>
    </row>
    <row r="45" spans="1:44" s="2588" customFormat="1" ht="17.100000000000001" customHeight="1">
      <c r="A45" s="2895"/>
      <c r="B45" s="2896"/>
      <c r="C45" s="2895"/>
      <c r="E45" s="2689">
        <v>5.5</v>
      </c>
      <c r="F45" s="2718"/>
      <c r="G45" s="2686">
        <f t="shared" si="6"/>
        <v>0</v>
      </c>
      <c r="H45" s="2686">
        <f t="shared" si="7"/>
        <v>0</v>
      </c>
      <c r="I45" s="2718"/>
      <c r="J45" s="2687">
        <f t="shared" si="12"/>
        <v>0</v>
      </c>
      <c r="K45" s="2653"/>
      <c r="L45" s="2650">
        <v>285.39999999999998</v>
      </c>
      <c r="M45" s="2588">
        <f t="shared" si="16"/>
        <v>581.20000000000005</v>
      </c>
      <c r="N45" s="2678"/>
      <c r="O45" s="2922"/>
      <c r="P45" s="2663"/>
      <c r="T45" s="2689">
        <v>5.5</v>
      </c>
      <c r="U45" s="2718"/>
      <c r="V45" s="2686">
        <f t="shared" si="8"/>
        <v>0</v>
      </c>
      <c r="W45" s="2686">
        <f t="shared" si="9"/>
        <v>0</v>
      </c>
      <c r="X45" s="2718"/>
      <c r="Y45" s="2687">
        <f t="shared" si="13"/>
        <v>0</v>
      </c>
      <c r="Z45" s="2653"/>
      <c r="AA45" s="2650">
        <v>233.6</v>
      </c>
      <c r="AB45" s="2588">
        <f t="shared" si="17"/>
        <v>483.6</v>
      </c>
      <c r="AC45" s="2678"/>
      <c r="AD45" s="2921"/>
      <c r="AE45" s="2663"/>
      <c r="AI45" s="2689">
        <v>5.5</v>
      </c>
      <c r="AJ45" s="2718"/>
      <c r="AK45" s="2686">
        <f t="shared" si="10"/>
        <v>0</v>
      </c>
      <c r="AL45" s="2686">
        <f t="shared" si="11"/>
        <v>0</v>
      </c>
      <c r="AM45" s="2718"/>
      <c r="AN45" s="2687">
        <f t="shared" si="14"/>
        <v>0</v>
      </c>
      <c r="AO45" s="2653"/>
      <c r="AP45" s="2650">
        <v>233.6</v>
      </c>
      <c r="AQ45" s="2588">
        <f t="shared" si="18"/>
        <v>400.6</v>
      </c>
      <c r="AR45" s="2678"/>
    </row>
    <row r="46" spans="1:44" s="2588" customFormat="1" ht="17.100000000000001" customHeight="1">
      <c r="A46" s="2663"/>
      <c r="E46" s="2689">
        <v>6</v>
      </c>
      <c r="F46" s="2718"/>
      <c r="G46" s="2686">
        <f t="shared" si="6"/>
        <v>0</v>
      </c>
      <c r="H46" s="2686">
        <f t="shared" si="7"/>
        <v>0</v>
      </c>
      <c r="I46" s="2718"/>
      <c r="J46" s="2687">
        <f t="shared" si="12"/>
        <v>0</v>
      </c>
      <c r="K46" s="2653"/>
      <c r="L46" s="2650">
        <v>285.2</v>
      </c>
      <c r="M46" s="2588">
        <f t="shared" si="16"/>
        <v>581</v>
      </c>
      <c r="N46" s="2678"/>
      <c r="O46" s="2922"/>
      <c r="P46" s="2663"/>
      <c r="T46" s="2689">
        <v>6</v>
      </c>
      <c r="U46" s="2718"/>
      <c r="V46" s="2686">
        <f t="shared" si="8"/>
        <v>0</v>
      </c>
      <c r="W46" s="2686">
        <f t="shared" si="9"/>
        <v>0</v>
      </c>
      <c r="X46" s="2718"/>
      <c r="Y46" s="2687">
        <f t="shared" si="13"/>
        <v>0</v>
      </c>
      <c r="Z46" s="2653"/>
      <c r="AA46" s="2650">
        <v>234.2</v>
      </c>
      <c r="AB46" s="2588">
        <f t="shared" si="17"/>
        <v>484.2</v>
      </c>
      <c r="AC46" s="2678"/>
      <c r="AD46" s="2921"/>
      <c r="AE46" s="2663"/>
      <c r="AI46" s="2689">
        <v>6</v>
      </c>
      <c r="AJ46" s="2718"/>
      <c r="AK46" s="2686">
        <f t="shared" si="10"/>
        <v>0</v>
      </c>
      <c r="AL46" s="2686">
        <f t="shared" si="11"/>
        <v>0</v>
      </c>
      <c r="AM46" s="2718"/>
      <c r="AN46" s="2687">
        <f t="shared" si="14"/>
        <v>0</v>
      </c>
      <c r="AO46" s="2653"/>
      <c r="AP46" s="2650">
        <v>234.2</v>
      </c>
      <c r="AQ46" s="2588">
        <f t="shared" si="18"/>
        <v>401.2</v>
      </c>
      <c r="AR46" s="2678"/>
    </row>
    <row r="47" spans="1:44" s="2588" customFormat="1" ht="17.100000000000001" customHeight="1">
      <c r="A47" s="2663"/>
      <c r="E47" s="2689">
        <v>6.5</v>
      </c>
      <c r="F47" s="2718"/>
      <c r="G47" s="2686">
        <f t="shared" si="6"/>
        <v>0</v>
      </c>
      <c r="H47" s="2686">
        <f t="shared" si="7"/>
        <v>0</v>
      </c>
      <c r="I47" s="2718"/>
      <c r="J47" s="2687">
        <f t="shared" si="12"/>
        <v>0</v>
      </c>
      <c r="K47" s="2653"/>
      <c r="L47" s="2650">
        <v>285</v>
      </c>
      <c r="M47" s="2588">
        <f t="shared" si="16"/>
        <v>580.79999999999995</v>
      </c>
      <c r="N47" s="2678"/>
      <c r="O47" s="2922"/>
      <c r="P47" s="2663"/>
      <c r="T47" s="2689">
        <v>6.5</v>
      </c>
      <c r="U47" s="2718"/>
      <c r="V47" s="2686">
        <f t="shared" si="8"/>
        <v>0</v>
      </c>
      <c r="W47" s="2686">
        <f t="shared" si="9"/>
        <v>0</v>
      </c>
      <c r="X47" s="2718"/>
      <c r="Y47" s="2687">
        <f t="shared" si="13"/>
        <v>0</v>
      </c>
      <c r="Z47" s="2653"/>
      <c r="AA47" s="2650">
        <v>235.5</v>
      </c>
      <c r="AB47" s="2588">
        <f t="shared" si="17"/>
        <v>485.5</v>
      </c>
      <c r="AC47" s="2678"/>
      <c r="AD47" s="2921"/>
      <c r="AE47" s="2663"/>
      <c r="AI47" s="2689">
        <v>6.5</v>
      </c>
      <c r="AJ47" s="2718"/>
      <c r="AK47" s="2686">
        <f t="shared" si="10"/>
        <v>0</v>
      </c>
      <c r="AL47" s="2686">
        <f t="shared" si="11"/>
        <v>0</v>
      </c>
      <c r="AM47" s="2718"/>
      <c r="AN47" s="2687">
        <f t="shared" si="14"/>
        <v>0</v>
      </c>
      <c r="AO47" s="2653"/>
      <c r="AP47" s="2650">
        <v>235.5</v>
      </c>
      <c r="AQ47" s="2588">
        <f t="shared" si="18"/>
        <v>402.5</v>
      </c>
      <c r="AR47" s="2678"/>
    </row>
    <row r="48" spans="1:44" s="2588" customFormat="1" ht="17.100000000000001" customHeight="1">
      <c r="A48" s="2663"/>
      <c r="E48" s="2689">
        <v>7</v>
      </c>
      <c r="F48" s="2718"/>
      <c r="G48" s="2686">
        <f t="shared" si="6"/>
        <v>0</v>
      </c>
      <c r="H48" s="2686">
        <f t="shared" si="7"/>
        <v>0</v>
      </c>
      <c r="I48" s="2718"/>
      <c r="J48" s="2687">
        <f t="shared" si="12"/>
        <v>0</v>
      </c>
      <c r="K48" s="2653"/>
      <c r="L48" s="2650">
        <v>285</v>
      </c>
      <c r="M48" s="2588">
        <f t="shared" si="16"/>
        <v>580.79999999999995</v>
      </c>
      <c r="N48" s="2678"/>
      <c r="O48" s="2922"/>
      <c r="P48" s="2663"/>
      <c r="T48" s="2689">
        <v>7</v>
      </c>
      <c r="U48" s="2718"/>
      <c r="V48" s="2686">
        <f t="shared" si="8"/>
        <v>0</v>
      </c>
      <c r="W48" s="2686">
        <f t="shared" si="9"/>
        <v>0</v>
      </c>
      <c r="X48" s="2718"/>
      <c r="Y48" s="2687">
        <f t="shared" si="13"/>
        <v>0</v>
      </c>
      <c r="Z48" s="2653"/>
      <c r="AA48" s="2650">
        <v>238.4</v>
      </c>
      <c r="AB48" s="2588">
        <f t="shared" si="17"/>
        <v>488.4</v>
      </c>
      <c r="AC48" s="2678"/>
      <c r="AD48" s="2921"/>
      <c r="AE48" s="2663"/>
      <c r="AI48" s="2689">
        <v>7</v>
      </c>
      <c r="AJ48" s="2718"/>
      <c r="AK48" s="2686">
        <f t="shared" si="10"/>
        <v>0</v>
      </c>
      <c r="AL48" s="2686">
        <f t="shared" si="11"/>
        <v>0</v>
      </c>
      <c r="AM48" s="2718"/>
      <c r="AN48" s="2687">
        <f t="shared" si="14"/>
        <v>0</v>
      </c>
      <c r="AO48" s="2653"/>
      <c r="AP48" s="2650">
        <v>238.4</v>
      </c>
      <c r="AQ48" s="2588">
        <f t="shared" si="18"/>
        <v>405.4</v>
      </c>
      <c r="AR48" s="2678"/>
    </row>
    <row r="49" spans="1:44" s="2588" customFormat="1" ht="17.100000000000001" customHeight="1">
      <c r="A49" s="2663"/>
      <c r="E49" s="2689">
        <v>7.5</v>
      </c>
      <c r="F49" s="2718"/>
      <c r="G49" s="2686">
        <f t="shared" si="6"/>
        <v>0</v>
      </c>
      <c r="H49" s="2686">
        <f t="shared" si="7"/>
        <v>0</v>
      </c>
      <c r="I49" s="2718"/>
      <c r="J49" s="2687">
        <f t="shared" si="12"/>
        <v>0</v>
      </c>
      <c r="K49" s="2653"/>
      <c r="L49" s="2650">
        <v>285</v>
      </c>
      <c r="M49" s="2588">
        <f t="shared" si="16"/>
        <v>580.79999999999995</v>
      </c>
      <c r="N49" s="2678"/>
      <c r="O49" s="2922"/>
      <c r="P49" s="2663"/>
      <c r="T49" s="2689">
        <v>7.5</v>
      </c>
      <c r="U49" s="2718"/>
      <c r="V49" s="2686">
        <f t="shared" si="8"/>
        <v>0</v>
      </c>
      <c r="W49" s="2686">
        <f t="shared" si="9"/>
        <v>0</v>
      </c>
      <c r="X49" s="2718"/>
      <c r="Y49" s="2687">
        <f t="shared" si="13"/>
        <v>0</v>
      </c>
      <c r="Z49" s="2653"/>
      <c r="AA49" s="2650">
        <v>241.6</v>
      </c>
      <c r="AB49" s="2588">
        <f t="shared" si="17"/>
        <v>491.6</v>
      </c>
      <c r="AC49" s="2678"/>
      <c r="AD49" s="2921"/>
      <c r="AE49" s="2663"/>
      <c r="AI49" s="2689">
        <v>7.5</v>
      </c>
      <c r="AJ49" s="2718"/>
      <c r="AK49" s="2686">
        <f t="shared" si="10"/>
        <v>0</v>
      </c>
      <c r="AL49" s="2686">
        <f t="shared" si="11"/>
        <v>0</v>
      </c>
      <c r="AM49" s="2718"/>
      <c r="AN49" s="2687">
        <f t="shared" si="14"/>
        <v>0</v>
      </c>
      <c r="AO49" s="2653"/>
      <c r="AP49" s="2650">
        <v>241.6</v>
      </c>
      <c r="AQ49" s="2588">
        <f t="shared" si="18"/>
        <v>408.6</v>
      </c>
      <c r="AR49" s="2678"/>
    </row>
    <row r="50" spans="1:44" s="2588" customFormat="1" ht="17.100000000000001" customHeight="1">
      <c r="A50" s="2663"/>
      <c r="E50" s="2689">
        <v>8</v>
      </c>
      <c r="F50" s="2718"/>
      <c r="G50" s="2686">
        <f t="shared" si="6"/>
        <v>0</v>
      </c>
      <c r="H50" s="2686">
        <f t="shared" si="7"/>
        <v>0</v>
      </c>
      <c r="I50" s="2718"/>
      <c r="J50" s="2687">
        <f t="shared" si="12"/>
        <v>0</v>
      </c>
      <c r="K50" s="2653"/>
      <c r="L50" s="2650">
        <v>285</v>
      </c>
      <c r="M50" s="2588">
        <f t="shared" si="16"/>
        <v>580.79999999999995</v>
      </c>
      <c r="N50" s="2678"/>
      <c r="O50" s="2922"/>
      <c r="P50" s="2663"/>
      <c r="T50" s="2689">
        <v>8</v>
      </c>
      <c r="U50" s="2718"/>
      <c r="V50" s="2686">
        <f t="shared" si="8"/>
        <v>0</v>
      </c>
      <c r="W50" s="2686">
        <f t="shared" si="9"/>
        <v>0</v>
      </c>
      <c r="X50" s="2718"/>
      <c r="Y50" s="2687">
        <f t="shared" si="13"/>
        <v>0</v>
      </c>
      <c r="Z50" s="2653"/>
      <c r="AA50" s="2650">
        <v>247.3</v>
      </c>
      <c r="AB50" s="2588">
        <f t="shared" si="17"/>
        <v>497.3</v>
      </c>
      <c r="AC50" s="2678"/>
      <c r="AD50" s="2921"/>
      <c r="AE50" s="2663"/>
      <c r="AI50" s="2689">
        <v>8</v>
      </c>
      <c r="AJ50" s="2718"/>
      <c r="AK50" s="2686">
        <f t="shared" si="10"/>
        <v>0</v>
      </c>
      <c r="AL50" s="2686">
        <f t="shared" si="11"/>
        <v>0</v>
      </c>
      <c r="AM50" s="2718"/>
      <c r="AN50" s="2687">
        <f t="shared" si="14"/>
        <v>0</v>
      </c>
      <c r="AO50" s="2653"/>
      <c r="AP50" s="2650">
        <v>247.3</v>
      </c>
      <c r="AQ50" s="2588">
        <f t="shared" si="18"/>
        <v>414.3</v>
      </c>
      <c r="AR50" s="2678"/>
    </row>
    <row r="51" spans="1:44" s="2588" customFormat="1" ht="17.100000000000001" customHeight="1">
      <c r="A51" s="2663"/>
      <c r="E51" s="2689">
        <v>8.5</v>
      </c>
      <c r="F51" s="2718"/>
      <c r="G51" s="2686">
        <f t="shared" si="6"/>
        <v>0</v>
      </c>
      <c r="H51" s="2686">
        <f t="shared" si="7"/>
        <v>0</v>
      </c>
      <c r="I51" s="2718"/>
      <c r="J51" s="2687">
        <f t="shared" si="12"/>
        <v>0</v>
      </c>
      <c r="K51" s="2653"/>
      <c r="L51" s="2650">
        <v>285</v>
      </c>
      <c r="M51" s="2588">
        <f t="shared" si="16"/>
        <v>580.79999999999995</v>
      </c>
      <c r="N51" s="2678"/>
      <c r="O51" s="2922"/>
      <c r="P51" s="2663"/>
      <c r="T51" s="2689">
        <v>8.5</v>
      </c>
      <c r="U51" s="2718"/>
      <c r="V51" s="2686">
        <f t="shared" si="8"/>
        <v>0</v>
      </c>
      <c r="W51" s="2686">
        <f t="shared" si="9"/>
        <v>0</v>
      </c>
      <c r="X51" s="2718"/>
      <c r="Y51" s="2687">
        <f t="shared" si="13"/>
        <v>0</v>
      </c>
      <c r="Z51" s="2653"/>
      <c r="AA51" s="2650">
        <v>251.5</v>
      </c>
      <c r="AB51" s="2588">
        <f t="shared" si="17"/>
        <v>501.5</v>
      </c>
      <c r="AC51" s="2678"/>
      <c r="AD51" s="2921"/>
      <c r="AE51" s="2663"/>
      <c r="AI51" s="2689">
        <v>8.5</v>
      </c>
      <c r="AJ51" s="2718"/>
      <c r="AK51" s="2686">
        <f t="shared" si="10"/>
        <v>0</v>
      </c>
      <c r="AL51" s="2686">
        <f t="shared" si="11"/>
        <v>0</v>
      </c>
      <c r="AM51" s="2718"/>
      <c r="AN51" s="2687">
        <f t="shared" si="14"/>
        <v>0</v>
      </c>
      <c r="AO51" s="2653"/>
      <c r="AP51" s="2650">
        <v>251.5</v>
      </c>
      <c r="AQ51" s="2588">
        <f t="shared" si="18"/>
        <v>418.5</v>
      </c>
      <c r="AR51" s="2678"/>
    </row>
    <row r="52" spans="1:44" s="2588" customFormat="1" ht="17.100000000000001" customHeight="1">
      <c r="A52" s="2663"/>
      <c r="E52" s="2689">
        <v>9</v>
      </c>
      <c r="F52" s="2718"/>
      <c r="G52" s="2686">
        <f t="shared" si="6"/>
        <v>0</v>
      </c>
      <c r="H52" s="2686">
        <f t="shared" si="7"/>
        <v>0</v>
      </c>
      <c r="I52" s="2718"/>
      <c r="J52" s="2687">
        <f t="shared" si="12"/>
        <v>0</v>
      </c>
      <c r="K52" s="2653"/>
      <c r="L52" s="2650">
        <v>285</v>
      </c>
      <c r="M52" s="2588">
        <f t="shared" si="16"/>
        <v>580.79999999999995</v>
      </c>
      <c r="N52" s="2678"/>
      <c r="O52" s="2922"/>
      <c r="P52" s="2663"/>
      <c r="T52" s="2689">
        <v>9</v>
      </c>
      <c r="U52" s="2718"/>
      <c r="V52" s="2686">
        <f t="shared" si="8"/>
        <v>0</v>
      </c>
      <c r="W52" s="2686">
        <f t="shared" si="9"/>
        <v>0</v>
      </c>
      <c r="X52" s="2718"/>
      <c r="Y52" s="2687">
        <f t="shared" si="13"/>
        <v>0</v>
      </c>
      <c r="Z52" s="2653"/>
      <c r="AA52" s="2650">
        <v>254.4</v>
      </c>
      <c r="AB52" s="2588">
        <f t="shared" si="17"/>
        <v>504.4</v>
      </c>
      <c r="AC52" s="2678"/>
      <c r="AD52" s="2921"/>
      <c r="AE52" s="2663"/>
      <c r="AI52" s="2689">
        <v>9</v>
      </c>
      <c r="AJ52" s="2718"/>
      <c r="AK52" s="2686">
        <f t="shared" si="10"/>
        <v>0</v>
      </c>
      <c r="AL52" s="2686">
        <f t="shared" si="11"/>
        <v>0</v>
      </c>
      <c r="AM52" s="2718"/>
      <c r="AN52" s="2687">
        <f t="shared" si="14"/>
        <v>0</v>
      </c>
      <c r="AO52" s="2653"/>
      <c r="AP52" s="2650">
        <v>254.4</v>
      </c>
      <c r="AQ52" s="2588">
        <f t="shared" si="18"/>
        <v>421.4</v>
      </c>
      <c r="AR52" s="2678"/>
    </row>
    <row r="53" spans="1:44" s="2588" customFormat="1" ht="17.100000000000001" customHeight="1">
      <c r="A53" s="2663"/>
      <c r="E53" s="2689">
        <v>9.5</v>
      </c>
      <c r="F53" s="2718"/>
      <c r="G53" s="2686">
        <f t="shared" si="6"/>
        <v>0</v>
      </c>
      <c r="H53" s="2686">
        <f t="shared" si="7"/>
        <v>0</v>
      </c>
      <c r="I53" s="2718"/>
      <c r="J53" s="2687">
        <f t="shared" si="12"/>
        <v>0</v>
      </c>
      <c r="K53" s="2653"/>
      <c r="L53" s="2650">
        <v>285</v>
      </c>
      <c r="M53" s="2588">
        <f t="shared" si="16"/>
        <v>580.79999999999995</v>
      </c>
      <c r="N53" s="2678"/>
      <c r="O53" s="2922"/>
      <c r="P53" s="2663"/>
      <c r="T53" s="2689">
        <v>9.5</v>
      </c>
      <c r="U53" s="2718"/>
      <c r="V53" s="2686">
        <f t="shared" si="8"/>
        <v>0</v>
      </c>
      <c r="W53" s="2686">
        <f t="shared" si="9"/>
        <v>0</v>
      </c>
      <c r="X53" s="2718"/>
      <c r="Y53" s="2687">
        <f t="shared" si="13"/>
        <v>0</v>
      </c>
      <c r="Z53" s="2653"/>
      <c r="AA53" s="2650">
        <v>259.2</v>
      </c>
      <c r="AB53" s="2588">
        <f t="shared" si="17"/>
        <v>509.2</v>
      </c>
      <c r="AC53" s="2678"/>
      <c r="AD53" s="2921"/>
      <c r="AE53" s="2663"/>
      <c r="AI53" s="2689">
        <v>9.5</v>
      </c>
      <c r="AJ53" s="2718"/>
      <c r="AK53" s="2686">
        <f t="shared" si="10"/>
        <v>0</v>
      </c>
      <c r="AL53" s="2686">
        <f t="shared" si="11"/>
        <v>0</v>
      </c>
      <c r="AM53" s="2718"/>
      <c r="AN53" s="2687">
        <f t="shared" si="14"/>
        <v>0</v>
      </c>
      <c r="AO53" s="2653"/>
      <c r="AP53" s="2650">
        <v>259.2</v>
      </c>
      <c r="AQ53" s="2588">
        <f t="shared" si="18"/>
        <v>426.2</v>
      </c>
      <c r="AR53" s="2678"/>
    </row>
    <row r="54" spans="1:44" s="2588" customFormat="1" ht="17.100000000000001" customHeight="1">
      <c r="A54" s="2663"/>
      <c r="E54" s="2689">
        <v>10</v>
      </c>
      <c r="F54" s="2718"/>
      <c r="G54" s="2686">
        <f t="shared" si="6"/>
        <v>0</v>
      </c>
      <c r="H54" s="2686">
        <f t="shared" si="7"/>
        <v>0</v>
      </c>
      <c r="I54" s="2718"/>
      <c r="J54" s="2687">
        <f t="shared" si="12"/>
        <v>0</v>
      </c>
      <c r="K54" s="2653"/>
      <c r="L54" s="2650">
        <v>285</v>
      </c>
      <c r="M54" s="2588">
        <f t="shared" si="16"/>
        <v>580.79999999999995</v>
      </c>
      <c r="N54" s="2678"/>
      <c r="O54" s="2922"/>
      <c r="P54" s="2663"/>
      <c r="T54" s="2689">
        <v>10</v>
      </c>
      <c r="U54" s="2718"/>
      <c r="V54" s="2686">
        <f t="shared" si="8"/>
        <v>0</v>
      </c>
      <c r="W54" s="2686">
        <f t="shared" si="9"/>
        <v>0</v>
      </c>
      <c r="X54" s="2718"/>
      <c r="Y54" s="2687">
        <f t="shared" si="13"/>
        <v>0</v>
      </c>
      <c r="Z54" s="2653"/>
      <c r="AA54" s="2650">
        <v>257.60000000000002</v>
      </c>
      <c r="AB54" s="2588">
        <f t="shared" si="17"/>
        <v>507.6</v>
      </c>
      <c r="AC54" s="2678"/>
      <c r="AD54" s="2921"/>
      <c r="AE54" s="2663"/>
      <c r="AI54" s="2689">
        <v>10</v>
      </c>
      <c r="AJ54" s="2718"/>
      <c r="AK54" s="2686">
        <f t="shared" si="10"/>
        <v>0</v>
      </c>
      <c r="AL54" s="2686">
        <f t="shared" si="11"/>
        <v>0</v>
      </c>
      <c r="AM54" s="2718"/>
      <c r="AN54" s="2687">
        <f t="shared" si="14"/>
        <v>0</v>
      </c>
      <c r="AO54" s="2653"/>
      <c r="AP54" s="2650">
        <v>257.60000000000002</v>
      </c>
      <c r="AQ54" s="2588">
        <f t="shared" si="18"/>
        <v>424.6</v>
      </c>
      <c r="AR54" s="2678"/>
    </row>
    <row r="55" spans="1:44" s="2588" customFormat="1" ht="17.100000000000001" customHeight="1">
      <c r="A55" s="2663"/>
      <c r="E55" s="2689">
        <v>10.5</v>
      </c>
      <c r="F55" s="2718"/>
      <c r="G55" s="2686">
        <f t="shared" si="6"/>
        <v>0</v>
      </c>
      <c r="H55" s="2686">
        <f t="shared" si="7"/>
        <v>0</v>
      </c>
      <c r="I55" s="2718"/>
      <c r="J55" s="2687">
        <f t="shared" si="12"/>
        <v>0</v>
      </c>
      <c r="K55" s="2653"/>
      <c r="L55" s="2650">
        <v>285</v>
      </c>
      <c r="M55" s="2588">
        <f t="shared" si="16"/>
        <v>580.79999999999995</v>
      </c>
      <c r="N55" s="2678"/>
      <c r="O55" s="2922"/>
      <c r="P55" s="2663"/>
      <c r="T55" s="2689">
        <v>10.5</v>
      </c>
      <c r="U55" s="2718"/>
      <c r="V55" s="2686">
        <f t="shared" si="8"/>
        <v>0</v>
      </c>
      <c r="W55" s="2686">
        <f t="shared" si="9"/>
        <v>0</v>
      </c>
      <c r="X55" s="2718"/>
      <c r="Y55" s="2687">
        <f t="shared" si="13"/>
        <v>0</v>
      </c>
      <c r="Z55" s="2653"/>
      <c r="AA55" s="2650">
        <v>256.5</v>
      </c>
      <c r="AB55" s="2588">
        <f t="shared" si="17"/>
        <v>506.5</v>
      </c>
      <c r="AC55" s="2678"/>
      <c r="AD55" s="2921"/>
      <c r="AE55" s="2663"/>
      <c r="AI55" s="2689">
        <v>10.5</v>
      </c>
      <c r="AJ55" s="2718"/>
      <c r="AK55" s="2686">
        <f t="shared" si="10"/>
        <v>0</v>
      </c>
      <c r="AL55" s="2686">
        <f t="shared" si="11"/>
        <v>0</v>
      </c>
      <c r="AM55" s="2718"/>
      <c r="AN55" s="2687">
        <f t="shared" si="14"/>
        <v>0</v>
      </c>
      <c r="AO55" s="2653"/>
      <c r="AP55" s="2650">
        <v>256.5</v>
      </c>
      <c r="AQ55" s="2588">
        <f t="shared" si="18"/>
        <v>423.5</v>
      </c>
      <c r="AR55" s="2678"/>
    </row>
    <row r="56" spans="1:44" s="2588" customFormat="1" ht="17.100000000000001" customHeight="1">
      <c r="A56" s="2663"/>
      <c r="E56" s="2689">
        <v>11</v>
      </c>
      <c r="F56" s="2718"/>
      <c r="G56" s="2686">
        <f t="shared" si="6"/>
        <v>0</v>
      </c>
      <c r="H56" s="2686">
        <f t="shared" si="7"/>
        <v>0</v>
      </c>
      <c r="I56" s="2718"/>
      <c r="J56" s="2687">
        <f t="shared" si="12"/>
        <v>0</v>
      </c>
      <c r="K56" s="2653"/>
      <c r="L56" s="2650">
        <v>285</v>
      </c>
      <c r="M56" s="2588">
        <f t="shared" si="16"/>
        <v>580.79999999999995</v>
      </c>
      <c r="N56" s="2678"/>
      <c r="O56" s="2922"/>
      <c r="P56" s="2663"/>
      <c r="T56" s="2689">
        <v>11</v>
      </c>
      <c r="U56" s="2718"/>
      <c r="V56" s="2686">
        <f t="shared" si="8"/>
        <v>0</v>
      </c>
      <c r="W56" s="2686">
        <f t="shared" si="9"/>
        <v>0</v>
      </c>
      <c r="X56" s="2718"/>
      <c r="Y56" s="2687">
        <f t="shared" si="13"/>
        <v>0</v>
      </c>
      <c r="Z56" s="2653"/>
      <c r="AA56" s="2650">
        <v>255.2</v>
      </c>
      <c r="AB56" s="2588">
        <f t="shared" si="17"/>
        <v>505.2</v>
      </c>
      <c r="AC56" s="2678"/>
      <c r="AD56" s="2921"/>
      <c r="AE56" s="2663"/>
      <c r="AI56" s="2689">
        <v>11</v>
      </c>
      <c r="AJ56" s="2718"/>
      <c r="AK56" s="2686">
        <f t="shared" si="10"/>
        <v>0</v>
      </c>
      <c r="AL56" s="2686">
        <f t="shared" si="11"/>
        <v>0</v>
      </c>
      <c r="AM56" s="2718"/>
      <c r="AN56" s="2687">
        <f t="shared" si="14"/>
        <v>0</v>
      </c>
      <c r="AO56" s="2653"/>
      <c r="AP56" s="2650">
        <v>255.2</v>
      </c>
      <c r="AQ56" s="2588">
        <f t="shared" si="18"/>
        <v>422.2</v>
      </c>
      <c r="AR56" s="2678"/>
    </row>
    <row r="57" spans="1:44" s="2588" customFormat="1" ht="17.100000000000001" customHeight="1">
      <c r="A57" s="2663"/>
      <c r="E57" s="2689">
        <v>11.5</v>
      </c>
      <c r="F57" s="2718"/>
      <c r="G57" s="2686">
        <f t="shared" si="6"/>
        <v>0</v>
      </c>
      <c r="H57" s="2686">
        <f t="shared" si="7"/>
        <v>0</v>
      </c>
      <c r="I57" s="2718"/>
      <c r="J57" s="2687">
        <f t="shared" si="12"/>
        <v>0</v>
      </c>
      <c r="K57" s="2653"/>
      <c r="L57" s="2650">
        <v>285</v>
      </c>
      <c r="M57" s="2588">
        <f t="shared" si="16"/>
        <v>580.79999999999995</v>
      </c>
      <c r="N57" s="2678"/>
      <c r="O57" s="2922"/>
      <c r="P57" s="2663"/>
      <c r="T57" s="2689">
        <v>11.5</v>
      </c>
      <c r="U57" s="2718"/>
      <c r="V57" s="2686">
        <f t="shared" si="8"/>
        <v>0</v>
      </c>
      <c r="W57" s="2686">
        <f t="shared" si="9"/>
        <v>0</v>
      </c>
      <c r="X57" s="2718"/>
      <c r="Y57" s="2687">
        <f t="shared" si="13"/>
        <v>0</v>
      </c>
      <c r="Z57" s="2653"/>
      <c r="AA57" s="2650">
        <v>254.7</v>
      </c>
      <c r="AB57" s="2588">
        <f t="shared" si="17"/>
        <v>504.7</v>
      </c>
      <c r="AC57" s="2678"/>
      <c r="AD57" s="2921"/>
      <c r="AE57" s="2663"/>
      <c r="AI57" s="2689">
        <v>11.5</v>
      </c>
      <c r="AJ57" s="2718"/>
      <c r="AK57" s="2686">
        <f t="shared" si="10"/>
        <v>0</v>
      </c>
      <c r="AL57" s="2686">
        <f t="shared" si="11"/>
        <v>0</v>
      </c>
      <c r="AM57" s="2718"/>
      <c r="AN57" s="2687">
        <f t="shared" si="14"/>
        <v>0</v>
      </c>
      <c r="AO57" s="2653"/>
      <c r="AP57" s="2650">
        <v>254.7</v>
      </c>
      <c r="AQ57" s="2588">
        <f t="shared" si="18"/>
        <v>421.7</v>
      </c>
      <c r="AR57" s="2678"/>
    </row>
    <row r="58" spans="1:44" s="2588" customFormat="1" ht="17.100000000000001" customHeight="1">
      <c r="A58" s="2663"/>
      <c r="E58" s="2689">
        <v>12</v>
      </c>
      <c r="F58" s="2718"/>
      <c r="G58" s="2686">
        <f t="shared" si="6"/>
        <v>0</v>
      </c>
      <c r="H58" s="2686">
        <f t="shared" si="7"/>
        <v>0</v>
      </c>
      <c r="I58" s="2718"/>
      <c r="J58" s="2687">
        <f t="shared" si="12"/>
        <v>0</v>
      </c>
      <c r="K58" s="2653"/>
      <c r="L58" s="2650">
        <v>285</v>
      </c>
      <c r="M58" s="2588">
        <f t="shared" si="16"/>
        <v>580.79999999999995</v>
      </c>
      <c r="N58" s="2678"/>
      <c r="O58" s="2922"/>
      <c r="P58" s="2663"/>
      <c r="T58" s="2689">
        <v>12</v>
      </c>
      <c r="U58" s="2718"/>
      <c r="V58" s="2686">
        <f t="shared" si="8"/>
        <v>0</v>
      </c>
      <c r="W58" s="2686">
        <f t="shared" si="9"/>
        <v>0</v>
      </c>
      <c r="X58" s="2718"/>
      <c r="Y58" s="2687">
        <f t="shared" si="13"/>
        <v>0</v>
      </c>
      <c r="Z58" s="2653"/>
      <c r="AA58" s="2650">
        <v>254.7</v>
      </c>
      <c r="AB58" s="2588">
        <f t="shared" si="17"/>
        <v>504.7</v>
      </c>
      <c r="AC58" s="2678"/>
      <c r="AD58" s="2921"/>
      <c r="AE58" s="2663"/>
      <c r="AI58" s="2689">
        <v>12</v>
      </c>
      <c r="AJ58" s="2718"/>
      <c r="AK58" s="2686">
        <f t="shared" si="10"/>
        <v>0</v>
      </c>
      <c r="AL58" s="2686">
        <f t="shared" si="11"/>
        <v>0</v>
      </c>
      <c r="AM58" s="2718"/>
      <c r="AN58" s="2687">
        <f t="shared" si="14"/>
        <v>0</v>
      </c>
      <c r="AO58" s="2653"/>
      <c r="AP58" s="2650">
        <v>254.7</v>
      </c>
      <c r="AQ58" s="2588">
        <f t="shared" si="18"/>
        <v>421.7</v>
      </c>
      <c r="AR58" s="2678"/>
    </row>
    <row r="59" spans="1:44" s="2588" customFormat="1" ht="17.100000000000001" customHeight="1">
      <c r="A59" s="2663"/>
      <c r="E59" s="2689"/>
      <c r="F59" s="2719"/>
      <c r="G59" s="2695"/>
      <c r="H59" s="2695"/>
      <c r="I59" s="2719"/>
      <c r="J59" s="2687"/>
      <c r="K59" s="2653"/>
      <c r="L59" s="2650"/>
      <c r="N59" s="2678"/>
      <c r="O59" s="2922"/>
      <c r="P59" s="2663"/>
      <c r="T59" s="2689"/>
      <c r="U59" s="2719"/>
      <c r="V59" s="2695"/>
      <c r="W59" s="2695"/>
      <c r="X59" s="2719"/>
      <c r="Y59" s="2687"/>
      <c r="Z59" s="2653"/>
      <c r="AA59" s="2650"/>
      <c r="AC59" s="2678"/>
      <c r="AD59" s="2921"/>
      <c r="AE59" s="2663"/>
      <c r="AI59" s="2689"/>
      <c r="AJ59" s="2718"/>
      <c r="AK59" s="2686"/>
      <c r="AL59" s="2686"/>
      <c r="AM59" s="2718"/>
      <c r="AN59" s="2687"/>
      <c r="AO59" s="2653"/>
      <c r="AP59" s="2650"/>
      <c r="AR59" s="2678"/>
    </row>
    <row r="60" spans="1:44" s="2588" customFormat="1" ht="17.100000000000001" customHeight="1">
      <c r="A60" s="2663"/>
      <c r="E60" s="2689"/>
      <c r="F60" s="2719"/>
      <c r="G60" s="2695"/>
      <c r="H60" s="2695"/>
      <c r="I60" s="2719"/>
      <c r="J60" s="2687"/>
      <c r="K60" s="2653"/>
      <c r="L60" s="2650"/>
      <c r="N60" s="2678"/>
      <c r="O60" s="2922"/>
      <c r="P60" s="2663"/>
      <c r="T60" s="2689"/>
      <c r="U60" s="2719"/>
      <c r="V60" s="2695"/>
      <c r="W60" s="2695"/>
      <c r="X60" s="2719"/>
      <c r="Y60" s="2687"/>
      <c r="Z60" s="2653"/>
      <c r="AA60" s="2650"/>
      <c r="AC60" s="2678"/>
      <c r="AD60" s="2921"/>
      <c r="AE60" s="2663"/>
      <c r="AI60" s="2689"/>
      <c r="AJ60" s="2719"/>
      <c r="AK60" s="2695"/>
      <c r="AL60" s="2695"/>
      <c r="AM60" s="2719"/>
      <c r="AN60" s="2687"/>
      <c r="AO60" s="2653"/>
      <c r="AP60" s="2650"/>
      <c r="AR60" s="2678"/>
    </row>
    <row r="61" spans="1:44" s="2588" customFormat="1" ht="17.100000000000001" customHeight="1">
      <c r="A61" s="2663"/>
      <c r="E61" s="2689"/>
      <c r="F61" s="2719"/>
      <c r="G61" s="2695"/>
      <c r="H61" s="2695"/>
      <c r="I61" s="2719"/>
      <c r="J61" s="2687"/>
      <c r="K61" s="2653"/>
      <c r="L61" s="2650"/>
      <c r="N61" s="2678"/>
      <c r="O61" s="2922"/>
      <c r="P61" s="2663"/>
      <c r="T61" s="2689"/>
      <c r="U61" s="2719"/>
      <c r="V61" s="2695"/>
      <c r="W61" s="2695"/>
      <c r="X61" s="2719"/>
      <c r="Y61" s="2687"/>
      <c r="Z61" s="2653"/>
      <c r="AA61" s="2650"/>
      <c r="AC61" s="2678"/>
      <c r="AD61" s="2921"/>
      <c r="AE61" s="2663"/>
      <c r="AI61" s="2689"/>
      <c r="AJ61" s="2719"/>
      <c r="AK61" s="2695"/>
      <c r="AL61" s="2695"/>
      <c r="AM61" s="2719"/>
      <c r="AN61" s="2687"/>
      <c r="AO61" s="2653"/>
      <c r="AP61" s="2650"/>
      <c r="AR61" s="2678"/>
    </row>
    <row r="62" spans="1:44" s="2588" customFormat="1" ht="17.100000000000001" customHeight="1">
      <c r="A62" s="2663"/>
      <c r="E62" s="2689"/>
      <c r="F62" s="2719"/>
      <c r="G62" s="2695"/>
      <c r="H62" s="2695"/>
      <c r="I62" s="2719"/>
      <c r="J62" s="2687"/>
      <c r="K62" s="2653"/>
      <c r="L62" s="2650"/>
      <c r="N62" s="2678"/>
      <c r="O62" s="2922"/>
      <c r="P62" s="2663"/>
      <c r="T62" s="2689"/>
      <c r="U62" s="2719"/>
      <c r="V62" s="2695"/>
      <c r="W62" s="2695"/>
      <c r="X62" s="2719"/>
      <c r="Y62" s="2687"/>
      <c r="Z62" s="2653"/>
      <c r="AA62" s="2650"/>
      <c r="AC62" s="2678"/>
      <c r="AD62" s="2921"/>
      <c r="AE62" s="2663"/>
      <c r="AI62" s="2689"/>
      <c r="AJ62" s="2719"/>
      <c r="AK62" s="2695"/>
      <c r="AL62" s="2695"/>
      <c r="AM62" s="2719"/>
      <c r="AN62" s="2687"/>
      <c r="AO62" s="2653"/>
      <c r="AP62" s="2650"/>
      <c r="AR62" s="2678"/>
    </row>
    <row r="63" spans="1:44" s="2588" customFormat="1" ht="17.100000000000001" customHeight="1">
      <c r="A63" s="2663"/>
      <c r="E63" s="2689"/>
      <c r="F63" s="2719"/>
      <c r="G63" s="2695"/>
      <c r="H63" s="2687"/>
      <c r="I63" s="2719"/>
      <c r="J63" s="2687"/>
      <c r="K63" s="2653"/>
      <c r="L63" s="2650"/>
      <c r="N63" s="2709"/>
      <c r="O63" s="2922"/>
      <c r="P63" s="2663"/>
      <c r="T63" s="2689"/>
      <c r="U63" s="2719"/>
      <c r="V63" s="2695"/>
      <c r="W63" s="2687"/>
      <c r="X63" s="2719"/>
      <c r="Y63" s="2687"/>
      <c r="Z63" s="2653"/>
      <c r="AA63" s="2650"/>
      <c r="AC63" s="2709"/>
      <c r="AD63" s="2921"/>
      <c r="AE63" s="2663"/>
      <c r="AI63" s="2689"/>
      <c r="AJ63" s="2719"/>
      <c r="AK63" s="2695"/>
      <c r="AL63" s="2687"/>
      <c r="AM63" s="2719"/>
      <c r="AN63" s="2687"/>
      <c r="AO63" s="2653"/>
      <c r="AP63" s="2650"/>
      <c r="AR63" s="2709"/>
    </row>
    <row r="64" spans="1:44" s="2588" customFormat="1" ht="17.100000000000001" customHeight="1">
      <c r="A64" s="2663"/>
      <c r="E64" s="2689"/>
      <c r="F64" s="2719"/>
      <c r="G64" s="2695"/>
      <c r="H64" s="2687"/>
      <c r="I64" s="2719"/>
      <c r="J64" s="2687"/>
      <c r="K64" s="2653"/>
      <c r="L64" s="2650"/>
      <c r="N64" s="2709"/>
      <c r="O64" s="2922"/>
      <c r="P64" s="2663"/>
      <c r="T64" s="2689"/>
      <c r="U64" s="2719"/>
      <c r="V64" s="2695"/>
      <c r="W64" s="2687"/>
      <c r="X64" s="2719"/>
      <c r="Y64" s="2687"/>
      <c r="Z64" s="2653"/>
      <c r="AA64" s="2650"/>
      <c r="AC64" s="2709"/>
      <c r="AD64" s="2921"/>
      <c r="AE64" s="2663"/>
      <c r="AI64" s="2689"/>
      <c r="AJ64" s="2719"/>
      <c r="AK64" s="2695"/>
      <c r="AL64" s="2687"/>
      <c r="AM64" s="2719"/>
      <c r="AN64" s="2687"/>
      <c r="AO64" s="2653"/>
      <c r="AP64" s="2650"/>
      <c r="AR64" s="2709"/>
    </row>
    <row r="65" spans="1:44" s="2588" customFormat="1" ht="17.100000000000001" customHeight="1">
      <c r="A65" s="2663"/>
      <c r="E65" s="2689"/>
      <c r="F65" s="2719"/>
      <c r="G65" s="2693"/>
      <c r="H65" s="2687"/>
      <c r="I65" s="2719"/>
      <c r="J65" s="2687"/>
      <c r="K65" s="2653"/>
      <c r="L65" s="2650"/>
      <c r="N65" s="2678"/>
      <c r="O65" s="2922"/>
      <c r="P65" s="2663"/>
      <c r="T65" s="2689"/>
      <c r="U65" s="2719"/>
      <c r="V65" s="2693"/>
      <c r="W65" s="2687"/>
      <c r="X65" s="2719"/>
      <c r="Y65" s="2687"/>
      <c r="Z65" s="2653"/>
      <c r="AA65" s="2650"/>
      <c r="AC65" s="2678"/>
      <c r="AD65" s="2921"/>
      <c r="AE65" s="2663"/>
      <c r="AI65" s="2689"/>
      <c r="AJ65" s="2719"/>
      <c r="AK65" s="2693"/>
      <c r="AL65" s="2687"/>
      <c r="AM65" s="2719"/>
      <c r="AN65" s="2687"/>
      <c r="AO65" s="2653"/>
      <c r="AP65" s="2650"/>
      <c r="AR65" s="2678"/>
    </row>
    <row r="66" spans="1:44" s="2588" customFormat="1" ht="17.100000000000001" customHeight="1">
      <c r="A66" s="2663"/>
      <c r="E66" s="2689"/>
      <c r="F66" s="2719"/>
      <c r="G66" s="2693"/>
      <c r="H66" s="2687"/>
      <c r="I66" s="2719"/>
      <c r="J66" s="2687"/>
      <c r="K66" s="2653"/>
      <c r="L66" s="2650"/>
      <c r="N66" s="2678"/>
      <c r="O66" s="2922"/>
      <c r="P66" s="2663"/>
      <c r="T66" s="2689"/>
      <c r="U66" s="2719"/>
      <c r="V66" s="2693"/>
      <c r="W66" s="2687"/>
      <c r="X66" s="2719"/>
      <c r="Y66" s="2687"/>
      <c r="Z66" s="2653"/>
      <c r="AA66" s="2650"/>
      <c r="AC66" s="2678"/>
      <c r="AD66" s="2921"/>
      <c r="AE66" s="2663"/>
      <c r="AI66" s="2689"/>
      <c r="AJ66" s="2719"/>
      <c r="AK66" s="2693"/>
      <c r="AL66" s="2687"/>
      <c r="AM66" s="2719"/>
      <c r="AN66" s="2687"/>
      <c r="AO66" s="2653"/>
      <c r="AP66" s="2650"/>
      <c r="AR66" s="2678"/>
    </row>
    <row r="67" spans="1:44" s="2588" customFormat="1" ht="17.100000000000001" customHeight="1">
      <c r="A67" s="2663"/>
      <c r="E67" s="2689"/>
      <c r="F67" s="2720"/>
      <c r="G67" s="2710"/>
      <c r="H67" s="2665"/>
      <c r="I67" s="2721"/>
      <c r="J67" s="2687"/>
      <c r="K67" s="2711"/>
      <c r="L67" s="2712"/>
      <c r="N67" s="2678"/>
      <c r="O67" s="2922"/>
      <c r="P67" s="2663"/>
      <c r="T67" s="2689"/>
      <c r="U67" s="2720"/>
      <c r="V67" s="2710"/>
      <c r="W67" s="2665"/>
      <c r="X67" s="2721"/>
      <c r="Y67" s="2687"/>
      <c r="Z67" s="2711"/>
      <c r="AA67" s="2712"/>
      <c r="AC67" s="2678"/>
      <c r="AD67" s="2921"/>
      <c r="AE67" s="2663"/>
      <c r="AI67" s="2689"/>
      <c r="AJ67" s="2720"/>
      <c r="AK67" s="2710"/>
      <c r="AL67" s="2665"/>
      <c r="AM67" s="2721"/>
      <c r="AN67" s="2687"/>
      <c r="AO67" s="2711"/>
      <c r="AP67" s="2712"/>
      <c r="AR67" s="2678"/>
    </row>
    <row r="68" spans="1:44" s="2588" customFormat="1">
      <c r="A68" s="2663"/>
      <c r="F68" s="2713"/>
      <c r="G68" s="2713"/>
      <c r="N68" s="2678"/>
      <c r="O68" s="2922"/>
      <c r="P68" s="2663"/>
      <c r="U68" s="2713"/>
      <c r="V68" s="2713"/>
      <c r="AC68" s="2678"/>
      <c r="AD68" s="2921"/>
      <c r="AE68" s="2663"/>
      <c r="AJ68" s="2713"/>
      <c r="AK68" s="2713"/>
      <c r="AR68" s="2678"/>
    </row>
    <row r="69" spans="1:44" s="2588" customFormat="1">
      <c r="A69" s="2663"/>
      <c r="F69" s="2713"/>
      <c r="G69" s="2713"/>
      <c r="N69" s="2678"/>
      <c r="O69" s="2922"/>
      <c r="P69" s="2663"/>
      <c r="U69" s="2713"/>
      <c r="V69" s="2713"/>
      <c r="AC69" s="2678"/>
      <c r="AD69" s="2921"/>
      <c r="AE69" s="2663"/>
      <c r="AJ69" s="2713"/>
      <c r="AK69" s="2713"/>
      <c r="AR69" s="2678"/>
    </row>
    <row r="70" spans="1:44">
      <c r="A70" s="2553"/>
      <c r="B70" s="2554"/>
      <c r="C70" s="2554"/>
      <c r="D70" s="2554"/>
      <c r="E70" s="2656"/>
      <c r="F70" s="2657"/>
      <c r="G70" s="2657"/>
      <c r="H70" s="2554"/>
      <c r="I70" s="2554"/>
      <c r="J70" s="2554"/>
      <c r="K70" s="2554"/>
      <c r="L70" s="2554"/>
      <c r="M70" s="2554"/>
      <c r="N70" s="2658"/>
      <c r="P70" s="2553"/>
      <c r="Q70" s="2554"/>
      <c r="R70" s="2554"/>
      <c r="S70" s="2554"/>
      <c r="T70" s="2656"/>
      <c r="U70" s="2657"/>
      <c r="V70" s="2657"/>
      <c r="W70" s="2554"/>
      <c r="X70" s="2554"/>
      <c r="Y70" s="2554"/>
      <c r="Z70" s="2554"/>
      <c r="AA70" s="2554"/>
      <c r="AB70" s="2554"/>
      <c r="AC70" s="2658"/>
      <c r="AE70" s="2553"/>
      <c r="AF70" s="2554"/>
      <c r="AG70" s="2554"/>
      <c r="AH70" s="2554"/>
      <c r="AI70" s="2656"/>
      <c r="AJ70" s="2657"/>
      <c r="AK70" s="2657"/>
      <c r="AL70" s="2554"/>
      <c r="AM70" s="2554"/>
      <c r="AN70" s="2554"/>
      <c r="AO70" s="2554"/>
      <c r="AP70" s="2554"/>
      <c r="AQ70" s="2554"/>
      <c r="AR70" s="2658"/>
    </row>
    <row r="71" spans="1:44">
      <c r="E71" s="2588"/>
      <c r="F71" s="2655"/>
      <c r="G71" s="2655"/>
      <c r="T71" s="2588"/>
      <c r="U71" s="2655"/>
      <c r="V71" s="2655"/>
      <c r="AI71" s="2588"/>
      <c r="AJ71" s="2655"/>
      <c r="AK71" s="2655"/>
    </row>
    <row r="72" spans="1:44">
      <c r="E72" s="2588"/>
      <c r="F72" s="2655"/>
      <c r="G72" s="2655"/>
      <c r="T72" s="2588"/>
      <c r="U72" s="2655"/>
      <c r="V72" s="2655"/>
      <c r="AI72" s="2588"/>
      <c r="AJ72" s="2655"/>
      <c r="AK72" s="2655"/>
    </row>
    <row r="73" spans="1:44">
      <c r="E73" s="2588"/>
      <c r="F73" s="2655"/>
      <c r="G73" s="2655"/>
      <c r="T73" s="2588"/>
      <c r="U73" s="2655"/>
      <c r="V73" s="2655"/>
      <c r="AI73" s="2588"/>
      <c r="AJ73" s="2655"/>
      <c r="AK73" s="2655"/>
    </row>
    <row r="74" spans="1:44" ht="12.75" customHeight="1">
      <c r="D74" s="2898">
        <v>0</v>
      </c>
      <c r="E74" s="2588"/>
      <c r="F74" s="2655"/>
      <c r="G74" s="2655"/>
      <c r="T74" s="2588"/>
      <c r="U74" s="2655"/>
      <c r="V74" s="2655"/>
      <c r="AI74" s="2588"/>
      <c r="AJ74" s="2655"/>
      <c r="AK74" s="2655"/>
    </row>
    <row r="75" spans="1:44">
      <c r="D75" s="2898">
        <v>0.1</v>
      </c>
      <c r="E75" s="2588"/>
      <c r="F75" s="2655"/>
      <c r="G75" s="2655"/>
      <c r="T75" s="2588"/>
      <c r="U75" s="2655"/>
      <c r="V75" s="2655"/>
      <c r="AI75" s="2588"/>
      <c r="AJ75" s="2655"/>
      <c r="AK75" s="2655"/>
    </row>
    <row r="76" spans="1:44">
      <c r="D76" s="2898">
        <v>0.25</v>
      </c>
      <c r="E76" s="2588"/>
      <c r="F76" s="2655"/>
      <c r="G76" s="2655"/>
      <c r="T76" s="2588"/>
      <c r="U76" s="2655"/>
      <c r="V76" s="2655"/>
      <c r="AI76" s="2588"/>
      <c r="AJ76" s="2655"/>
      <c r="AK76" s="2655"/>
    </row>
    <row r="77" spans="1:44">
      <c r="D77" s="2898">
        <v>0.5</v>
      </c>
      <c r="E77" s="2588"/>
      <c r="F77" s="2655"/>
      <c r="G77" s="2655"/>
      <c r="T77" s="2588"/>
      <c r="U77" s="2655"/>
      <c r="V77" s="2655"/>
      <c r="AI77" s="2588"/>
      <c r="AJ77" s="2655"/>
      <c r="AK77" s="2655"/>
    </row>
    <row r="78" spans="1:44">
      <c r="D78" s="2898">
        <v>1</v>
      </c>
      <c r="E78" s="2588"/>
      <c r="F78" s="2655"/>
      <c r="G78" s="2655"/>
      <c r="T78" s="2588"/>
      <c r="U78" s="2655"/>
      <c r="V78" s="2655"/>
      <c r="AI78" s="2588"/>
      <c r="AJ78" s="2655"/>
      <c r="AK78" s="2655"/>
    </row>
    <row r="79" spans="1:44">
      <c r="D79" s="2898">
        <v>2</v>
      </c>
      <c r="E79" s="2588"/>
      <c r="F79" s="2655"/>
      <c r="G79" s="2655"/>
      <c r="T79" s="2588"/>
      <c r="U79" s="2655"/>
      <c r="V79" s="2655"/>
      <c r="AI79" s="2588"/>
      <c r="AJ79" s="2655"/>
      <c r="AK79" s="2655"/>
    </row>
    <row r="80" spans="1:44">
      <c r="D80" s="2899">
        <v>4</v>
      </c>
      <c r="E80" s="2588"/>
      <c r="F80" s="2655"/>
      <c r="G80" s="2655"/>
      <c r="T80" s="2588"/>
      <c r="U80" s="2655"/>
      <c r="V80" s="2655"/>
      <c r="AI80" s="2588"/>
      <c r="AJ80" s="2655"/>
      <c r="AK80" s="2655"/>
    </row>
    <row r="81" spans="4:37">
      <c r="D81" s="2899">
        <v>8</v>
      </c>
      <c r="E81" s="2588"/>
      <c r="F81" s="2655"/>
      <c r="G81" s="2655"/>
      <c r="T81" s="2588"/>
      <c r="U81" s="2655"/>
      <c r="V81" s="2655"/>
      <c r="AI81" s="2588"/>
      <c r="AJ81" s="2655"/>
      <c r="AK81" s="2655"/>
    </row>
    <row r="82" spans="4:37">
      <c r="D82" s="2899">
        <v>15</v>
      </c>
      <c r="E82" s="2588"/>
      <c r="F82" s="2655"/>
      <c r="G82" s="2655"/>
      <c r="T82" s="2588"/>
      <c r="U82" s="2655"/>
      <c r="V82" s="2655"/>
      <c r="AI82" s="2588"/>
      <c r="AJ82" s="2655"/>
      <c r="AK82" s="2655"/>
    </row>
    <row r="83" spans="4:37">
      <c r="D83" s="2899">
        <v>30</v>
      </c>
      <c r="E83" s="2588"/>
      <c r="F83" s="2655"/>
      <c r="G83" s="2655"/>
      <c r="T83" s="2588"/>
      <c r="U83" s="2655"/>
      <c r="V83" s="2655"/>
      <c r="AI83" s="2588"/>
      <c r="AJ83" s="2655"/>
      <c r="AK83" s="2655"/>
    </row>
    <row r="84" spans="4:37">
      <c r="D84" s="2899">
        <v>60</v>
      </c>
      <c r="E84" s="2588"/>
      <c r="F84" s="2655"/>
      <c r="G84" s="2655"/>
      <c r="T84" s="2588"/>
      <c r="U84" s="2655"/>
      <c r="V84" s="2655"/>
      <c r="AI84" s="2588"/>
      <c r="AJ84" s="2655"/>
      <c r="AK84" s="2655"/>
    </row>
    <row r="85" spans="4:37">
      <c r="D85" s="2899">
        <v>120</v>
      </c>
      <c r="E85" s="2588"/>
      <c r="F85" s="2655"/>
      <c r="G85" s="2655"/>
      <c r="T85" s="2588"/>
      <c r="U85" s="2655"/>
      <c r="V85" s="2655"/>
      <c r="AI85" s="2588"/>
      <c r="AJ85" s="2655"/>
      <c r="AK85" s="2655"/>
    </row>
    <row r="86" spans="4:37">
      <c r="D86" s="2899">
        <v>256</v>
      </c>
      <c r="E86" s="2588"/>
      <c r="F86" s="2655"/>
      <c r="G86" s="2655"/>
      <c r="T86" s="2588"/>
      <c r="U86" s="2655"/>
      <c r="V86" s="2655"/>
      <c r="AI86" s="2588"/>
      <c r="AJ86" s="2655"/>
      <c r="AK86" s="2655"/>
    </row>
    <row r="87" spans="4:37">
      <c r="D87" s="2899">
        <v>484</v>
      </c>
      <c r="E87" s="2588"/>
      <c r="F87" s="2655"/>
      <c r="G87" s="2655"/>
      <c r="T87" s="2588"/>
      <c r="U87" s="2655"/>
      <c r="V87" s="2655"/>
      <c r="AI87" s="2588"/>
      <c r="AJ87" s="2655"/>
      <c r="AK87" s="2655"/>
    </row>
    <row r="88" spans="4:37">
      <c r="D88" s="2899">
        <v>1440</v>
      </c>
      <c r="E88" s="2588"/>
      <c r="F88" s="2655"/>
      <c r="G88" s="2655"/>
      <c r="T88" s="2588"/>
      <c r="U88" s="2655"/>
      <c r="V88" s="2655"/>
      <c r="AI88" s="2588"/>
      <c r="AJ88" s="2655"/>
      <c r="AK88" s="2655"/>
    </row>
    <row r="89" spans="4:37">
      <c r="D89" s="2899"/>
      <c r="E89" s="2588"/>
      <c r="F89" s="2655"/>
      <c r="G89" s="2655"/>
      <c r="T89" s="2588"/>
      <c r="U89" s="2655"/>
      <c r="V89" s="2655"/>
      <c r="AI89" s="2588"/>
      <c r="AJ89" s="2655"/>
      <c r="AK89" s="2655"/>
    </row>
    <row r="90" spans="4:37">
      <c r="E90" s="2588"/>
      <c r="F90" s="2655"/>
      <c r="G90" s="2655"/>
      <c r="T90" s="2588"/>
      <c r="U90" s="2655"/>
      <c r="V90" s="2655"/>
      <c r="AI90" s="2588"/>
      <c r="AJ90" s="2655"/>
      <c r="AK90" s="2655"/>
    </row>
    <row r="91" spans="4:37">
      <c r="E91" s="2588"/>
      <c r="F91" s="2655"/>
      <c r="G91" s="2655"/>
      <c r="T91" s="2588"/>
      <c r="U91" s="2655"/>
      <c r="V91" s="2655"/>
      <c r="AI91" s="2588"/>
      <c r="AJ91" s="2655"/>
      <c r="AK91" s="2655"/>
    </row>
    <row r="92" spans="4:37">
      <c r="E92" s="2588"/>
      <c r="F92" s="2655"/>
      <c r="G92" s="2655"/>
      <c r="T92" s="2588"/>
      <c r="U92" s="2655"/>
      <c r="V92" s="2655"/>
      <c r="AI92" s="2588"/>
      <c r="AJ92" s="2655"/>
      <c r="AK92" s="2655"/>
    </row>
    <row r="93" spans="4:37">
      <c r="E93" s="2588"/>
      <c r="F93" s="2655"/>
      <c r="G93" s="2655"/>
      <c r="T93" s="2588"/>
      <c r="U93" s="2655"/>
      <c r="V93" s="2655"/>
      <c r="AI93" s="2588"/>
      <c r="AJ93" s="2655"/>
      <c r="AK93" s="2655"/>
    </row>
    <row r="94" spans="4:37">
      <c r="E94" s="2588"/>
      <c r="F94" s="2655"/>
      <c r="G94" s="2655"/>
      <c r="T94" s="2588"/>
      <c r="U94" s="2655"/>
      <c r="V94" s="2655"/>
      <c r="AI94" s="2588"/>
      <c r="AJ94" s="2655"/>
      <c r="AK94" s="2655"/>
    </row>
    <row r="95" spans="4:37">
      <c r="E95" s="2588"/>
      <c r="F95" s="2655"/>
      <c r="G95" s="2655"/>
      <c r="T95" s="2588"/>
      <c r="U95" s="2655"/>
      <c r="V95" s="2655"/>
      <c r="AI95" s="2588"/>
      <c r="AJ95" s="2655"/>
      <c r="AK95" s="2655"/>
    </row>
    <row r="96" spans="4:37">
      <c r="E96" s="2588"/>
      <c r="F96" s="2655"/>
      <c r="G96" s="2655"/>
      <c r="T96" s="2588"/>
      <c r="U96" s="2655"/>
      <c r="V96" s="2655"/>
      <c r="AI96" s="2588"/>
      <c r="AJ96" s="2655"/>
      <c r="AK96" s="2655"/>
    </row>
    <row r="97" spans="5:37">
      <c r="E97" s="2588"/>
      <c r="F97" s="2655"/>
      <c r="G97" s="2655"/>
      <c r="T97" s="2588"/>
      <c r="U97" s="2655"/>
      <c r="V97" s="2655"/>
      <c r="AI97" s="2588"/>
      <c r="AJ97" s="2655"/>
      <c r="AK97" s="2655"/>
    </row>
    <row r="98" spans="5:37">
      <c r="E98" s="2588"/>
      <c r="F98" s="2655"/>
      <c r="G98" s="2655"/>
      <c r="T98" s="2588"/>
      <c r="U98" s="2655"/>
      <c r="V98" s="2655"/>
      <c r="AI98" s="2588"/>
      <c r="AJ98" s="2655"/>
      <c r="AK98" s="2655"/>
    </row>
    <row r="99" spans="5:37">
      <c r="E99" s="2588"/>
      <c r="F99" s="2655"/>
      <c r="G99" s="2655"/>
      <c r="T99" s="2588"/>
      <c r="U99" s="2655"/>
      <c r="V99" s="2655"/>
      <c r="AI99" s="2588"/>
      <c r="AJ99" s="2655"/>
      <c r="AK99" s="2655"/>
    </row>
    <row r="100" spans="5:37">
      <c r="F100" s="2655"/>
      <c r="G100" s="2655"/>
      <c r="U100" s="2655"/>
      <c r="V100" s="2655"/>
      <c r="AJ100" s="2655"/>
      <c r="AK100" s="2655"/>
    </row>
    <row r="101" spans="5:37">
      <c r="F101" s="2655"/>
      <c r="G101" s="2655"/>
      <c r="U101" s="2655"/>
      <c r="V101" s="2655"/>
      <c r="AJ101" s="2655"/>
      <c r="AK101" s="2655"/>
    </row>
    <row r="102" spans="5:37">
      <c r="F102" s="2655"/>
      <c r="G102" s="2655"/>
      <c r="U102" s="2655"/>
      <c r="V102" s="2655"/>
      <c r="AJ102" s="2655"/>
      <c r="AK102" s="2655"/>
    </row>
    <row r="103" spans="5:37">
      <c r="F103" s="2655"/>
      <c r="G103" s="2655"/>
      <c r="U103" s="2655"/>
      <c r="V103" s="2655"/>
      <c r="AJ103" s="2655"/>
      <c r="AK103" s="2655"/>
    </row>
    <row r="104" spans="5:37">
      <c r="F104" s="2655"/>
      <c r="G104" s="2655"/>
      <c r="U104" s="2655"/>
      <c r="V104" s="2655"/>
      <c r="AJ104" s="2655"/>
      <c r="AK104" s="2655"/>
    </row>
    <row r="105" spans="5:37">
      <c r="F105" s="2655"/>
      <c r="G105" s="2655"/>
      <c r="U105" s="2655"/>
      <c r="V105" s="2655"/>
      <c r="AJ105" s="2655"/>
      <c r="AK105" s="2655"/>
    </row>
    <row r="106" spans="5:37">
      <c r="F106" s="2655"/>
      <c r="G106" s="2655"/>
      <c r="U106" s="2655"/>
      <c r="V106" s="2655"/>
      <c r="AJ106" s="2655"/>
      <c r="AK106" s="2655"/>
    </row>
    <row r="107" spans="5:37">
      <c r="F107" s="2655"/>
      <c r="G107" s="2655"/>
      <c r="U107" s="2655"/>
      <c r="V107" s="2655"/>
      <c r="AJ107" s="2655"/>
      <c r="AK107" s="2655"/>
    </row>
    <row r="108" spans="5:37">
      <c r="F108" s="2655"/>
      <c r="G108" s="2655"/>
      <c r="U108" s="2655"/>
      <c r="V108" s="2655"/>
      <c r="AJ108" s="2655"/>
      <c r="AK108" s="2655"/>
    </row>
    <row r="109" spans="5:37">
      <c r="F109" s="2655"/>
      <c r="G109" s="2655"/>
      <c r="U109" s="2655"/>
      <c r="V109" s="2655"/>
      <c r="AJ109" s="2655"/>
      <c r="AK109" s="2655"/>
    </row>
    <row r="110" spans="5:37">
      <c r="F110" s="2655"/>
      <c r="G110" s="2655"/>
      <c r="U110" s="2655"/>
      <c r="V110" s="2655"/>
      <c r="AJ110" s="2655"/>
      <c r="AK110" s="2655"/>
    </row>
    <row r="111" spans="5:37">
      <c r="F111" s="2655"/>
      <c r="G111" s="2655"/>
      <c r="U111" s="2655"/>
      <c r="V111" s="2655"/>
      <c r="AJ111" s="2655"/>
      <c r="AK111" s="2655"/>
    </row>
    <row r="112" spans="5:37">
      <c r="F112" s="2655"/>
      <c r="G112" s="2655"/>
      <c r="U112" s="2655"/>
      <c r="V112" s="2655"/>
      <c r="AJ112" s="2655"/>
      <c r="AK112" s="2655"/>
    </row>
    <row r="113" spans="6:37">
      <c r="F113" s="2655"/>
      <c r="G113" s="2655"/>
      <c r="U113" s="2655"/>
      <c r="V113" s="2655"/>
      <c r="AJ113" s="2655"/>
      <c r="AK113" s="2655"/>
    </row>
    <row r="114" spans="6:37">
      <c r="F114" s="2655"/>
      <c r="G114" s="2655"/>
      <c r="U114" s="2655"/>
      <c r="V114" s="2655"/>
      <c r="AJ114" s="2655"/>
      <c r="AK114" s="2655"/>
    </row>
    <row r="115" spans="6:37">
      <c r="F115" s="2655"/>
      <c r="G115" s="2655"/>
      <c r="U115" s="2655"/>
      <c r="V115" s="2655"/>
      <c r="AJ115" s="2655"/>
      <c r="AK115" s="2655"/>
    </row>
    <row r="116" spans="6:37">
      <c r="F116" s="2655"/>
      <c r="G116" s="2655"/>
      <c r="U116" s="2655"/>
      <c r="V116" s="2655"/>
      <c r="AJ116" s="2655"/>
      <c r="AK116" s="2655"/>
    </row>
    <row r="117" spans="6:37">
      <c r="F117" s="2655"/>
      <c r="G117" s="2655"/>
      <c r="U117" s="2655"/>
      <c r="V117" s="2655"/>
      <c r="AJ117" s="2655"/>
      <c r="AK117" s="2655"/>
    </row>
    <row r="118" spans="6:37">
      <c r="F118" s="2655"/>
      <c r="G118" s="2655"/>
      <c r="U118" s="2655"/>
      <c r="V118" s="2655"/>
      <c r="AJ118" s="2655"/>
      <c r="AK118" s="2655"/>
    </row>
    <row r="119" spans="6:37">
      <c r="F119" s="2655"/>
      <c r="G119" s="2655"/>
      <c r="U119" s="2655"/>
      <c r="V119" s="2655"/>
      <c r="AJ119" s="2655"/>
      <c r="AK119" s="2655"/>
    </row>
    <row r="120" spans="6:37">
      <c r="F120" s="2655"/>
      <c r="G120" s="2655"/>
      <c r="U120" s="2655"/>
      <c r="V120" s="2655"/>
      <c r="AJ120" s="2655"/>
      <c r="AK120" s="2655"/>
    </row>
    <row r="121" spans="6:37">
      <c r="F121" s="2655"/>
      <c r="G121" s="2655"/>
      <c r="U121" s="2655"/>
      <c r="V121" s="2655"/>
      <c r="AJ121" s="2655"/>
      <c r="AK121" s="2655"/>
    </row>
    <row r="122" spans="6:37">
      <c r="F122" s="2655"/>
      <c r="G122" s="2655"/>
      <c r="U122" s="2655"/>
      <c r="V122" s="2655"/>
      <c r="AJ122" s="2655"/>
      <c r="AK122" s="2655"/>
    </row>
    <row r="123" spans="6:37">
      <c r="F123" s="2655"/>
      <c r="G123" s="2655"/>
      <c r="U123" s="2655"/>
      <c r="V123" s="2655"/>
      <c r="AJ123" s="2655"/>
      <c r="AK123" s="2655"/>
    </row>
    <row r="124" spans="6:37">
      <c r="F124" s="2655"/>
      <c r="G124" s="2655"/>
      <c r="U124" s="2655"/>
      <c r="V124" s="2655"/>
      <c r="AJ124" s="2655"/>
      <c r="AK124" s="2655"/>
    </row>
    <row r="125" spans="6:37">
      <c r="F125" s="2655"/>
      <c r="G125" s="2655"/>
      <c r="U125" s="2655"/>
      <c r="V125" s="2655"/>
      <c r="AJ125" s="2655"/>
      <c r="AK125" s="2655"/>
    </row>
    <row r="126" spans="6:37">
      <c r="F126" s="2655"/>
      <c r="G126" s="2655"/>
      <c r="U126" s="2655"/>
      <c r="V126" s="2655"/>
      <c r="AJ126" s="2655"/>
      <c r="AK126" s="2655"/>
    </row>
    <row r="127" spans="6:37">
      <c r="F127" s="2655"/>
      <c r="G127" s="2655"/>
      <c r="U127" s="2655"/>
      <c r="V127" s="2655"/>
      <c r="AJ127" s="2655"/>
      <c r="AK127" s="2655"/>
    </row>
    <row r="128" spans="6:37">
      <c r="F128" s="2655"/>
      <c r="G128" s="2655"/>
      <c r="U128" s="2655"/>
      <c r="V128" s="2655"/>
      <c r="AJ128" s="2655"/>
      <c r="AK128" s="2655"/>
    </row>
    <row r="129" spans="6:37">
      <c r="F129" s="2655"/>
      <c r="G129" s="2655"/>
      <c r="U129" s="2655"/>
      <c r="V129" s="2655"/>
      <c r="AJ129" s="2655"/>
      <c r="AK129" s="2655"/>
    </row>
    <row r="130" spans="6:37">
      <c r="F130" s="2655"/>
      <c r="G130" s="2655"/>
      <c r="U130" s="2655"/>
      <c r="V130" s="2655"/>
      <c r="AJ130" s="2655"/>
      <c r="AK130" s="2655"/>
    </row>
    <row r="131" spans="6:37">
      <c r="F131" s="2655"/>
      <c r="G131" s="2655"/>
      <c r="U131" s="2655"/>
      <c r="V131" s="2655"/>
      <c r="AJ131" s="2655"/>
      <c r="AK131" s="2655"/>
    </row>
    <row r="132" spans="6:37">
      <c r="F132" s="2655"/>
      <c r="G132" s="2655"/>
      <c r="U132" s="2655"/>
      <c r="V132" s="2655"/>
      <c r="AJ132" s="2655"/>
      <c r="AK132" s="2655"/>
    </row>
    <row r="133" spans="6:37">
      <c r="F133" s="2655"/>
      <c r="G133" s="2655"/>
      <c r="U133" s="2655"/>
      <c r="V133" s="2655"/>
      <c r="AJ133" s="2655"/>
      <c r="AK133" s="2655"/>
    </row>
    <row r="134" spans="6:37">
      <c r="F134" s="2655"/>
      <c r="G134" s="2655"/>
      <c r="U134" s="2655"/>
      <c r="V134" s="2655"/>
      <c r="AJ134" s="2655"/>
      <c r="AK134" s="2655"/>
    </row>
    <row r="135" spans="6:37">
      <c r="F135" s="2655"/>
      <c r="G135" s="2655"/>
      <c r="U135" s="2655"/>
      <c r="V135" s="2655"/>
      <c r="AJ135" s="2655"/>
      <c r="AK135" s="2655"/>
    </row>
    <row r="136" spans="6:37">
      <c r="F136" s="2655"/>
      <c r="G136" s="2655"/>
      <c r="U136" s="2655"/>
      <c r="V136" s="2655"/>
      <c r="AJ136" s="2655"/>
      <c r="AK136" s="2655"/>
    </row>
    <row r="137" spans="6:37">
      <c r="F137" s="2655"/>
      <c r="G137" s="2655"/>
      <c r="U137" s="2655"/>
      <c r="V137" s="2655"/>
      <c r="AJ137" s="2655"/>
      <c r="AK137" s="2655"/>
    </row>
    <row r="138" spans="6:37">
      <c r="F138" s="2655"/>
      <c r="G138" s="2655"/>
      <c r="U138" s="2655"/>
      <c r="V138" s="2655"/>
      <c r="AJ138" s="2655"/>
      <c r="AK138" s="2655"/>
    </row>
    <row r="139" spans="6:37">
      <c r="F139" s="2655"/>
      <c r="G139" s="2655"/>
      <c r="U139" s="2655"/>
      <c r="V139" s="2655"/>
      <c r="AJ139" s="2655"/>
      <c r="AK139" s="2655"/>
    </row>
    <row r="140" spans="6:37">
      <c r="F140" s="2655"/>
      <c r="G140" s="2655"/>
      <c r="U140" s="2655"/>
      <c r="V140" s="2655"/>
      <c r="AJ140" s="2655"/>
      <c r="AK140" s="2655"/>
    </row>
    <row r="141" spans="6:37">
      <c r="F141" s="2655"/>
      <c r="G141" s="2655"/>
      <c r="U141" s="2655"/>
      <c r="V141" s="2655"/>
      <c r="AJ141" s="2655"/>
      <c r="AK141" s="2655"/>
    </row>
    <row r="142" spans="6:37">
      <c r="F142" s="2655"/>
      <c r="G142" s="2655"/>
      <c r="U142" s="2655"/>
      <c r="V142" s="2655"/>
      <c r="AJ142" s="2655"/>
      <c r="AK142" s="2655"/>
    </row>
    <row r="143" spans="6:37">
      <c r="F143" s="2655"/>
      <c r="G143" s="2655"/>
      <c r="U143" s="2655"/>
      <c r="V143" s="2655"/>
      <c r="AJ143" s="2655"/>
      <c r="AK143" s="2655"/>
    </row>
    <row r="144" spans="6:37">
      <c r="F144" s="2655"/>
      <c r="G144" s="2655"/>
      <c r="U144" s="2655"/>
      <c r="V144" s="2655"/>
      <c r="AJ144" s="2655"/>
      <c r="AK144" s="2655"/>
    </row>
    <row r="145" spans="6:37">
      <c r="F145" s="2655"/>
      <c r="G145" s="2655"/>
      <c r="U145" s="2655"/>
      <c r="V145" s="2655"/>
      <c r="AJ145" s="2655"/>
      <c r="AK145" s="2655"/>
    </row>
    <row r="146" spans="6:37">
      <c r="F146" s="2655"/>
      <c r="G146" s="2655"/>
      <c r="U146" s="2655"/>
      <c r="V146" s="2655"/>
      <c r="AJ146" s="2655"/>
      <c r="AK146" s="2655"/>
    </row>
    <row r="147" spans="6:37">
      <c r="F147" s="2655"/>
      <c r="G147" s="2655"/>
      <c r="U147" s="2655"/>
      <c r="V147" s="2655"/>
      <c r="AJ147" s="2655"/>
      <c r="AK147" s="2655"/>
    </row>
    <row r="148" spans="6:37">
      <c r="F148" s="2655"/>
      <c r="G148" s="2655"/>
      <c r="U148" s="2655"/>
      <c r="V148" s="2655"/>
      <c r="AJ148" s="2655"/>
      <c r="AK148" s="2655"/>
    </row>
    <row r="149" spans="6:37">
      <c r="F149" s="2655"/>
      <c r="G149" s="2655"/>
      <c r="U149" s="2655"/>
      <c r="V149" s="2655"/>
      <c r="AJ149" s="2655"/>
      <c r="AK149" s="2655"/>
    </row>
    <row r="150" spans="6:37">
      <c r="F150" s="2655"/>
      <c r="G150" s="2655"/>
      <c r="U150" s="2655"/>
      <c r="V150" s="2655"/>
      <c r="AJ150" s="2655"/>
      <c r="AK150" s="2655"/>
    </row>
    <row r="151" spans="6:37">
      <c r="F151" s="2655"/>
      <c r="G151" s="2655"/>
      <c r="U151" s="2655"/>
      <c r="V151" s="2655"/>
      <c r="AJ151" s="2655"/>
      <c r="AK151" s="2655"/>
    </row>
    <row r="152" spans="6:37">
      <c r="F152" s="2655"/>
      <c r="G152" s="2655"/>
      <c r="U152" s="2655"/>
      <c r="V152" s="2655"/>
      <c r="AJ152" s="2655"/>
      <c r="AK152" s="2655"/>
    </row>
    <row r="153" spans="6:37">
      <c r="F153" s="2655"/>
      <c r="G153" s="2655"/>
      <c r="U153" s="2655"/>
      <c r="V153" s="2655"/>
      <c r="AJ153" s="2655"/>
      <c r="AK153" s="2655"/>
    </row>
    <row r="154" spans="6:37">
      <c r="F154" s="2655"/>
      <c r="G154" s="2655"/>
      <c r="U154" s="2655"/>
      <c r="V154" s="2655"/>
      <c r="AJ154" s="2655"/>
      <c r="AK154" s="2655"/>
    </row>
    <row r="155" spans="6:37">
      <c r="F155" s="2655"/>
      <c r="G155" s="2655"/>
      <c r="U155" s="2655"/>
      <c r="V155" s="2655"/>
      <c r="AJ155" s="2655"/>
      <c r="AK155" s="2655"/>
    </row>
    <row r="156" spans="6:37">
      <c r="F156" s="2655"/>
      <c r="G156" s="2655"/>
      <c r="U156" s="2655"/>
      <c r="V156" s="2655"/>
      <c r="AJ156" s="2655"/>
      <c r="AK156" s="2655"/>
    </row>
    <row r="157" spans="6:37">
      <c r="F157" s="2655"/>
      <c r="G157" s="2655"/>
      <c r="U157" s="2655"/>
      <c r="V157" s="2655"/>
      <c r="AJ157" s="2655"/>
      <c r="AK157" s="2655"/>
    </row>
    <row r="158" spans="6:37">
      <c r="F158" s="2655"/>
      <c r="G158" s="2655"/>
      <c r="U158" s="2655"/>
      <c r="V158" s="2655"/>
      <c r="AJ158" s="2655"/>
      <c r="AK158" s="2655"/>
    </row>
    <row r="159" spans="6:37">
      <c r="F159" s="2655"/>
      <c r="G159" s="2655"/>
      <c r="U159" s="2655"/>
      <c r="V159" s="2655"/>
      <c r="AJ159" s="2655"/>
      <c r="AK159" s="2655"/>
    </row>
    <row r="160" spans="6:37">
      <c r="F160" s="2655"/>
      <c r="G160" s="2655"/>
      <c r="U160" s="2655"/>
      <c r="V160" s="2655"/>
      <c r="AJ160" s="2655"/>
      <c r="AK160" s="2655"/>
    </row>
    <row r="161" spans="6:37">
      <c r="F161" s="2655"/>
      <c r="G161" s="2655"/>
      <c r="U161" s="2655"/>
      <c r="V161" s="2655"/>
      <c r="AJ161" s="2655"/>
      <c r="AK161" s="2655"/>
    </row>
    <row r="162" spans="6:37">
      <c r="F162" s="2655"/>
      <c r="G162" s="2655"/>
      <c r="U162" s="2655"/>
      <c r="V162" s="2655"/>
      <c r="AJ162" s="2655"/>
      <c r="AK162" s="2655"/>
    </row>
    <row r="163" spans="6:37">
      <c r="F163" s="2655"/>
      <c r="G163" s="2655"/>
      <c r="U163" s="2655"/>
      <c r="V163" s="2655"/>
      <c r="AJ163" s="2655"/>
      <c r="AK163" s="2655"/>
    </row>
    <row r="164" spans="6:37">
      <c r="F164" s="2655"/>
      <c r="G164" s="2655"/>
      <c r="U164" s="2655"/>
      <c r="V164" s="2655"/>
      <c r="AJ164" s="2655"/>
      <c r="AK164" s="2655"/>
    </row>
    <row r="165" spans="6:37">
      <c r="F165" s="2655"/>
      <c r="G165" s="2655"/>
      <c r="U165" s="2655"/>
      <c r="V165" s="2655"/>
      <c r="AJ165" s="2655"/>
      <c r="AK165" s="2655"/>
    </row>
    <row r="166" spans="6:37">
      <c r="F166" s="2655"/>
      <c r="G166" s="2655"/>
      <c r="U166" s="2655"/>
      <c r="V166" s="2655"/>
      <c r="AJ166" s="2655"/>
      <c r="AK166" s="2655"/>
    </row>
    <row r="167" spans="6:37">
      <c r="F167" s="2655"/>
      <c r="G167" s="2655"/>
      <c r="U167" s="2655"/>
      <c r="V167" s="2655"/>
      <c r="AJ167" s="2655"/>
      <c r="AK167" s="2655"/>
    </row>
    <row r="168" spans="6:37">
      <c r="F168" s="2655"/>
      <c r="G168" s="2655"/>
      <c r="U168" s="2655"/>
      <c r="V168" s="2655"/>
      <c r="AJ168" s="2655"/>
      <c r="AK168" s="2655"/>
    </row>
    <row r="169" spans="6:37">
      <c r="F169" s="2655"/>
      <c r="G169" s="2655"/>
      <c r="U169" s="2655"/>
      <c r="V169" s="2655"/>
      <c r="AJ169" s="2655"/>
      <c r="AK169" s="2655"/>
    </row>
    <row r="170" spans="6:37">
      <c r="F170" s="2655"/>
      <c r="G170" s="2655"/>
      <c r="U170" s="2655"/>
      <c r="V170" s="2655"/>
      <c r="AJ170" s="2655"/>
      <c r="AK170" s="2655"/>
    </row>
    <row r="171" spans="6:37">
      <c r="F171" s="2655"/>
      <c r="G171" s="2655"/>
      <c r="U171" s="2655"/>
      <c r="V171" s="2655"/>
      <c r="AJ171" s="2655"/>
      <c r="AK171" s="2655"/>
    </row>
    <row r="172" spans="6:37">
      <c r="F172" s="2655"/>
      <c r="G172" s="2655"/>
      <c r="U172" s="2655"/>
      <c r="V172" s="2655"/>
      <c r="AJ172" s="2655"/>
      <c r="AK172" s="2655"/>
    </row>
    <row r="173" spans="6:37">
      <c r="F173" s="2655"/>
      <c r="G173" s="2655"/>
      <c r="U173" s="2655"/>
      <c r="V173" s="2655"/>
      <c r="AJ173" s="2655"/>
      <c r="AK173" s="2655"/>
    </row>
    <row r="174" spans="6:37">
      <c r="F174" s="2655"/>
      <c r="G174" s="2655"/>
      <c r="U174" s="2655"/>
      <c r="V174" s="2655"/>
      <c r="AJ174" s="2655"/>
      <c r="AK174" s="2655"/>
    </row>
    <row r="175" spans="6:37">
      <c r="F175" s="2655"/>
      <c r="G175" s="2655"/>
      <c r="U175" s="2655"/>
      <c r="V175" s="2655"/>
      <c r="AJ175" s="2655"/>
      <c r="AK175" s="2655"/>
    </row>
    <row r="176" spans="6:37">
      <c r="F176" s="2655"/>
      <c r="G176" s="2655"/>
      <c r="U176" s="2655"/>
      <c r="V176" s="2655"/>
      <c r="AJ176" s="2655"/>
      <c r="AK176" s="2655"/>
    </row>
    <row r="177" spans="6:37">
      <c r="F177" s="2655"/>
      <c r="G177" s="2655"/>
      <c r="U177" s="2655"/>
      <c r="V177" s="2655"/>
      <c r="AJ177" s="2655"/>
      <c r="AK177" s="2655"/>
    </row>
    <row r="178" spans="6:37">
      <c r="F178" s="2655"/>
      <c r="G178" s="2655"/>
      <c r="U178" s="2655"/>
      <c r="V178" s="2655"/>
      <c r="AJ178" s="2655"/>
      <c r="AK178" s="2655"/>
    </row>
    <row r="179" spans="6:37">
      <c r="F179" s="2655"/>
      <c r="G179" s="2655"/>
      <c r="U179" s="2655"/>
      <c r="V179" s="2655"/>
      <c r="AJ179" s="2655"/>
      <c r="AK179" s="2655"/>
    </row>
    <row r="180" spans="6:37">
      <c r="F180" s="2655"/>
      <c r="G180" s="2655"/>
      <c r="U180" s="2655"/>
      <c r="V180" s="2655"/>
      <c r="AJ180" s="2655"/>
      <c r="AK180" s="2655"/>
    </row>
    <row r="181" spans="6:37">
      <c r="F181" s="2655"/>
      <c r="G181" s="2655"/>
      <c r="U181" s="2655"/>
      <c r="V181" s="2655"/>
      <c r="AJ181" s="2655"/>
      <c r="AK181" s="2655"/>
    </row>
    <row r="182" spans="6:37">
      <c r="F182" s="2655"/>
      <c r="G182" s="2655"/>
      <c r="U182" s="2655"/>
      <c r="V182" s="2655"/>
      <c r="AJ182" s="2655"/>
      <c r="AK182" s="2655"/>
    </row>
    <row r="183" spans="6:37">
      <c r="F183" s="2655"/>
      <c r="G183" s="2655"/>
      <c r="U183" s="2655"/>
      <c r="V183" s="2655"/>
      <c r="AJ183" s="2655"/>
      <c r="AK183" s="2655"/>
    </row>
    <row r="184" spans="6:37">
      <c r="F184" s="2655"/>
      <c r="G184" s="2655"/>
      <c r="U184" s="2655"/>
      <c r="V184" s="2655"/>
      <c r="AJ184" s="2655"/>
      <c r="AK184" s="2655"/>
    </row>
    <row r="185" spans="6:37">
      <c r="F185" s="2655"/>
      <c r="G185" s="2655"/>
      <c r="U185" s="2655"/>
      <c r="V185" s="2655"/>
      <c r="AJ185" s="2655"/>
      <c r="AK185" s="2655"/>
    </row>
    <row r="186" spans="6:37">
      <c r="F186" s="2655"/>
      <c r="G186" s="2655"/>
      <c r="U186" s="2655"/>
      <c r="V186" s="2655"/>
      <c r="AJ186" s="2655"/>
      <c r="AK186" s="2655"/>
    </row>
    <row r="187" spans="6:37">
      <c r="F187" s="2655"/>
      <c r="G187" s="2655"/>
      <c r="U187" s="2655"/>
      <c r="V187" s="2655"/>
      <c r="AJ187" s="2655"/>
      <c r="AK187" s="2655"/>
    </row>
    <row r="188" spans="6:37">
      <c r="F188" s="2655"/>
      <c r="G188" s="2655"/>
      <c r="U188" s="2655"/>
      <c r="V188" s="2655"/>
      <c r="AJ188" s="2655"/>
      <c r="AK188" s="2655"/>
    </row>
    <row r="189" spans="6:37">
      <c r="F189" s="2655"/>
      <c r="G189" s="2655"/>
      <c r="U189" s="2655"/>
      <c r="V189" s="2655"/>
      <c r="AJ189" s="2655"/>
      <c r="AK189" s="2655"/>
    </row>
    <row r="190" spans="6:37">
      <c r="F190" s="2655"/>
      <c r="G190" s="2655"/>
      <c r="U190" s="2655"/>
      <c r="V190" s="2655"/>
      <c r="AJ190" s="2655"/>
      <c r="AK190" s="2655"/>
    </row>
    <row r="191" spans="6:37">
      <c r="F191" s="2655"/>
      <c r="G191" s="2655"/>
      <c r="U191" s="2655"/>
      <c r="V191" s="2655"/>
      <c r="AJ191" s="2655"/>
      <c r="AK191" s="2655"/>
    </row>
    <row r="192" spans="6:37">
      <c r="F192" s="2655"/>
      <c r="G192" s="2655"/>
      <c r="U192" s="2655"/>
      <c r="V192" s="2655"/>
      <c r="AJ192" s="2655"/>
      <c r="AK192" s="2655"/>
    </row>
    <row r="193" spans="6:37">
      <c r="F193" s="2655"/>
      <c r="G193" s="2655"/>
      <c r="U193" s="2655"/>
      <c r="V193" s="2655"/>
      <c r="AJ193" s="2655"/>
      <c r="AK193" s="2655"/>
    </row>
    <row r="194" spans="6:37">
      <c r="F194" s="2655"/>
      <c r="G194" s="2655"/>
      <c r="U194" s="2655"/>
      <c r="V194" s="2655"/>
      <c r="AJ194" s="2655"/>
      <c r="AK194" s="2655"/>
    </row>
    <row r="195" spans="6:37">
      <c r="F195" s="2655"/>
      <c r="G195" s="2655"/>
      <c r="U195" s="2655"/>
      <c r="V195" s="2655"/>
      <c r="AJ195" s="2655"/>
      <c r="AK195" s="2655"/>
    </row>
    <row r="196" spans="6:37">
      <c r="F196" s="2655"/>
      <c r="G196" s="2655"/>
      <c r="U196" s="2655"/>
      <c r="V196" s="2655"/>
      <c r="AJ196" s="2655"/>
      <c r="AK196" s="2655"/>
    </row>
    <row r="197" spans="6:37">
      <c r="F197" s="2655"/>
      <c r="G197" s="2655"/>
      <c r="U197" s="2655"/>
      <c r="V197" s="2655"/>
      <c r="AJ197" s="2655"/>
      <c r="AK197" s="2655"/>
    </row>
    <row r="198" spans="6:37">
      <c r="F198" s="2655"/>
      <c r="G198" s="2655"/>
      <c r="U198" s="2655"/>
      <c r="V198" s="2655"/>
      <c r="AJ198" s="2655"/>
      <c r="AK198" s="2655"/>
    </row>
    <row r="199" spans="6:37">
      <c r="F199" s="2655"/>
      <c r="G199" s="2655"/>
      <c r="U199" s="2655"/>
      <c r="V199" s="2655"/>
      <c r="AJ199" s="2655"/>
      <c r="AK199" s="2655"/>
    </row>
    <row r="200" spans="6:37">
      <c r="F200" s="2655"/>
      <c r="G200" s="2655"/>
      <c r="U200" s="2655"/>
      <c r="V200" s="2655"/>
      <c r="AJ200" s="2655"/>
      <c r="AK200" s="2655"/>
    </row>
    <row r="201" spans="6:37">
      <c r="F201" s="2655"/>
      <c r="G201" s="2655"/>
      <c r="U201" s="2655"/>
      <c r="V201" s="2655"/>
      <c r="AJ201" s="2655"/>
      <c r="AK201" s="2655"/>
    </row>
    <row r="202" spans="6:37">
      <c r="F202" s="2655"/>
      <c r="G202" s="2655"/>
      <c r="U202" s="2655"/>
      <c r="V202" s="2655"/>
      <c r="AJ202" s="2655"/>
      <c r="AK202" s="2655"/>
    </row>
    <row r="203" spans="6:37">
      <c r="F203" s="2655"/>
      <c r="G203" s="2655"/>
      <c r="U203" s="2655"/>
      <c r="V203" s="2655"/>
      <c r="AJ203" s="2655"/>
      <c r="AK203" s="2655"/>
    </row>
    <row r="204" spans="6:37">
      <c r="F204" s="2655"/>
      <c r="G204" s="2655"/>
      <c r="U204" s="2655"/>
      <c r="V204" s="2655"/>
      <c r="AJ204" s="2655"/>
      <c r="AK204" s="2655"/>
    </row>
    <row r="205" spans="6:37">
      <c r="F205" s="2655"/>
      <c r="G205" s="2655"/>
      <c r="U205" s="2655"/>
      <c r="V205" s="2655"/>
      <c r="AJ205" s="2655"/>
      <c r="AK205" s="2655"/>
    </row>
    <row r="206" spans="6:37">
      <c r="F206" s="2655"/>
      <c r="G206" s="2655"/>
      <c r="U206" s="2655"/>
      <c r="V206" s="2655"/>
      <c r="AJ206" s="2655"/>
      <c r="AK206" s="2655"/>
    </row>
    <row r="207" spans="6:37">
      <c r="F207" s="2655"/>
      <c r="G207" s="2655"/>
      <c r="U207" s="2655"/>
      <c r="V207" s="2655"/>
      <c r="AJ207" s="2655"/>
      <c r="AK207" s="2655"/>
    </row>
    <row r="208" spans="6:37">
      <c r="F208" s="2655"/>
      <c r="G208" s="2655"/>
      <c r="U208" s="2655"/>
      <c r="V208" s="2655"/>
      <c r="AJ208" s="2655"/>
      <c r="AK208" s="2655"/>
    </row>
    <row r="209" spans="6:37">
      <c r="F209" s="2655"/>
      <c r="G209" s="2655"/>
      <c r="U209" s="2655"/>
      <c r="V209" s="2655"/>
      <c r="AJ209" s="2655"/>
      <c r="AK209" s="2655"/>
    </row>
    <row r="210" spans="6:37">
      <c r="F210" s="2655"/>
      <c r="G210" s="2655"/>
      <c r="U210" s="2655"/>
      <c r="V210" s="2655"/>
      <c r="AJ210" s="2655"/>
      <c r="AK210" s="2655"/>
    </row>
    <row r="211" spans="6:37">
      <c r="F211" s="2655"/>
      <c r="G211" s="2655"/>
      <c r="U211" s="2655"/>
      <c r="V211" s="2655"/>
      <c r="AJ211" s="2655"/>
      <c r="AK211" s="2655"/>
    </row>
    <row r="212" spans="6:37">
      <c r="F212" s="2655"/>
      <c r="G212" s="2655"/>
      <c r="U212" s="2655"/>
      <c r="V212" s="2655"/>
      <c r="AJ212" s="2655"/>
      <c r="AK212" s="2655"/>
    </row>
    <row r="213" spans="6:37">
      <c r="F213" s="2655"/>
      <c r="G213" s="2655"/>
      <c r="U213" s="2655"/>
      <c r="V213" s="2655"/>
      <c r="AJ213" s="2655"/>
      <c r="AK213" s="2655"/>
    </row>
    <row r="214" spans="6:37">
      <c r="F214" s="2655"/>
      <c r="G214" s="2655"/>
      <c r="U214" s="2655"/>
      <c r="V214" s="2655"/>
      <c r="AJ214" s="2655"/>
      <c r="AK214" s="2655"/>
    </row>
    <row r="215" spans="6:37">
      <c r="F215" s="2655"/>
      <c r="G215" s="2655"/>
      <c r="U215" s="2655"/>
      <c r="V215" s="2655"/>
      <c r="AJ215" s="2655"/>
      <c r="AK215" s="2655"/>
    </row>
    <row r="216" spans="6:37">
      <c r="F216" s="2655"/>
      <c r="G216" s="2655"/>
      <c r="U216" s="2655"/>
      <c r="V216" s="2655"/>
      <c r="AJ216" s="2655"/>
      <c r="AK216" s="2655"/>
    </row>
    <row r="217" spans="6:37">
      <c r="F217" s="2655"/>
      <c r="G217" s="2655"/>
      <c r="U217" s="2655"/>
      <c r="V217" s="2655"/>
      <c r="AJ217" s="2655"/>
      <c r="AK217" s="2655"/>
    </row>
    <row r="218" spans="6:37">
      <c r="F218" s="2655"/>
      <c r="G218" s="2655"/>
      <c r="U218" s="2655"/>
      <c r="V218" s="2655"/>
      <c r="AJ218" s="2655"/>
      <c r="AK218" s="2655"/>
    </row>
    <row r="219" spans="6:37">
      <c r="F219" s="2655"/>
      <c r="G219" s="2655"/>
      <c r="U219" s="2655"/>
      <c r="V219" s="2655"/>
      <c r="AJ219" s="2655"/>
      <c r="AK219" s="2655"/>
    </row>
    <row r="220" spans="6:37">
      <c r="F220" s="2655"/>
      <c r="G220" s="2655"/>
      <c r="U220" s="2655"/>
      <c r="V220" s="2655"/>
      <c r="AJ220" s="2655"/>
      <c r="AK220" s="2655"/>
    </row>
    <row r="221" spans="6:37">
      <c r="F221" s="2655"/>
      <c r="G221" s="2655"/>
      <c r="U221" s="2655"/>
      <c r="V221" s="2655"/>
      <c r="AJ221" s="2655"/>
      <c r="AK221" s="2655"/>
    </row>
    <row r="222" spans="6:37">
      <c r="F222" s="2655"/>
      <c r="G222" s="2655"/>
      <c r="U222" s="2655"/>
      <c r="V222" s="2655"/>
      <c r="AJ222" s="2655"/>
      <c r="AK222" s="2655"/>
    </row>
    <row r="223" spans="6:37">
      <c r="F223" s="2655"/>
      <c r="G223" s="2655"/>
      <c r="U223" s="2655"/>
      <c r="V223" s="2655"/>
      <c r="AJ223" s="2655"/>
      <c r="AK223" s="2655"/>
    </row>
    <row r="224" spans="6:37">
      <c r="F224" s="2655"/>
      <c r="G224" s="2655"/>
      <c r="U224" s="2655"/>
      <c r="V224" s="2655"/>
      <c r="AJ224" s="2655"/>
      <c r="AK224" s="2655"/>
    </row>
    <row r="225" spans="6:37">
      <c r="F225" s="2655"/>
      <c r="G225" s="2655"/>
      <c r="U225" s="2655"/>
      <c r="V225" s="2655"/>
      <c r="AJ225" s="2655"/>
      <c r="AK225" s="2655"/>
    </row>
    <row r="226" spans="6:37">
      <c r="F226" s="2655"/>
      <c r="G226" s="2655"/>
      <c r="U226" s="2655"/>
      <c r="V226" s="2655"/>
      <c r="AJ226" s="2655"/>
      <c r="AK226" s="2655"/>
    </row>
    <row r="227" spans="6:37">
      <c r="F227" s="2655"/>
      <c r="G227" s="2655"/>
      <c r="U227" s="2655"/>
      <c r="V227" s="2655"/>
      <c r="AJ227" s="2655"/>
      <c r="AK227" s="2655"/>
    </row>
    <row r="228" spans="6:37">
      <c r="F228" s="2655"/>
      <c r="G228" s="2655"/>
      <c r="U228" s="2655"/>
      <c r="V228" s="2655"/>
      <c r="AJ228" s="2655"/>
      <c r="AK228" s="2655"/>
    </row>
    <row r="229" spans="6:37">
      <c r="F229" s="2655"/>
      <c r="G229" s="2655"/>
      <c r="U229" s="2655"/>
      <c r="V229" s="2655"/>
      <c r="AJ229" s="2655"/>
      <c r="AK229" s="2655"/>
    </row>
    <row r="230" spans="6:37">
      <c r="F230" s="2655"/>
      <c r="G230" s="2655"/>
      <c r="U230" s="2655"/>
      <c r="V230" s="2655"/>
      <c r="AJ230" s="2655"/>
      <c r="AK230" s="2655"/>
    </row>
    <row r="231" spans="6:37">
      <c r="F231" s="2655"/>
      <c r="G231" s="2655"/>
      <c r="U231" s="2655"/>
      <c r="V231" s="2655"/>
      <c r="AJ231" s="2655"/>
      <c r="AK231" s="2655"/>
    </row>
    <row r="232" spans="6:37">
      <c r="F232" s="2655"/>
      <c r="G232" s="2655"/>
      <c r="U232" s="2655"/>
      <c r="V232" s="2655"/>
      <c r="AJ232" s="2655"/>
      <c r="AK232" s="2655"/>
    </row>
    <row r="233" spans="6:37">
      <c r="F233" s="2655"/>
      <c r="G233" s="2655"/>
      <c r="U233" s="2655"/>
      <c r="V233" s="2655"/>
      <c r="AJ233" s="2655"/>
      <c r="AK233" s="2655"/>
    </row>
    <row r="234" spans="6:37">
      <c r="F234" s="2655"/>
      <c r="G234" s="2655"/>
      <c r="U234" s="2655"/>
      <c r="V234" s="2655"/>
      <c r="AJ234" s="2655"/>
      <c r="AK234" s="2655"/>
    </row>
    <row r="235" spans="6:37">
      <c r="F235" s="2655"/>
      <c r="G235" s="2655"/>
      <c r="U235" s="2655"/>
      <c r="V235" s="2655"/>
      <c r="AJ235" s="2655"/>
      <c r="AK235" s="2655"/>
    </row>
    <row r="236" spans="6:37">
      <c r="F236" s="2655"/>
      <c r="G236" s="2655"/>
      <c r="U236" s="2655"/>
      <c r="V236" s="2655"/>
      <c r="AJ236" s="2655"/>
      <c r="AK236" s="2655"/>
    </row>
    <row r="237" spans="6:37">
      <c r="F237" s="2655"/>
      <c r="G237" s="2655"/>
      <c r="U237" s="2655"/>
      <c r="V237" s="2655"/>
      <c r="AJ237" s="2655"/>
      <c r="AK237" s="2655"/>
    </row>
    <row r="238" spans="6:37">
      <c r="F238" s="2655"/>
      <c r="G238" s="2655"/>
      <c r="U238" s="2655"/>
      <c r="V238" s="2655"/>
      <c r="AJ238" s="2655"/>
      <c r="AK238" s="2655"/>
    </row>
    <row r="239" spans="6:37">
      <c r="F239" s="2655"/>
      <c r="G239" s="2655"/>
      <c r="U239" s="2655"/>
      <c r="V239" s="2655"/>
      <c r="AJ239" s="2655"/>
      <c r="AK239" s="2655"/>
    </row>
    <row r="240" spans="6:37">
      <c r="F240" s="2655"/>
      <c r="G240" s="2655"/>
      <c r="U240" s="2655"/>
      <c r="V240" s="2655"/>
      <c r="AJ240" s="2655"/>
      <c r="AK240" s="2655"/>
    </row>
    <row r="241" spans="6:37">
      <c r="F241" s="2655"/>
      <c r="G241" s="2655"/>
      <c r="U241" s="2655"/>
      <c r="V241" s="2655"/>
      <c r="AJ241" s="2655"/>
      <c r="AK241" s="2655"/>
    </row>
    <row r="242" spans="6:37">
      <c r="F242" s="2655"/>
      <c r="G242" s="2655"/>
      <c r="U242" s="2655"/>
      <c r="V242" s="2655"/>
      <c r="AJ242" s="2655"/>
      <c r="AK242" s="2655"/>
    </row>
    <row r="243" spans="6:37">
      <c r="F243" s="2655"/>
      <c r="G243" s="2655"/>
      <c r="U243" s="2655"/>
      <c r="V243" s="2655"/>
      <c r="AJ243" s="2655"/>
      <c r="AK243" s="2655"/>
    </row>
    <row r="244" spans="6:37">
      <c r="F244" s="2655"/>
      <c r="G244" s="2655"/>
      <c r="U244" s="2655"/>
      <c r="V244" s="2655"/>
      <c r="AJ244" s="2655"/>
      <c r="AK244" s="2655"/>
    </row>
    <row r="245" spans="6:37">
      <c r="F245" s="2655"/>
      <c r="G245" s="2655"/>
      <c r="U245" s="2655"/>
      <c r="V245" s="2655"/>
      <c r="AJ245" s="2655"/>
      <c r="AK245" s="2655"/>
    </row>
    <row r="246" spans="6:37">
      <c r="F246" s="2655"/>
      <c r="G246" s="2655"/>
      <c r="U246" s="2655"/>
      <c r="V246" s="2655"/>
      <c r="AJ246" s="2655"/>
      <c r="AK246" s="2655"/>
    </row>
    <row r="247" spans="6:37">
      <c r="F247" s="2655"/>
      <c r="G247" s="2655"/>
      <c r="U247" s="2655"/>
      <c r="V247" s="2655"/>
      <c r="AJ247" s="2655"/>
      <c r="AK247" s="2655"/>
    </row>
    <row r="248" spans="6:37">
      <c r="F248" s="2655"/>
      <c r="G248" s="2655"/>
      <c r="U248" s="2655"/>
      <c r="V248" s="2655"/>
      <c r="AJ248" s="2655"/>
      <c r="AK248" s="2655"/>
    </row>
    <row r="249" spans="6:37">
      <c r="F249" s="2655"/>
      <c r="G249" s="2655"/>
      <c r="U249" s="2655"/>
      <c r="V249" s="2655"/>
      <c r="AJ249" s="2655"/>
      <c r="AK249" s="2655"/>
    </row>
    <row r="250" spans="6:37">
      <c r="F250" s="2655"/>
      <c r="G250" s="2655"/>
      <c r="U250" s="2655"/>
      <c r="V250" s="2655"/>
      <c r="AJ250" s="2655"/>
      <c r="AK250" s="2655"/>
    </row>
    <row r="251" spans="6:37">
      <c r="F251" s="2655"/>
      <c r="G251" s="2655"/>
      <c r="U251" s="2655"/>
      <c r="V251" s="2655"/>
      <c r="AJ251" s="2655"/>
      <c r="AK251" s="2655"/>
    </row>
    <row r="252" spans="6:37">
      <c r="F252" s="2655"/>
      <c r="G252" s="2655"/>
      <c r="U252" s="2655"/>
      <c r="V252" s="2655"/>
      <c r="AJ252" s="2655"/>
      <c r="AK252" s="2655"/>
    </row>
    <row r="253" spans="6:37">
      <c r="F253" s="2655"/>
      <c r="G253" s="2655"/>
      <c r="U253" s="2655"/>
      <c r="V253" s="2655"/>
      <c r="AJ253" s="2655"/>
      <c r="AK253" s="2655"/>
    </row>
    <row r="254" spans="6:37">
      <c r="F254" s="2655"/>
      <c r="G254" s="2655"/>
      <c r="U254" s="2655"/>
      <c r="V254" s="2655"/>
      <c r="AJ254" s="2655"/>
      <c r="AK254" s="2655"/>
    </row>
  </sheetData>
  <mergeCells count="1">
    <mergeCell ref="A29:C29"/>
  </mergeCells>
  <printOptions horizontalCentered="1" verticalCentered="1"/>
  <pageMargins left="0.86614173228346458" right="0.35433070866141736" top="0.6692913385826772" bottom="0.78740157480314965" header="0.51181102362204722" footer="0.51181102362204722"/>
  <pageSetup paperSize="9" scale="62" fitToWidth="3" orientation="portrait" r:id="rId1"/>
  <headerFooter alignWithMargins="0">
    <oddFooter>&amp;LC/LAB DATA/TEMPLATE/LAB/SOIL/&amp;F/&amp;A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C52D3-80A5-4AB0-92AE-59E31805C89A}">
  <sheetPr>
    <tabColor theme="1"/>
    <pageSetUpPr fitToPage="1"/>
  </sheetPr>
  <dimension ref="A2:AP230"/>
  <sheetViews>
    <sheetView showGridLines="0" topLeftCell="A92" zoomScale="83" zoomScaleNormal="83" zoomScaleSheetLayoutView="94" workbookViewId="0">
      <selection activeCell="V115" sqref="V115"/>
    </sheetView>
  </sheetViews>
  <sheetFormatPr defaultColWidth="8" defaultRowHeight="13.5"/>
  <cols>
    <col min="1" max="1" width="4.125" style="2947" customWidth="1"/>
    <col min="2" max="2" width="7.875" style="2947" customWidth="1"/>
    <col min="3" max="3" width="1.75" style="2947" customWidth="1"/>
    <col min="4" max="4" width="11.125" style="2947" customWidth="1"/>
    <col min="5" max="12" width="8.5" style="2947" customWidth="1"/>
    <col min="13" max="13" width="1.5" style="2947" customWidth="1"/>
    <col min="14" max="14" width="8" style="2947"/>
    <col min="15" max="15" width="8.5" style="2947" customWidth="1"/>
    <col min="16" max="16" width="7.875" style="2947" customWidth="1"/>
    <col min="17" max="17" width="4.125" style="2947" customWidth="1"/>
    <col min="18" max="19" width="7.75" style="2945" customWidth="1"/>
    <col min="20" max="256" width="8" style="2947"/>
    <col min="257" max="257" width="4.125" style="2947" customWidth="1"/>
    <col min="258" max="258" width="7.875" style="2947" customWidth="1"/>
    <col min="259" max="259" width="1.75" style="2947" customWidth="1"/>
    <col min="260" max="260" width="11.125" style="2947" customWidth="1"/>
    <col min="261" max="268" width="8.5" style="2947" customWidth="1"/>
    <col min="269" max="269" width="1.5" style="2947" customWidth="1"/>
    <col min="270" max="270" width="8" style="2947"/>
    <col min="271" max="271" width="8.5" style="2947" customWidth="1"/>
    <col min="272" max="272" width="7.875" style="2947" customWidth="1"/>
    <col min="273" max="273" width="4.125" style="2947" customWidth="1"/>
    <col min="274" max="275" width="7.75" style="2947" customWidth="1"/>
    <col min="276" max="512" width="8" style="2947"/>
    <col min="513" max="513" width="4.125" style="2947" customWidth="1"/>
    <col min="514" max="514" width="7.875" style="2947" customWidth="1"/>
    <col min="515" max="515" width="1.75" style="2947" customWidth="1"/>
    <col min="516" max="516" width="11.125" style="2947" customWidth="1"/>
    <col min="517" max="524" width="8.5" style="2947" customWidth="1"/>
    <col min="525" max="525" width="1.5" style="2947" customWidth="1"/>
    <col min="526" max="526" width="8" style="2947"/>
    <col min="527" max="527" width="8.5" style="2947" customWidth="1"/>
    <col min="528" max="528" width="7.875" style="2947" customWidth="1"/>
    <col min="529" max="529" width="4.125" style="2947" customWidth="1"/>
    <col min="530" max="531" width="7.75" style="2947" customWidth="1"/>
    <col min="532" max="768" width="8" style="2947"/>
    <col min="769" max="769" width="4.125" style="2947" customWidth="1"/>
    <col min="770" max="770" width="7.875" style="2947" customWidth="1"/>
    <col min="771" max="771" width="1.75" style="2947" customWidth="1"/>
    <col min="772" max="772" width="11.125" style="2947" customWidth="1"/>
    <col min="773" max="780" width="8.5" style="2947" customWidth="1"/>
    <col min="781" max="781" width="1.5" style="2947" customWidth="1"/>
    <col min="782" max="782" width="8" style="2947"/>
    <col min="783" max="783" width="8.5" style="2947" customWidth="1"/>
    <col min="784" max="784" width="7.875" style="2947" customWidth="1"/>
    <col min="785" max="785" width="4.125" style="2947" customWidth="1"/>
    <col min="786" max="787" width="7.75" style="2947" customWidth="1"/>
    <col min="788" max="1024" width="8" style="2947"/>
    <col min="1025" max="1025" width="4.125" style="2947" customWidth="1"/>
    <col min="1026" max="1026" width="7.875" style="2947" customWidth="1"/>
    <col min="1027" max="1027" width="1.75" style="2947" customWidth="1"/>
    <col min="1028" max="1028" width="11.125" style="2947" customWidth="1"/>
    <col min="1029" max="1036" width="8.5" style="2947" customWidth="1"/>
    <col min="1037" max="1037" width="1.5" style="2947" customWidth="1"/>
    <col min="1038" max="1038" width="8" style="2947"/>
    <col min="1039" max="1039" width="8.5" style="2947" customWidth="1"/>
    <col min="1040" max="1040" width="7.875" style="2947" customWidth="1"/>
    <col min="1041" max="1041" width="4.125" style="2947" customWidth="1"/>
    <col min="1042" max="1043" width="7.75" style="2947" customWidth="1"/>
    <col min="1044" max="1280" width="8" style="2947"/>
    <col min="1281" max="1281" width="4.125" style="2947" customWidth="1"/>
    <col min="1282" max="1282" width="7.875" style="2947" customWidth="1"/>
    <col min="1283" max="1283" width="1.75" style="2947" customWidth="1"/>
    <col min="1284" max="1284" width="11.125" style="2947" customWidth="1"/>
    <col min="1285" max="1292" width="8.5" style="2947" customWidth="1"/>
    <col min="1293" max="1293" width="1.5" style="2947" customWidth="1"/>
    <col min="1294" max="1294" width="8" style="2947"/>
    <col min="1295" max="1295" width="8.5" style="2947" customWidth="1"/>
    <col min="1296" max="1296" width="7.875" style="2947" customWidth="1"/>
    <col min="1297" max="1297" width="4.125" style="2947" customWidth="1"/>
    <col min="1298" max="1299" width="7.75" style="2947" customWidth="1"/>
    <col min="1300" max="1536" width="8" style="2947"/>
    <col min="1537" max="1537" width="4.125" style="2947" customWidth="1"/>
    <col min="1538" max="1538" width="7.875" style="2947" customWidth="1"/>
    <col min="1539" max="1539" width="1.75" style="2947" customWidth="1"/>
    <col min="1540" max="1540" width="11.125" style="2947" customWidth="1"/>
    <col min="1541" max="1548" width="8.5" style="2947" customWidth="1"/>
    <col min="1549" max="1549" width="1.5" style="2947" customWidth="1"/>
    <col min="1550" max="1550" width="8" style="2947"/>
    <col min="1551" max="1551" width="8.5" style="2947" customWidth="1"/>
    <col min="1552" max="1552" width="7.875" style="2947" customWidth="1"/>
    <col min="1553" max="1553" width="4.125" style="2947" customWidth="1"/>
    <col min="1554" max="1555" width="7.75" style="2947" customWidth="1"/>
    <col min="1556" max="1792" width="8" style="2947"/>
    <col min="1793" max="1793" width="4.125" style="2947" customWidth="1"/>
    <col min="1794" max="1794" width="7.875" style="2947" customWidth="1"/>
    <col min="1795" max="1795" width="1.75" style="2947" customWidth="1"/>
    <col min="1796" max="1796" width="11.125" style="2947" customWidth="1"/>
    <col min="1797" max="1804" width="8.5" style="2947" customWidth="1"/>
    <col min="1805" max="1805" width="1.5" style="2947" customWidth="1"/>
    <col min="1806" max="1806" width="8" style="2947"/>
    <col min="1807" max="1807" width="8.5" style="2947" customWidth="1"/>
    <col min="1808" max="1808" width="7.875" style="2947" customWidth="1"/>
    <col min="1809" max="1809" width="4.125" style="2947" customWidth="1"/>
    <col min="1810" max="1811" width="7.75" style="2947" customWidth="1"/>
    <col min="1812" max="2048" width="8" style="2947"/>
    <col min="2049" max="2049" width="4.125" style="2947" customWidth="1"/>
    <col min="2050" max="2050" width="7.875" style="2947" customWidth="1"/>
    <col min="2051" max="2051" width="1.75" style="2947" customWidth="1"/>
    <col min="2052" max="2052" width="11.125" style="2947" customWidth="1"/>
    <col min="2053" max="2060" width="8.5" style="2947" customWidth="1"/>
    <col min="2061" max="2061" width="1.5" style="2947" customWidth="1"/>
    <col min="2062" max="2062" width="8" style="2947"/>
    <col min="2063" max="2063" width="8.5" style="2947" customWidth="1"/>
    <col min="2064" max="2064" width="7.875" style="2947" customWidth="1"/>
    <col min="2065" max="2065" width="4.125" style="2947" customWidth="1"/>
    <col min="2066" max="2067" width="7.75" style="2947" customWidth="1"/>
    <col min="2068" max="2304" width="8" style="2947"/>
    <col min="2305" max="2305" width="4.125" style="2947" customWidth="1"/>
    <col min="2306" max="2306" width="7.875" style="2947" customWidth="1"/>
    <col min="2307" max="2307" width="1.75" style="2947" customWidth="1"/>
    <col min="2308" max="2308" width="11.125" style="2947" customWidth="1"/>
    <col min="2309" max="2316" width="8.5" style="2947" customWidth="1"/>
    <col min="2317" max="2317" width="1.5" style="2947" customWidth="1"/>
    <col min="2318" max="2318" width="8" style="2947"/>
    <col min="2319" max="2319" width="8.5" style="2947" customWidth="1"/>
    <col min="2320" max="2320" width="7.875" style="2947" customWidth="1"/>
    <col min="2321" max="2321" width="4.125" style="2947" customWidth="1"/>
    <col min="2322" max="2323" width="7.75" style="2947" customWidth="1"/>
    <col min="2324" max="2560" width="8" style="2947"/>
    <col min="2561" max="2561" width="4.125" style="2947" customWidth="1"/>
    <col min="2562" max="2562" width="7.875" style="2947" customWidth="1"/>
    <col min="2563" max="2563" width="1.75" style="2947" customWidth="1"/>
    <col min="2564" max="2564" width="11.125" style="2947" customWidth="1"/>
    <col min="2565" max="2572" width="8.5" style="2947" customWidth="1"/>
    <col min="2573" max="2573" width="1.5" style="2947" customWidth="1"/>
    <col min="2574" max="2574" width="8" style="2947"/>
    <col min="2575" max="2575" width="8.5" style="2947" customWidth="1"/>
    <col min="2576" max="2576" width="7.875" style="2947" customWidth="1"/>
    <col min="2577" max="2577" width="4.125" style="2947" customWidth="1"/>
    <col min="2578" max="2579" width="7.75" style="2947" customWidth="1"/>
    <col min="2580" max="2816" width="8" style="2947"/>
    <col min="2817" max="2817" width="4.125" style="2947" customWidth="1"/>
    <col min="2818" max="2818" width="7.875" style="2947" customWidth="1"/>
    <col min="2819" max="2819" width="1.75" style="2947" customWidth="1"/>
    <col min="2820" max="2820" width="11.125" style="2947" customWidth="1"/>
    <col min="2821" max="2828" width="8.5" style="2947" customWidth="1"/>
    <col min="2829" max="2829" width="1.5" style="2947" customWidth="1"/>
    <col min="2830" max="2830" width="8" style="2947"/>
    <col min="2831" max="2831" width="8.5" style="2947" customWidth="1"/>
    <col min="2832" max="2832" width="7.875" style="2947" customWidth="1"/>
    <col min="2833" max="2833" width="4.125" style="2947" customWidth="1"/>
    <col min="2834" max="2835" width="7.75" style="2947" customWidth="1"/>
    <col min="2836" max="3072" width="8" style="2947"/>
    <col min="3073" max="3073" width="4.125" style="2947" customWidth="1"/>
    <col min="3074" max="3074" width="7.875" style="2947" customWidth="1"/>
    <col min="3075" max="3075" width="1.75" style="2947" customWidth="1"/>
    <col min="3076" max="3076" width="11.125" style="2947" customWidth="1"/>
    <col min="3077" max="3084" width="8.5" style="2947" customWidth="1"/>
    <col min="3085" max="3085" width="1.5" style="2947" customWidth="1"/>
    <col min="3086" max="3086" width="8" style="2947"/>
    <col min="3087" max="3087" width="8.5" style="2947" customWidth="1"/>
    <col min="3088" max="3088" width="7.875" style="2947" customWidth="1"/>
    <col min="3089" max="3089" width="4.125" style="2947" customWidth="1"/>
    <col min="3090" max="3091" width="7.75" style="2947" customWidth="1"/>
    <col min="3092" max="3328" width="8" style="2947"/>
    <col min="3329" max="3329" width="4.125" style="2947" customWidth="1"/>
    <col min="3330" max="3330" width="7.875" style="2947" customWidth="1"/>
    <col min="3331" max="3331" width="1.75" style="2947" customWidth="1"/>
    <col min="3332" max="3332" width="11.125" style="2947" customWidth="1"/>
    <col min="3333" max="3340" width="8.5" style="2947" customWidth="1"/>
    <col min="3341" max="3341" width="1.5" style="2947" customWidth="1"/>
    <col min="3342" max="3342" width="8" style="2947"/>
    <col min="3343" max="3343" width="8.5" style="2947" customWidth="1"/>
    <col min="3344" max="3344" width="7.875" style="2947" customWidth="1"/>
    <col min="3345" max="3345" width="4.125" style="2947" customWidth="1"/>
    <col min="3346" max="3347" width="7.75" style="2947" customWidth="1"/>
    <col min="3348" max="3584" width="8" style="2947"/>
    <col min="3585" max="3585" width="4.125" style="2947" customWidth="1"/>
    <col min="3586" max="3586" width="7.875" style="2947" customWidth="1"/>
    <col min="3587" max="3587" width="1.75" style="2947" customWidth="1"/>
    <col min="3588" max="3588" width="11.125" style="2947" customWidth="1"/>
    <col min="3589" max="3596" width="8.5" style="2947" customWidth="1"/>
    <col min="3597" max="3597" width="1.5" style="2947" customWidth="1"/>
    <col min="3598" max="3598" width="8" style="2947"/>
    <col min="3599" max="3599" width="8.5" style="2947" customWidth="1"/>
    <col min="3600" max="3600" width="7.875" style="2947" customWidth="1"/>
    <col min="3601" max="3601" width="4.125" style="2947" customWidth="1"/>
    <col min="3602" max="3603" width="7.75" style="2947" customWidth="1"/>
    <col min="3604" max="3840" width="8" style="2947"/>
    <col min="3841" max="3841" width="4.125" style="2947" customWidth="1"/>
    <col min="3842" max="3842" width="7.875" style="2947" customWidth="1"/>
    <col min="3843" max="3843" width="1.75" style="2947" customWidth="1"/>
    <col min="3844" max="3844" width="11.125" style="2947" customWidth="1"/>
    <col min="3845" max="3852" width="8.5" style="2947" customWidth="1"/>
    <col min="3853" max="3853" width="1.5" style="2947" customWidth="1"/>
    <col min="3854" max="3854" width="8" style="2947"/>
    <col min="3855" max="3855" width="8.5" style="2947" customWidth="1"/>
    <col min="3856" max="3856" width="7.875" style="2947" customWidth="1"/>
    <col min="3857" max="3857" width="4.125" style="2947" customWidth="1"/>
    <col min="3858" max="3859" width="7.75" style="2947" customWidth="1"/>
    <col min="3860" max="4096" width="8" style="2947"/>
    <col min="4097" max="4097" width="4.125" style="2947" customWidth="1"/>
    <col min="4098" max="4098" width="7.875" style="2947" customWidth="1"/>
    <col min="4099" max="4099" width="1.75" style="2947" customWidth="1"/>
    <col min="4100" max="4100" width="11.125" style="2947" customWidth="1"/>
    <col min="4101" max="4108" width="8.5" style="2947" customWidth="1"/>
    <col min="4109" max="4109" width="1.5" style="2947" customWidth="1"/>
    <col min="4110" max="4110" width="8" style="2947"/>
    <col min="4111" max="4111" width="8.5" style="2947" customWidth="1"/>
    <col min="4112" max="4112" width="7.875" style="2947" customWidth="1"/>
    <col min="4113" max="4113" width="4.125" style="2947" customWidth="1"/>
    <col min="4114" max="4115" width="7.75" style="2947" customWidth="1"/>
    <col min="4116" max="4352" width="8" style="2947"/>
    <col min="4353" max="4353" width="4.125" style="2947" customWidth="1"/>
    <col min="4354" max="4354" width="7.875" style="2947" customWidth="1"/>
    <col min="4355" max="4355" width="1.75" style="2947" customWidth="1"/>
    <col min="4356" max="4356" width="11.125" style="2947" customWidth="1"/>
    <col min="4357" max="4364" width="8.5" style="2947" customWidth="1"/>
    <col min="4365" max="4365" width="1.5" style="2947" customWidth="1"/>
    <col min="4366" max="4366" width="8" style="2947"/>
    <col min="4367" max="4367" width="8.5" style="2947" customWidth="1"/>
    <col min="4368" max="4368" width="7.875" style="2947" customWidth="1"/>
    <col min="4369" max="4369" width="4.125" style="2947" customWidth="1"/>
    <col min="4370" max="4371" width="7.75" style="2947" customWidth="1"/>
    <col min="4372" max="4608" width="8" style="2947"/>
    <col min="4609" max="4609" width="4.125" style="2947" customWidth="1"/>
    <col min="4610" max="4610" width="7.875" style="2947" customWidth="1"/>
    <col min="4611" max="4611" width="1.75" style="2947" customWidth="1"/>
    <col min="4612" max="4612" width="11.125" style="2947" customWidth="1"/>
    <col min="4613" max="4620" width="8.5" style="2947" customWidth="1"/>
    <col min="4621" max="4621" width="1.5" style="2947" customWidth="1"/>
    <col min="4622" max="4622" width="8" style="2947"/>
    <col min="4623" max="4623" width="8.5" style="2947" customWidth="1"/>
    <col min="4624" max="4624" width="7.875" style="2947" customWidth="1"/>
    <col min="4625" max="4625" width="4.125" style="2947" customWidth="1"/>
    <col min="4626" max="4627" width="7.75" style="2947" customWidth="1"/>
    <col min="4628" max="4864" width="8" style="2947"/>
    <col min="4865" max="4865" width="4.125" style="2947" customWidth="1"/>
    <col min="4866" max="4866" width="7.875" style="2947" customWidth="1"/>
    <col min="4867" max="4867" width="1.75" style="2947" customWidth="1"/>
    <col min="4868" max="4868" width="11.125" style="2947" customWidth="1"/>
    <col min="4869" max="4876" width="8.5" style="2947" customWidth="1"/>
    <col min="4877" max="4877" width="1.5" style="2947" customWidth="1"/>
    <col min="4878" max="4878" width="8" style="2947"/>
    <col min="4879" max="4879" width="8.5" style="2947" customWidth="1"/>
    <col min="4880" max="4880" width="7.875" style="2947" customWidth="1"/>
    <col min="4881" max="4881" width="4.125" style="2947" customWidth="1"/>
    <col min="4882" max="4883" width="7.75" style="2947" customWidth="1"/>
    <col min="4884" max="5120" width="8" style="2947"/>
    <col min="5121" max="5121" width="4.125" style="2947" customWidth="1"/>
    <col min="5122" max="5122" width="7.875" style="2947" customWidth="1"/>
    <col min="5123" max="5123" width="1.75" style="2947" customWidth="1"/>
    <col min="5124" max="5124" width="11.125" style="2947" customWidth="1"/>
    <col min="5125" max="5132" width="8.5" style="2947" customWidth="1"/>
    <col min="5133" max="5133" width="1.5" style="2947" customWidth="1"/>
    <col min="5134" max="5134" width="8" style="2947"/>
    <col min="5135" max="5135" width="8.5" style="2947" customWidth="1"/>
    <col min="5136" max="5136" width="7.875" style="2947" customWidth="1"/>
    <col min="5137" max="5137" width="4.125" style="2947" customWidth="1"/>
    <col min="5138" max="5139" width="7.75" style="2947" customWidth="1"/>
    <col min="5140" max="5376" width="8" style="2947"/>
    <col min="5377" max="5377" width="4.125" style="2947" customWidth="1"/>
    <col min="5378" max="5378" width="7.875" style="2947" customWidth="1"/>
    <col min="5379" max="5379" width="1.75" style="2947" customWidth="1"/>
    <col min="5380" max="5380" width="11.125" style="2947" customWidth="1"/>
    <col min="5381" max="5388" width="8.5" style="2947" customWidth="1"/>
    <col min="5389" max="5389" width="1.5" style="2947" customWidth="1"/>
    <col min="5390" max="5390" width="8" style="2947"/>
    <col min="5391" max="5391" width="8.5" style="2947" customWidth="1"/>
    <col min="5392" max="5392" width="7.875" style="2947" customWidth="1"/>
    <col min="5393" max="5393" width="4.125" style="2947" customWidth="1"/>
    <col min="5394" max="5395" width="7.75" style="2947" customWidth="1"/>
    <col min="5396" max="5632" width="8" style="2947"/>
    <col min="5633" max="5633" width="4.125" style="2947" customWidth="1"/>
    <col min="5634" max="5634" width="7.875" style="2947" customWidth="1"/>
    <col min="5635" max="5635" width="1.75" style="2947" customWidth="1"/>
    <col min="5636" max="5636" width="11.125" style="2947" customWidth="1"/>
    <col min="5637" max="5644" width="8.5" style="2947" customWidth="1"/>
    <col min="5645" max="5645" width="1.5" style="2947" customWidth="1"/>
    <col min="5646" max="5646" width="8" style="2947"/>
    <col min="5647" max="5647" width="8.5" style="2947" customWidth="1"/>
    <col min="5648" max="5648" width="7.875" style="2947" customWidth="1"/>
    <col min="5649" max="5649" width="4.125" style="2947" customWidth="1"/>
    <col min="5650" max="5651" width="7.75" style="2947" customWidth="1"/>
    <col min="5652" max="5888" width="8" style="2947"/>
    <col min="5889" max="5889" width="4.125" style="2947" customWidth="1"/>
    <col min="5890" max="5890" width="7.875" style="2947" customWidth="1"/>
    <col min="5891" max="5891" width="1.75" style="2947" customWidth="1"/>
    <col min="5892" max="5892" width="11.125" style="2947" customWidth="1"/>
    <col min="5893" max="5900" width="8.5" style="2947" customWidth="1"/>
    <col min="5901" max="5901" width="1.5" style="2947" customWidth="1"/>
    <col min="5902" max="5902" width="8" style="2947"/>
    <col min="5903" max="5903" width="8.5" style="2947" customWidth="1"/>
    <col min="5904" max="5904" width="7.875" style="2947" customWidth="1"/>
    <col min="5905" max="5905" width="4.125" style="2947" customWidth="1"/>
    <col min="5906" max="5907" width="7.75" style="2947" customWidth="1"/>
    <col min="5908" max="6144" width="8" style="2947"/>
    <col min="6145" max="6145" width="4.125" style="2947" customWidth="1"/>
    <col min="6146" max="6146" width="7.875" style="2947" customWidth="1"/>
    <col min="6147" max="6147" width="1.75" style="2947" customWidth="1"/>
    <col min="6148" max="6148" width="11.125" style="2947" customWidth="1"/>
    <col min="6149" max="6156" width="8.5" style="2947" customWidth="1"/>
    <col min="6157" max="6157" width="1.5" style="2947" customWidth="1"/>
    <col min="6158" max="6158" width="8" style="2947"/>
    <col min="6159" max="6159" width="8.5" style="2947" customWidth="1"/>
    <col min="6160" max="6160" width="7.875" style="2947" customWidth="1"/>
    <col min="6161" max="6161" width="4.125" style="2947" customWidth="1"/>
    <col min="6162" max="6163" width="7.75" style="2947" customWidth="1"/>
    <col min="6164" max="6400" width="8" style="2947"/>
    <col min="6401" max="6401" width="4.125" style="2947" customWidth="1"/>
    <col min="6402" max="6402" width="7.875" style="2947" customWidth="1"/>
    <col min="6403" max="6403" width="1.75" style="2947" customWidth="1"/>
    <col min="6404" max="6404" width="11.125" style="2947" customWidth="1"/>
    <col min="6405" max="6412" width="8.5" style="2947" customWidth="1"/>
    <col min="6413" max="6413" width="1.5" style="2947" customWidth="1"/>
    <col min="6414" max="6414" width="8" style="2947"/>
    <col min="6415" max="6415" width="8.5" style="2947" customWidth="1"/>
    <col min="6416" max="6416" width="7.875" style="2947" customWidth="1"/>
    <col min="6417" max="6417" width="4.125" style="2947" customWidth="1"/>
    <col min="6418" max="6419" width="7.75" style="2947" customWidth="1"/>
    <col min="6420" max="6656" width="8" style="2947"/>
    <col min="6657" max="6657" width="4.125" style="2947" customWidth="1"/>
    <col min="6658" max="6658" width="7.875" style="2947" customWidth="1"/>
    <col min="6659" max="6659" width="1.75" style="2947" customWidth="1"/>
    <col min="6660" max="6660" width="11.125" style="2947" customWidth="1"/>
    <col min="6661" max="6668" width="8.5" style="2947" customWidth="1"/>
    <col min="6669" max="6669" width="1.5" style="2947" customWidth="1"/>
    <col min="6670" max="6670" width="8" style="2947"/>
    <col min="6671" max="6671" width="8.5" style="2947" customWidth="1"/>
    <col min="6672" max="6672" width="7.875" style="2947" customWidth="1"/>
    <col min="6673" max="6673" width="4.125" style="2947" customWidth="1"/>
    <col min="6674" max="6675" width="7.75" style="2947" customWidth="1"/>
    <col min="6676" max="6912" width="8" style="2947"/>
    <col min="6913" max="6913" width="4.125" style="2947" customWidth="1"/>
    <col min="6914" max="6914" width="7.875" style="2947" customWidth="1"/>
    <col min="6915" max="6915" width="1.75" style="2947" customWidth="1"/>
    <col min="6916" max="6916" width="11.125" style="2947" customWidth="1"/>
    <col min="6917" max="6924" width="8.5" style="2947" customWidth="1"/>
    <col min="6925" max="6925" width="1.5" style="2947" customWidth="1"/>
    <col min="6926" max="6926" width="8" style="2947"/>
    <col min="6927" max="6927" width="8.5" style="2947" customWidth="1"/>
    <col min="6928" max="6928" width="7.875" style="2947" customWidth="1"/>
    <col min="6929" max="6929" width="4.125" style="2947" customWidth="1"/>
    <col min="6930" max="6931" width="7.75" style="2947" customWidth="1"/>
    <col min="6932" max="7168" width="8" style="2947"/>
    <col min="7169" max="7169" width="4.125" style="2947" customWidth="1"/>
    <col min="7170" max="7170" width="7.875" style="2947" customWidth="1"/>
    <col min="7171" max="7171" width="1.75" style="2947" customWidth="1"/>
    <col min="7172" max="7172" width="11.125" style="2947" customWidth="1"/>
    <col min="7173" max="7180" width="8.5" style="2947" customWidth="1"/>
    <col min="7181" max="7181" width="1.5" style="2947" customWidth="1"/>
    <col min="7182" max="7182" width="8" style="2947"/>
    <col min="7183" max="7183" width="8.5" style="2947" customWidth="1"/>
    <col min="7184" max="7184" width="7.875" style="2947" customWidth="1"/>
    <col min="7185" max="7185" width="4.125" style="2947" customWidth="1"/>
    <col min="7186" max="7187" width="7.75" style="2947" customWidth="1"/>
    <col min="7188" max="7424" width="8" style="2947"/>
    <col min="7425" max="7425" width="4.125" style="2947" customWidth="1"/>
    <col min="7426" max="7426" width="7.875" style="2947" customWidth="1"/>
    <col min="7427" max="7427" width="1.75" style="2947" customWidth="1"/>
    <col min="7428" max="7428" width="11.125" style="2947" customWidth="1"/>
    <col min="7429" max="7436" width="8.5" style="2947" customWidth="1"/>
    <col min="7437" max="7437" width="1.5" style="2947" customWidth="1"/>
    <col min="7438" max="7438" width="8" style="2947"/>
    <col min="7439" max="7439" width="8.5" style="2947" customWidth="1"/>
    <col min="7440" max="7440" width="7.875" style="2947" customWidth="1"/>
    <col min="7441" max="7441" width="4.125" style="2947" customWidth="1"/>
    <col min="7442" max="7443" width="7.75" style="2947" customWidth="1"/>
    <col min="7444" max="7680" width="8" style="2947"/>
    <col min="7681" max="7681" width="4.125" style="2947" customWidth="1"/>
    <col min="7682" max="7682" width="7.875" style="2947" customWidth="1"/>
    <col min="7683" max="7683" width="1.75" style="2947" customWidth="1"/>
    <col min="7684" max="7684" width="11.125" style="2947" customWidth="1"/>
    <col min="7685" max="7692" width="8.5" style="2947" customWidth="1"/>
    <col min="7693" max="7693" width="1.5" style="2947" customWidth="1"/>
    <col min="7694" max="7694" width="8" style="2947"/>
    <col min="7695" max="7695" width="8.5" style="2947" customWidth="1"/>
    <col min="7696" max="7696" width="7.875" style="2947" customWidth="1"/>
    <col min="7697" max="7697" width="4.125" style="2947" customWidth="1"/>
    <col min="7698" max="7699" width="7.75" style="2947" customWidth="1"/>
    <col min="7700" max="7936" width="8" style="2947"/>
    <col min="7937" max="7937" width="4.125" style="2947" customWidth="1"/>
    <col min="7938" max="7938" width="7.875" style="2947" customWidth="1"/>
    <col min="7939" max="7939" width="1.75" style="2947" customWidth="1"/>
    <col min="7940" max="7940" width="11.125" style="2947" customWidth="1"/>
    <col min="7941" max="7948" width="8.5" style="2947" customWidth="1"/>
    <col min="7949" max="7949" width="1.5" style="2947" customWidth="1"/>
    <col min="7950" max="7950" width="8" style="2947"/>
    <col min="7951" max="7951" width="8.5" style="2947" customWidth="1"/>
    <col min="7952" max="7952" width="7.875" style="2947" customWidth="1"/>
    <col min="7953" max="7953" width="4.125" style="2947" customWidth="1"/>
    <col min="7954" max="7955" width="7.75" style="2947" customWidth="1"/>
    <col min="7956" max="8192" width="8" style="2947"/>
    <col min="8193" max="8193" width="4.125" style="2947" customWidth="1"/>
    <col min="8194" max="8194" width="7.875" style="2947" customWidth="1"/>
    <col min="8195" max="8195" width="1.75" style="2947" customWidth="1"/>
    <col min="8196" max="8196" width="11.125" style="2947" customWidth="1"/>
    <col min="8197" max="8204" width="8.5" style="2947" customWidth="1"/>
    <col min="8205" max="8205" width="1.5" style="2947" customWidth="1"/>
    <col min="8206" max="8206" width="8" style="2947"/>
    <col min="8207" max="8207" width="8.5" style="2947" customWidth="1"/>
    <col min="8208" max="8208" width="7.875" style="2947" customWidth="1"/>
    <col min="8209" max="8209" width="4.125" style="2947" customWidth="1"/>
    <col min="8210" max="8211" width="7.75" style="2947" customWidth="1"/>
    <col min="8212" max="8448" width="8" style="2947"/>
    <col min="8449" max="8449" width="4.125" style="2947" customWidth="1"/>
    <col min="8450" max="8450" width="7.875" style="2947" customWidth="1"/>
    <col min="8451" max="8451" width="1.75" style="2947" customWidth="1"/>
    <col min="8452" max="8452" width="11.125" style="2947" customWidth="1"/>
    <col min="8453" max="8460" width="8.5" style="2947" customWidth="1"/>
    <col min="8461" max="8461" width="1.5" style="2947" customWidth="1"/>
    <col min="8462" max="8462" width="8" style="2947"/>
    <col min="8463" max="8463" width="8.5" style="2947" customWidth="1"/>
    <col min="8464" max="8464" width="7.875" style="2947" customWidth="1"/>
    <col min="8465" max="8465" width="4.125" style="2947" customWidth="1"/>
    <col min="8466" max="8467" width="7.75" style="2947" customWidth="1"/>
    <col min="8468" max="8704" width="8" style="2947"/>
    <col min="8705" max="8705" width="4.125" style="2947" customWidth="1"/>
    <col min="8706" max="8706" width="7.875" style="2947" customWidth="1"/>
    <col min="8707" max="8707" width="1.75" style="2947" customWidth="1"/>
    <col min="8708" max="8708" width="11.125" style="2947" customWidth="1"/>
    <col min="8709" max="8716" width="8.5" style="2947" customWidth="1"/>
    <col min="8717" max="8717" width="1.5" style="2947" customWidth="1"/>
    <col min="8718" max="8718" width="8" style="2947"/>
    <col min="8719" max="8719" width="8.5" style="2947" customWidth="1"/>
    <col min="8720" max="8720" width="7.875" style="2947" customWidth="1"/>
    <col min="8721" max="8721" width="4.125" style="2947" customWidth="1"/>
    <col min="8722" max="8723" width="7.75" style="2947" customWidth="1"/>
    <col min="8724" max="8960" width="8" style="2947"/>
    <col min="8961" max="8961" width="4.125" style="2947" customWidth="1"/>
    <col min="8962" max="8962" width="7.875" style="2947" customWidth="1"/>
    <col min="8963" max="8963" width="1.75" style="2947" customWidth="1"/>
    <col min="8964" max="8964" width="11.125" style="2947" customWidth="1"/>
    <col min="8965" max="8972" width="8.5" style="2947" customWidth="1"/>
    <col min="8973" max="8973" width="1.5" style="2947" customWidth="1"/>
    <col min="8974" max="8974" width="8" style="2947"/>
    <col min="8975" max="8975" width="8.5" style="2947" customWidth="1"/>
    <col min="8976" max="8976" width="7.875" style="2947" customWidth="1"/>
    <col min="8977" max="8977" width="4.125" style="2947" customWidth="1"/>
    <col min="8978" max="8979" width="7.75" style="2947" customWidth="1"/>
    <col min="8980" max="9216" width="8" style="2947"/>
    <col min="9217" max="9217" width="4.125" style="2947" customWidth="1"/>
    <col min="9218" max="9218" width="7.875" style="2947" customWidth="1"/>
    <col min="9219" max="9219" width="1.75" style="2947" customWidth="1"/>
    <col min="9220" max="9220" width="11.125" style="2947" customWidth="1"/>
    <col min="9221" max="9228" width="8.5" style="2947" customWidth="1"/>
    <col min="9229" max="9229" width="1.5" style="2947" customWidth="1"/>
    <col min="9230" max="9230" width="8" style="2947"/>
    <col min="9231" max="9231" width="8.5" style="2947" customWidth="1"/>
    <col min="9232" max="9232" width="7.875" style="2947" customWidth="1"/>
    <col min="9233" max="9233" width="4.125" style="2947" customWidth="1"/>
    <col min="9234" max="9235" width="7.75" style="2947" customWidth="1"/>
    <col min="9236" max="9472" width="8" style="2947"/>
    <col min="9473" max="9473" width="4.125" style="2947" customWidth="1"/>
    <col min="9474" max="9474" width="7.875" style="2947" customWidth="1"/>
    <col min="9475" max="9475" width="1.75" style="2947" customWidth="1"/>
    <col min="9476" max="9476" width="11.125" style="2947" customWidth="1"/>
    <col min="9477" max="9484" width="8.5" style="2947" customWidth="1"/>
    <col min="9485" max="9485" width="1.5" style="2947" customWidth="1"/>
    <col min="9486" max="9486" width="8" style="2947"/>
    <col min="9487" max="9487" width="8.5" style="2947" customWidth="1"/>
    <col min="9488" max="9488" width="7.875" style="2947" customWidth="1"/>
    <col min="9489" max="9489" width="4.125" style="2947" customWidth="1"/>
    <col min="9490" max="9491" width="7.75" style="2947" customWidth="1"/>
    <col min="9492" max="9728" width="8" style="2947"/>
    <col min="9729" max="9729" width="4.125" style="2947" customWidth="1"/>
    <col min="9730" max="9730" width="7.875" style="2947" customWidth="1"/>
    <col min="9731" max="9731" width="1.75" style="2947" customWidth="1"/>
    <col min="9732" max="9732" width="11.125" style="2947" customWidth="1"/>
    <col min="9733" max="9740" width="8.5" style="2947" customWidth="1"/>
    <col min="9741" max="9741" width="1.5" style="2947" customWidth="1"/>
    <col min="9742" max="9742" width="8" style="2947"/>
    <col min="9743" max="9743" width="8.5" style="2947" customWidth="1"/>
    <col min="9744" max="9744" width="7.875" style="2947" customWidth="1"/>
    <col min="9745" max="9745" width="4.125" style="2947" customWidth="1"/>
    <col min="9746" max="9747" width="7.75" style="2947" customWidth="1"/>
    <col min="9748" max="9984" width="8" style="2947"/>
    <col min="9985" max="9985" width="4.125" style="2947" customWidth="1"/>
    <col min="9986" max="9986" width="7.875" style="2947" customWidth="1"/>
    <col min="9987" max="9987" width="1.75" style="2947" customWidth="1"/>
    <col min="9988" max="9988" width="11.125" style="2947" customWidth="1"/>
    <col min="9989" max="9996" width="8.5" style="2947" customWidth="1"/>
    <col min="9997" max="9997" width="1.5" style="2947" customWidth="1"/>
    <col min="9998" max="9998" width="8" style="2947"/>
    <col min="9999" max="9999" width="8.5" style="2947" customWidth="1"/>
    <col min="10000" max="10000" width="7.875" style="2947" customWidth="1"/>
    <col min="10001" max="10001" width="4.125" style="2947" customWidth="1"/>
    <col min="10002" max="10003" width="7.75" style="2947" customWidth="1"/>
    <col min="10004" max="10240" width="8" style="2947"/>
    <col min="10241" max="10241" width="4.125" style="2947" customWidth="1"/>
    <col min="10242" max="10242" width="7.875" style="2947" customWidth="1"/>
    <col min="10243" max="10243" width="1.75" style="2947" customWidth="1"/>
    <col min="10244" max="10244" width="11.125" style="2947" customWidth="1"/>
    <col min="10245" max="10252" width="8.5" style="2947" customWidth="1"/>
    <col min="10253" max="10253" width="1.5" style="2947" customWidth="1"/>
    <col min="10254" max="10254" width="8" style="2947"/>
    <col min="10255" max="10255" width="8.5" style="2947" customWidth="1"/>
    <col min="10256" max="10256" width="7.875" style="2947" customWidth="1"/>
    <col min="10257" max="10257" width="4.125" style="2947" customWidth="1"/>
    <col min="10258" max="10259" width="7.75" style="2947" customWidth="1"/>
    <col min="10260" max="10496" width="8" style="2947"/>
    <col min="10497" max="10497" width="4.125" style="2947" customWidth="1"/>
    <col min="10498" max="10498" width="7.875" style="2947" customWidth="1"/>
    <col min="10499" max="10499" width="1.75" style="2947" customWidth="1"/>
    <col min="10500" max="10500" width="11.125" style="2947" customWidth="1"/>
    <col min="10501" max="10508" width="8.5" style="2947" customWidth="1"/>
    <col min="10509" max="10509" width="1.5" style="2947" customWidth="1"/>
    <col min="10510" max="10510" width="8" style="2947"/>
    <col min="10511" max="10511" width="8.5" style="2947" customWidth="1"/>
    <col min="10512" max="10512" width="7.875" style="2947" customWidth="1"/>
    <col min="10513" max="10513" width="4.125" style="2947" customWidth="1"/>
    <col min="10514" max="10515" width="7.75" style="2947" customWidth="1"/>
    <col min="10516" max="10752" width="8" style="2947"/>
    <col min="10753" max="10753" width="4.125" style="2947" customWidth="1"/>
    <col min="10754" max="10754" width="7.875" style="2947" customWidth="1"/>
    <col min="10755" max="10755" width="1.75" style="2947" customWidth="1"/>
    <col min="10756" max="10756" width="11.125" style="2947" customWidth="1"/>
    <col min="10757" max="10764" width="8.5" style="2947" customWidth="1"/>
    <col min="10765" max="10765" width="1.5" style="2947" customWidth="1"/>
    <col min="10766" max="10766" width="8" style="2947"/>
    <col min="10767" max="10767" width="8.5" style="2947" customWidth="1"/>
    <col min="10768" max="10768" width="7.875" style="2947" customWidth="1"/>
    <col min="10769" max="10769" width="4.125" style="2947" customWidth="1"/>
    <col min="10770" max="10771" width="7.75" style="2947" customWidth="1"/>
    <col min="10772" max="11008" width="8" style="2947"/>
    <col min="11009" max="11009" width="4.125" style="2947" customWidth="1"/>
    <col min="11010" max="11010" width="7.875" style="2947" customWidth="1"/>
    <col min="11011" max="11011" width="1.75" style="2947" customWidth="1"/>
    <col min="11012" max="11012" width="11.125" style="2947" customWidth="1"/>
    <col min="11013" max="11020" width="8.5" style="2947" customWidth="1"/>
    <col min="11021" max="11021" width="1.5" style="2947" customWidth="1"/>
    <col min="11022" max="11022" width="8" style="2947"/>
    <col min="11023" max="11023" width="8.5" style="2947" customWidth="1"/>
    <col min="11024" max="11024" width="7.875" style="2947" customWidth="1"/>
    <col min="11025" max="11025" width="4.125" style="2947" customWidth="1"/>
    <col min="11026" max="11027" width="7.75" style="2947" customWidth="1"/>
    <col min="11028" max="11264" width="8" style="2947"/>
    <col min="11265" max="11265" width="4.125" style="2947" customWidth="1"/>
    <col min="11266" max="11266" width="7.875" style="2947" customWidth="1"/>
    <col min="11267" max="11267" width="1.75" style="2947" customWidth="1"/>
    <col min="11268" max="11268" width="11.125" style="2947" customWidth="1"/>
    <col min="11269" max="11276" width="8.5" style="2947" customWidth="1"/>
    <col min="11277" max="11277" width="1.5" style="2947" customWidth="1"/>
    <col min="11278" max="11278" width="8" style="2947"/>
    <col min="11279" max="11279" width="8.5" style="2947" customWidth="1"/>
    <col min="11280" max="11280" width="7.875" style="2947" customWidth="1"/>
    <col min="11281" max="11281" width="4.125" style="2947" customWidth="1"/>
    <col min="11282" max="11283" width="7.75" style="2947" customWidth="1"/>
    <col min="11284" max="11520" width="8" style="2947"/>
    <col min="11521" max="11521" width="4.125" style="2947" customWidth="1"/>
    <col min="11522" max="11522" width="7.875" style="2947" customWidth="1"/>
    <col min="11523" max="11523" width="1.75" style="2947" customWidth="1"/>
    <col min="11524" max="11524" width="11.125" style="2947" customWidth="1"/>
    <col min="11525" max="11532" width="8.5" style="2947" customWidth="1"/>
    <col min="11533" max="11533" width="1.5" style="2947" customWidth="1"/>
    <col min="11534" max="11534" width="8" style="2947"/>
    <col min="11535" max="11535" width="8.5" style="2947" customWidth="1"/>
    <col min="11536" max="11536" width="7.875" style="2947" customWidth="1"/>
    <col min="11537" max="11537" width="4.125" style="2947" customWidth="1"/>
    <col min="11538" max="11539" width="7.75" style="2947" customWidth="1"/>
    <col min="11540" max="11776" width="8" style="2947"/>
    <col min="11777" max="11777" width="4.125" style="2947" customWidth="1"/>
    <col min="11778" max="11778" width="7.875" style="2947" customWidth="1"/>
    <col min="11779" max="11779" width="1.75" style="2947" customWidth="1"/>
    <col min="11780" max="11780" width="11.125" style="2947" customWidth="1"/>
    <col min="11781" max="11788" width="8.5" style="2947" customWidth="1"/>
    <col min="11789" max="11789" width="1.5" style="2947" customWidth="1"/>
    <col min="11790" max="11790" width="8" style="2947"/>
    <col min="11791" max="11791" width="8.5" style="2947" customWidth="1"/>
    <col min="11792" max="11792" width="7.875" style="2947" customWidth="1"/>
    <col min="11793" max="11793" width="4.125" style="2947" customWidth="1"/>
    <col min="11794" max="11795" width="7.75" style="2947" customWidth="1"/>
    <col min="11796" max="12032" width="8" style="2947"/>
    <col min="12033" max="12033" width="4.125" style="2947" customWidth="1"/>
    <col min="12034" max="12034" width="7.875" style="2947" customWidth="1"/>
    <col min="12035" max="12035" width="1.75" style="2947" customWidth="1"/>
    <col min="12036" max="12036" width="11.125" style="2947" customWidth="1"/>
    <col min="12037" max="12044" width="8.5" style="2947" customWidth="1"/>
    <col min="12045" max="12045" width="1.5" style="2947" customWidth="1"/>
    <col min="12046" max="12046" width="8" style="2947"/>
    <col min="12047" max="12047" width="8.5" style="2947" customWidth="1"/>
    <col min="12048" max="12048" width="7.875" style="2947" customWidth="1"/>
    <col min="12049" max="12049" width="4.125" style="2947" customWidth="1"/>
    <col min="12050" max="12051" width="7.75" style="2947" customWidth="1"/>
    <col min="12052" max="12288" width="8" style="2947"/>
    <col min="12289" max="12289" width="4.125" style="2947" customWidth="1"/>
    <col min="12290" max="12290" width="7.875" style="2947" customWidth="1"/>
    <col min="12291" max="12291" width="1.75" style="2947" customWidth="1"/>
    <col min="12292" max="12292" width="11.125" style="2947" customWidth="1"/>
    <col min="12293" max="12300" width="8.5" style="2947" customWidth="1"/>
    <col min="12301" max="12301" width="1.5" style="2947" customWidth="1"/>
    <col min="12302" max="12302" width="8" style="2947"/>
    <col min="12303" max="12303" width="8.5" style="2947" customWidth="1"/>
    <col min="12304" max="12304" width="7.875" style="2947" customWidth="1"/>
    <col min="12305" max="12305" width="4.125" style="2947" customWidth="1"/>
    <col min="12306" max="12307" width="7.75" style="2947" customWidth="1"/>
    <col min="12308" max="12544" width="8" style="2947"/>
    <col min="12545" max="12545" width="4.125" style="2947" customWidth="1"/>
    <col min="12546" max="12546" width="7.875" style="2947" customWidth="1"/>
    <col min="12547" max="12547" width="1.75" style="2947" customWidth="1"/>
    <col min="12548" max="12548" width="11.125" style="2947" customWidth="1"/>
    <col min="12549" max="12556" width="8.5" style="2947" customWidth="1"/>
    <col min="12557" max="12557" width="1.5" style="2947" customWidth="1"/>
    <col min="12558" max="12558" width="8" style="2947"/>
    <col min="12559" max="12559" width="8.5" style="2947" customWidth="1"/>
    <col min="12560" max="12560" width="7.875" style="2947" customWidth="1"/>
    <col min="12561" max="12561" width="4.125" style="2947" customWidth="1"/>
    <col min="12562" max="12563" width="7.75" style="2947" customWidth="1"/>
    <col min="12564" max="12800" width="8" style="2947"/>
    <col min="12801" max="12801" width="4.125" style="2947" customWidth="1"/>
    <col min="12802" max="12802" width="7.875" style="2947" customWidth="1"/>
    <col min="12803" max="12803" width="1.75" style="2947" customWidth="1"/>
    <col min="12804" max="12804" width="11.125" style="2947" customWidth="1"/>
    <col min="12805" max="12812" width="8.5" style="2947" customWidth="1"/>
    <col min="12813" max="12813" width="1.5" style="2947" customWidth="1"/>
    <col min="12814" max="12814" width="8" style="2947"/>
    <col min="12815" max="12815" width="8.5" style="2947" customWidth="1"/>
    <col min="12816" max="12816" width="7.875" style="2947" customWidth="1"/>
    <col min="12817" max="12817" width="4.125" style="2947" customWidth="1"/>
    <col min="12818" max="12819" width="7.75" style="2947" customWidth="1"/>
    <col min="12820" max="13056" width="8" style="2947"/>
    <col min="13057" max="13057" width="4.125" style="2947" customWidth="1"/>
    <col min="13058" max="13058" width="7.875" style="2947" customWidth="1"/>
    <col min="13059" max="13059" width="1.75" style="2947" customWidth="1"/>
    <col min="13060" max="13060" width="11.125" style="2947" customWidth="1"/>
    <col min="13061" max="13068" width="8.5" style="2947" customWidth="1"/>
    <col min="13069" max="13069" width="1.5" style="2947" customWidth="1"/>
    <col min="13070" max="13070" width="8" style="2947"/>
    <col min="13071" max="13071" width="8.5" style="2947" customWidth="1"/>
    <col min="13072" max="13072" width="7.875" style="2947" customWidth="1"/>
    <col min="13073" max="13073" width="4.125" style="2947" customWidth="1"/>
    <col min="13074" max="13075" width="7.75" style="2947" customWidth="1"/>
    <col min="13076" max="13312" width="8" style="2947"/>
    <col min="13313" max="13313" width="4.125" style="2947" customWidth="1"/>
    <col min="13314" max="13314" width="7.875" style="2947" customWidth="1"/>
    <col min="13315" max="13315" width="1.75" style="2947" customWidth="1"/>
    <col min="13316" max="13316" width="11.125" style="2947" customWidth="1"/>
    <col min="13317" max="13324" width="8.5" style="2947" customWidth="1"/>
    <col min="13325" max="13325" width="1.5" style="2947" customWidth="1"/>
    <col min="13326" max="13326" width="8" style="2947"/>
    <col min="13327" max="13327" width="8.5" style="2947" customWidth="1"/>
    <col min="13328" max="13328" width="7.875" style="2947" customWidth="1"/>
    <col min="13329" max="13329" width="4.125" style="2947" customWidth="1"/>
    <col min="13330" max="13331" width="7.75" style="2947" customWidth="1"/>
    <col min="13332" max="13568" width="8" style="2947"/>
    <col min="13569" max="13569" width="4.125" style="2947" customWidth="1"/>
    <col min="13570" max="13570" width="7.875" style="2947" customWidth="1"/>
    <col min="13571" max="13571" width="1.75" style="2947" customWidth="1"/>
    <col min="13572" max="13572" width="11.125" style="2947" customWidth="1"/>
    <col min="13573" max="13580" width="8.5" style="2947" customWidth="1"/>
    <col min="13581" max="13581" width="1.5" style="2947" customWidth="1"/>
    <col min="13582" max="13582" width="8" style="2947"/>
    <col min="13583" max="13583" width="8.5" style="2947" customWidth="1"/>
    <col min="13584" max="13584" width="7.875" style="2947" customWidth="1"/>
    <col min="13585" max="13585" width="4.125" style="2947" customWidth="1"/>
    <col min="13586" max="13587" width="7.75" style="2947" customWidth="1"/>
    <col min="13588" max="13824" width="8" style="2947"/>
    <col min="13825" max="13825" width="4.125" style="2947" customWidth="1"/>
    <col min="13826" max="13826" width="7.875" style="2947" customWidth="1"/>
    <col min="13827" max="13827" width="1.75" style="2947" customWidth="1"/>
    <col min="13828" max="13828" width="11.125" style="2947" customWidth="1"/>
    <col min="13829" max="13836" width="8.5" style="2947" customWidth="1"/>
    <col min="13837" max="13837" width="1.5" style="2947" customWidth="1"/>
    <col min="13838" max="13838" width="8" style="2947"/>
    <col min="13839" max="13839" width="8.5" style="2947" customWidth="1"/>
    <col min="13840" max="13840" width="7.875" style="2947" customWidth="1"/>
    <col min="13841" max="13841" width="4.125" style="2947" customWidth="1"/>
    <col min="13842" max="13843" width="7.75" style="2947" customWidth="1"/>
    <col min="13844" max="14080" width="8" style="2947"/>
    <col min="14081" max="14081" width="4.125" style="2947" customWidth="1"/>
    <col min="14082" max="14082" width="7.875" style="2947" customWidth="1"/>
    <col min="14083" max="14083" width="1.75" style="2947" customWidth="1"/>
    <col min="14084" max="14084" width="11.125" style="2947" customWidth="1"/>
    <col min="14085" max="14092" width="8.5" style="2947" customWidth="1"/>
    <col min="14093" max="14093" width="1.5" style="2947" customWidth="1"/>
    <col min="14094" max="14094" width="8" style="2947"/>
    <col min="14095" max="14095" width="8.5" style="2947" customWidth="1"/>
    <col min="14096" max="14096" width="7.875" style="2947" customWidth="1"/>
    <col min="14097" max="14097" width="4.125" style="2947" customWidth="1"/>
    <col min="14098" max="14099" width="7.75" style="2947" customWidth="1"/>
    <col min="14100" max="14336" width="8" style="2947"/>
    <col min="14337" max="14337" width="4.125" style="2947" customWidth="1"/>
    <col min="14338" max="14338" width="7.875" style="2947" customWidth="1"/>
    <col min="14339" max="14339" width="1.75" style="2947" customWidth="1"/>
    <col min="14340" max="14340" width="11.125" style="2947" customWidth="1"/>
    <col min="14341" max="14348" width="8.5" style="2947" customWidth="1"/>
    <col min="14349" max="14349" width="1.5" style="2947" customWidth="1"/>
    <col min="14350" max="14350" width="8" style="2947"/>
    <col min="14351" max="14351" width="8.5" style="2947" customWidth="1"/>
    <col min="14352" max="14352" width="7.875" style="2947" customWidth="1"/>
    <col min="14353" max="14353" width="4.125" style="2947" customWidth="1"/>
    <col min="14354" max="14355" width="7.75" style="2947" customWidth="1"/>
    <col min="14356" max="14592" width="8" style="2947"/>
    <col min="14593" max="14593" width="4.125" style="2947" customWidth="1"/>
    <col min="14594" max="14594" width="7.875" style="2947" customWidth="1"/>
    <col min="14595" max="14595" width="1.75" style="2947" customWidth="1"/>
    <col min="14596" max="14596" width="11.125" style="2947" customWidth="1"/>
    <col min="14597" max="14604" width="8.5" style="2947" customWidth="1"/>
    <col min="14605" max="14605" width="1.5" style="2947" customWidth="1"/>
    <col min="14606" max="14606" width="8" style="2947"/>
    <col min="14607" max="14607" width="8.5" style="2947" customWidth="1"/>
    <col min="14608" max="14608" width="7.875" style="2947" customWidth="1"/>
    <col min="14609" max="14609" width="4.125" style="2947" customWidth="1"/>
    <col min="14610" max="14611" width="7.75" style="2947" customWidth="1"/>
    <col min="14612" max="14848" width="8" style="2947"/>
    <col min="14849" max="14849" width="4.125" style="2947" customWidth="1"/>
    <col min="14850" max="14850" width="7.875" style="2947" customWidth="1"/>
    <col min="14851" max="14851" width="1.75" style="2947" customWidth="1"/>
    <col min="14852" max="14852" width="11.125" style="2947" customWidth="1"/>
    <col min="14853" max="14860" width="8.5" style="2947" customWidth="1"/>
    <col min="14861" max="14861" width="1.5" style="2947" customWidth="1"/>
    <col min="14862" max="14862" width="8" style="2947"/>
    <col min="14863" max="14863" width="8.5" style="2947" customWidth="1"/>
    <col min="14864" max="14864" width="7.875" style="2947" customWidth="1"/>
    <col min="14865" max="14865" width="4.125" style="2947" customWidth="1"/>
    <col min="14866" max="14867" width="7.75" style="2947" customWidth="1"/>
    <col min="14868" max="15104" width="8" style="2947"/>
    <col min="15105" max="15105" width="4.125" style="2947" customWidth="1"/>
    <col min="15106" max="15106" width="7.875" style="2947" customWidth="1"/>
    <col min="15107" max="15107" width="1.75" style="2947" customWidth="1"/>
    <col min="15108" max="15108" width="11.125" style="2947" customWidth="1"/>
    <col min="15109" max="15116" width="8.5" style="2947" customWidth="1"/>
    <col min="15117" max="15117" width="1.5" style="2947" customWidth="1"/>
    <col min="15118" max="15118" width="8" style="2947"/>
    <col min="15119" max="15119" width="8.5" style="2947" customWidth="1"/>
    <col min="15120" max="15120" width="7.875" style="2947" customWidth="1"/>
    <col min="15121" max="15121" width="4.125" style="2947" customWidth="1"/>
    <col min="15122" max="15123" width="7.75" style="2947" customWidth="1"/>
    <col min="15124" max="15360" width="8" style="2947"/>
    <col min="15361" max="15361" width="4.125" style="2947" customWidth="1"/>
    <col min="15362" max="15362" width="7.875" style="2947" customWidth="1"/>
    <col min="15363" max="15363" width="1.75" style="2947" customWidth="1"/>
    <col min="15364" max="15364" width="11.125" style="2947" customWidth="1"/>
    <col min="15365" max="15372" width="8.5" style="2947" customWidth="1"/>
    <col min="15373" max="15373" width="1.5" style="2947" customWidth="1"/>
    <col min="15374" max="15374" width="8" style="2947"/>
    <col min="15375" max="15375" width="8.5" style="2947" customWidth="1"/>
    <col min="15376" max="15376" width="7.875" style="2947" customWidth="1"/>
    <col min="15377" max="15377" width="4.125" style="2947" customWidth="1"/>
    <col min="15378" max="15379" width="7.75" style="2947" customWidth="1"/>
    <col min="15380" max="15616" width="8" style="2947"/>
    <col min="15617" max="15617" width="4.125" style="2947" customWidth="1"/>
    <col min="15618" max="15618" width="7.875" style="2947" customWidth="1"/>
    <col min="15619" max="15619" width="1.75" style="2947" customWidth="1"/>
    <col min="15620" max="15620" width="11.125" style="2947" customWidth="1"/>
    <col min="15621" max="15628" width="8.5" style="2947" customWidth="1"/>
    <col min="15629" max="15629" width="1.5" style="2947" customWidth="1"/>
    <col min="15630" max="15630" width="8" style="2947"/>
    <col min="15631" max="15631" width="8.5" style="2947" customWidth="1"/>
    <col min="15632" max="15632" width="7.875" style="2947" customWidth="1"/>
    <col min="15633" max="15633" width="4.125" style="2947" customWidth="1"/>
    <col min="15634" max="15635" width="7.75" style="2947" customWidth="1"/>
    <col min="15636" max="15872" width="8" style="2947"/>
    <col min="15873" max="15873" width="4.125" style="2947" customWidth="1"/>
    <col min="15874" max="15874" width="7.875" style="2947" customWidth="1"/>
    <col min="15875" max="15875" width="1.75" style="2947" customWidth="1"/>
    <col min="15876" max="15876" width="11.125" style="2947" customWidth="1"/>
    <col min="15877" max="15884" width="8.5" style="2947" customWidth="1"/>
    <col min="15885" max="15885" width="1.5" style="2947" customWidth="1"/>
    <col min="15886" max="15886" width="8" style="2947"/>
    <col min="15887" max="15887" width="8.5" style="2947" customWidth="1"/>
    <col min="15888" max="15888" width="7.875" style="2947" customWidth="1"/>
    <col min="15889" max="15889" width="4.125" style="2947" customWidth="1"/>
    <col min="15890" max="15891" width="7.75" style="2947" customWidth="1"/>
    <col min="15892" max="16128" width="8" style="2947"/>
    <col min="16129" max="16129" width="4.125" style="2947" customWidth="1"/>
    <col min="16130" max="16130" width="7.875" style="2947" customWidth="1"/>
    <col min="16131" max="16131" width="1.75" style="2947" customWidth="1"/>
    <col min="16132" max="16132" width="11.125" style="2947" customWidth="1"/>
    <col min="16133" max="16140" width="8.5" style="2947" customWidth="1"/>
    <col min="16141" max="16141" width="1.5" style="2947" customWidth="1"/>
    <col min="16142" max="16142" width="8" style="2947"/>
    <col min="16143" max="16143" width="8.5" style="2947" customWidth="1"/>
    <col min="16144" max="16144" width="7.875" style="2947" customWidth="1"/>
    <col min="16145" max="16145" width="4.125" style="2947" customWidth="1"/>
    <col min="16146" max="16147" width="7.75" style="2947" customWidth="1"/>
    <col min="16148" max="16384" width="8" style="2947"/>
  </cols>
  <sheetData>
    <row r="2" spans="1:42" ht="15" customHeight="1">
      <c r="A2" s="2941"/>
      <c r="B2" s="2942"/>
      <c r="C2" s="2942"/>
      <c r="D2" s="2942"/>
      <c r="E2" s="2942"/>
      <c r="F2" s="2942"/>
      <c r="G2" s="2942"/>
      <c r="H2" s="2942"/>
      <c r="I2" s="3401" t="s">
        <v>206</v>
      </c>
      <c r="J2" s="4862"/>
      <c r="K2" s="4862"/>
      <c r="L2" s="4862"/>
      <c r="M2" s="4862"/>
      <c r="N2" s="4862"/>
      <c r="O2" s="4862"/>
      <c r="P2" s="4862"/>
      <c r="Q2" s="4862"/>
      <c r="T2" s="2946"/>
      <c r="AJ2" s="2946"/>
    </row>
    <row r="3" spans="1:42" ht="15" customHeight="1">
      <c r="A3" s="2948"/>
      <c r="I3" s="3401" t="s">
        <v>82</v>
      </c>
      <c r="J3" s="4862"/>
      <c r="K3" s="4862"/>
      <c r="L3" s="4862"/>
      <c r="M3" s="4862"/>
      <c r="N3" s="4862"/>
      <c r="O3" s="4862"/>
      <c r="P3" s="4862"/>
      <c r="Q3" s="4862"/>
      <c r="T3" s="2946"/>
      <c r="AJ3" s="2946"/>
    </row>
    <row r="4" spans="1:42" ht="15" customHeight="1">
      <c r="A4" s="2948"/>
      <c r="I4" s="3401" t="s">
        <v>77</v>
      </c>
      <c r="J4" s="4863"/>
      <c r="K4" s="4863"/>
      <c r="L4" s="4863"/>
      <c r="M4" s="4863"/>
      <c r="N4" s="3401" t="s">
        <v>76</v>
      </c>
      <c r="O4" s="3401"/>
      <c r="P4" s="3402"/>
      <c r="Q4" s="3401"/>
      <c r="T4" s="2953"/>
      <c r="Z4" s="2954"/>
      <c r="AJ4" s="2953"/>
      <c r="AP4" s="2954"/>
    </row>
    <row r="5" spans="1:42" ht="15" customHeight="1">
      <c r="A5" s="2948"/>
      <c r="I5" s="3401" t="s">
        <v>75</v>
      </c>
      <c r="J5" s="4863"/>
      <c r="K5" s="4863"/>
      <c r="L5" s="4863"/>
      <c r="M5" s="4863"/>
      <c r="N5" s="3401" t="s">
        <v>74</v>
      </c>
      <c r="O5" s="3401"/>
      <c r="P5" s="3403"/>
      <c r="Q5" s="3401"/>
      <c r="T5" s="2953"/>
      <c r="Z5" s="2953"/>
      <c r="AJ5" s="2953"/>
      <c r="AP5" s="2953"/>
    </row>
    <row r="6" spans="1:42" ht="15" customHeight="1">
      <c r="A6" s="2956"/>
      <c r="B6" s="2957"/>
      <c r="C6" s="2957"/>
      <c r="D6" s="2957"/>
      <c r="E6" s="2957"/>
      <c r="F6" s="2957"/>
      <c r="G6" s="2957"/>
      <c r="H6" s="2957"/>
      <c r="I6" s="2957"/>
      <c r="J6" s="2957"/>
      <c r="K6" s="2957"/>
      <c r="L6" s="2957"/>
      <c r="M6" s="2957"/>
      <c r="N6" s="2957"/>
      <c r="O6" s="2957"/>
      <c r="P6" s="2958"/>
      <c r="Q6" s="2944"/>
      <c r="T6" s="2945"/>
      <c r="U6" s="2945"/>
      <c r="V6" s="2945"/>
      <c r="W6" s="2945"/>
      <c r="X6" s="2945"/>
      <c r="Y6" s="2945"/>
      <c r="Z6" s="2945"/>
      <c r="AB6" s="2945"/>
      <c r="AC6" s="2945"/>
      <c r="AD6" s="2945"/>
      <c r="AE6" s="2945"/>
      <c r="AF6" s="2945"/>
      <c r="AG6" s="2945"/>
      <c r="AH6" s="2945"/>
      <c r="AI6" s="2945"/>
      <c r="AJ6" s="2945"/>
      <c r="AK6" s="2945"/>
      <c r="AL6" s="2945"/>
      <c r="AM6" s="2945"/>
      <c r="AN6" s="2945"/>
      <c r="AO6" s="2945"/>
      <c r="AP6" s="2945"/>
    </row>
    <row r="7" spans="1:42" ht="15" customHeight="1">
      <c r="A7" s="2959" t="s">
        <v>945</v>
      </c>
      <c r="B7" s="2960"/>
      <c r="C7" s="2960"/>
      <c r="D7" s="2960"/>
      <c r="E7" s="2960"/>
      <c r="F7" s="2960"/>
      <c r="G7" s="2961"/>
      <c r="H7" s="2961"/>
      <c r="I7" s="2960"/>
      <c r="J7" s="2960"/>
      <c r="K7" s="2960"/>
      <c r="L7" s="2960"/>
      <c r="M7" s="2960"/>
      <c r="N7" s="2960"/>
      <c r="O7" s="2960"/>
      <c r="P7" s="2962"/>
      <c r="Q7" s="2952"/>
      <c r="R7" s="2963"/>
      <c r="T7" s="2960"/>
      <c r="U7" s="2960"/>
      <c r="V7" s="2960"/>
      <c r="W7" s="2960"/>
      <c r="X7" s="2960"/>
      <c r="Y7" s="2960"/>
      <c r="Z7" s="2960"/>
      <c r="AB7" s="2961"/>
      <c r="AC7" s="2960"/>
      <c r="AD7" s="2960"/>
      <c r="AE7" s="2960"/>
      <c r="AF7" s="2960"/>
      <c r="AG7" s="2961"/>
      <c r="AH7" s="2961"/>
      <c r="AI7" s="2960"/>
      <c r="AJ7" s="2960"/>
      <c r="AK7" s="2960"/>
      <c r="AL7" s="2960"/>
      <c r="AM7" s="2960"/>
      <c r="AN7" s="2960"/>
      <c r="AO7" s="2960"/>
      <c r="AP7" s="2960"/>
    </row>
    <row r="8" spans="1:42" ht="15" customHeight="1">
      <c r="A8" s="2964"/>
      <c r="B8" s="2960"/>
      <c r="C8" s="2960"/>
      <c r="D8" s="2960"/>
      <c r="E8" s="2960"/>
      <c r="F8" s="2960"/>
      <c r="G8" s="2960"/>
      <c r="H8" s="2960"/>
      <c r="I8" s="2960"/>
      <c r="J8" s="2960"/>
      <c r="K8" s="2960"/>
      <c r="L8" s="2960"/>
      <c r="M8" s="2960"/>
      <c r="N8" s="2960"/>
      <c r="O8" s="2960"/>
      <c r="P8" s="2960"/>
      <c r="Q8" s="2952"/>
      <c r="Z8" s="2960"/>
      <c r="AB8" s="2965"/>
      <c r="AC8" s="2960"/>
      <c r="AD8" s="2960"/>
      <c r="AE8" s="2960"/>
      <c r="AF8" s="2960"/>
      <c r="AG8" s="2960"/>
      <c r="AH8" s="2960"/>
      <c r="AI8" s="2960"/>
      <c r="AJ8" s="2960"/>
      <c r="AK8" s="2960"/>
      <c r="AL8" s="2960"/>
      <c r="AM8" s="2960"/>
      <c r="AN8" s="2960"/>
      <c r="AO8" s="2960"/>
      <c r="AP8" s="2960"/>
    </row>
    <row r="9" spans="1:42" ht="15" customHeight="1">
      <c r="A9" s="2948"/>
      <c r="B9" s="2947" t="s">
        <v>208</v>
      </c>
      <c r="C9" s="2947" t="s">
        <v>27</v>
      </c>
      <c r="D9" s="2955"/>
      <c r="E9" s="2953"/>
      <c r="K9" s="2947" t="s">
        <v>944</v>
      </c>
      <c r="M9" s="2947" t="s">
        <v>27</v>
      </c>
      <c r="N9" s="2955"/>
      <c r="O9" s="2953"/>
      <c r="Q9" s="2952"/>
      <c r="AO9" s="2953"/>
    </row>
    <row r="10" spans="1:42" ht="15" customHeight="1">
      <c r="A10" s="2948"/>
      <c r="B10" s="2947" t="s">
        <v>943</v>
      </c>
      <c r="C10" s="2947" t="s">
        <v>27</v>
      </c>
      <c r="D10" s="2955"/>
      <c r="E10" s="2953"/>
      <c r="F10" s="2953"/>
      <c r="K10" s="2947" t="s">
        <v>942</v>
      </c>
      <c r="M10" s="2947" t="s">
        <v>27</v>
      </c>
      <c r="N10" s="2955"/>
      <c r="Q10" s="2952"/>
      <c r="AF10" s="2953"/>
    </row>
    <row r="11" spans="1:42" ht="15" customHeight="1">
      <c r="A11" s="2948"/>
      <c r="B11" s="2947" t="s">
        <v>210</v>
      </c>
      <c r="C11" s="2947" t="s">
        <v>27</v>
      </c>
      <c r="D11" s="2955"/>
      <c r="E11" s="2953" t="s">
        <v>68</v>
      </c>
      <c r="F11" s="2953"/>
      <c r="K11" s="2945" t="s">
        <v>941</v>
      </c>
      <c r="M11" s="2945" t="s">
        <v>27</v>
      </c>
      <c r="N11" s="2955"/>
      <c r="Q11" s="2952"/>
      <c r="AF11" s="2953"/>
      <c r="AK11" s="2945"/>
      <c r="AL11" s="2945"/>
      <c r="AM11" s="2945"/>
    </row>
    <row r="12" spans="1:42" ht="15" customHeight="1">
      <c r="A12" s="2948"/>
      <c r="L12" s="2960"/>
      <c r="M12" s="2960"/>
      <c r="Q12" s="2952"/>
      <c r="AL12" s="2960"/>
      <c r="AM12" s="2960"/>
    </row>
    <row r="13" spans="1:42" ht="15" customHeight="1">
      <c r="A13" s="2948"/>
      <c r="B13" s="2966" t="s">
        <v>940</v>
      </c>
      <c r="L13" s="2960"/>
      <c r="M13" s="2960"/>
      <c r="Q13" s="2952"/>
      <c r="AL13" s="2960"/>
      <c r="AM13" s="2960"/>
    </row>
    <row r="14" spans="1:42" ht="15" customHeight="1">
      <c r="A14" s="2948"/>
      <c r="B14" s="2967" t="s">
        <v>939</v>
      </c>
      <c r="C14" s="2943"/>
      <c r="D14" s="2943"/>
      <c r="E14" s="2943"/>
      <c r="F14" s="2950"/>
      <c r="H14" s="2941" t="s">
        <v>938</v>
      </c>
      <c r="I14" s="2942"/>
      <c r="J14" s="2942"/>
      <c r="K14" s="2942"/>
      <c r="L14" s="2944"/>
      <c r="M14" s="4836" t="s">
        <v>937</v>
      </c>
      <c r="N14" s="4837"/>
      <c r="O14" s="4838"/>
      <c r="Q14" s="2952"/>
      <c r="AL14" s="2960"/>
      <c r="AM14" s="2960"/>
    </row>
    <row r="15" spans="1:42" ht="15" customHeight="1">
      <c r="A15" s="2948"/>
      <c r="B15" s="4836" t="s">
        <v>936</v>
      </c>
      <c r="C15" s="4837"/>
      <c r="D15" s="4838"/>
      <c r="E15" s="4837" t="s">
        <v>935</v>
      </c>
      <c r="F15" s="4838"/>
      <c r="H15" s="2951"/>
      <c r="I15" s="2949"/>
      <c r="J15" s="2949"/>
      <c r="K15" s="2949"/>
      <c r="L15" s="2969"/>
      <c r="M15" s="4836" t="s">
        <v>934</v>
      </c>
      <c r="N15" s="4838"/>
      <c r="O15" s="2968" t="s">
        <v>933</v>
      </c>
      <c r="Q15" s="2952"/>
      <c r="R15" s="2966"/>
      <c r="S15" s="2966"/>
      <c r="AA15" s="2960"/>
      <c r="AB15" s="2960"/>
      <c r="AL15" s="2960"/>
      <c r="AM15" s="2960"/>
    </row>
    <row r="16" spans="1:42" ht="15" customHeight="1">
      <c r="A16" s="2948"/>
      <c r="B16" s="2970">
        <v>76.2</v>
      </c>
      <c r="C16" s="2971"/>
      <c r="D16" s="2972">
        <v>76.099999999999994</v>
      </c>
      <c r="E16" s="2970">
        <v>38.1</v>
      </c>
      <c r="F16" s="2971">
        <v>38.1</v>
      </c>
      <c r="H16" s="2973" t="s">
        <v>932</v>
      </c>
      <c r="I16" s="2974"/>
      <c r="J16" s="2974"/>
      <c r="K16" s="2974"/>
      <c r="L16" s="2975"/>
      <c r="M16" s="2973"/>
      <c r="N16" s="2976"/>
      <c r="O16" s="2976">
        <v>70</v>
      </c>
      <c r="P16" s="2977"/>
      <c r="Q16" s="2952"/>
      <c r="R16" s="2947"/>
      <c r="S16" s="2947"/>
      <c r="T16" s="2977"/>
      <c r="U16" s="2977"/>
      <c r="W16" s="2977"/>
      <c r="X16" s="2978"/>
      <c r="Y16" s="2979"/>
      <c r="AA16" s="2978"/>
      <c r="AB16" s="2978"/>
      <c r="AC16" s="2978"/>
      <c r="AL16" s="2960"/>
      <c r="AM16" s="2960"/>
    </row>
    <row r="17" spans="1:39" ht="15" customHeight="1">
      <c r="A17" s="2948"/>
      <c r="B17" s="2980">
        <v>76.3</v>
      </c>
      <c r="C17" s="2981"/>
      <c r="D17" s="2982">
        <v>76.3</v>
      </c>
      <c r="E17" s="2980">
        <v>38</v>
      </c>
      <c r="F17" s="2981">
        <v>37.9</v>
      </c>
      <c r="H17" s="2983" t="s">
        <v>931</v>
      </c>
      <c r="I17" s="2984"/>
      <c r="J17" s="2984"/>
      <c r="K17" s="2984"/>
      <c r="L17" s="2985" t="s">
        <v>414</v>
      </c>
      <c r="M17" s="2986"/>
      <c r="N17" s="2987">
        <v>108.61</v>
      </c>
      <c r="O17" s="2987">
        <v>101.35</v>
      </c>
      <c r="Q17" s="2952"/>
      <c r="R17" s="2947"/>
      <c r="S17" s="2947"/>
      <c r="T17" s="2945"/>
      <c r="U17" s="2977"/>
      <c r="W17" s="2977"/>
      <c r="X17" s="2978"/>
      <c r="Y17" s="2979"/>
      <c r="AA17" s="2963"/>
      <c r="AB17" s="2963"/>
      <c r="AC17" s="2961"/>
      <c r="AD17" s="2960"/>
      <c r="AL17" s="2960"/>
      <c r="AM17" s="2960"/>
    </row>
    <row r="18" spans="1:39" ht="15" customHeight="1">
      <c r="A18" s="2948"/>
      <c r="B18" s="2980">
        <v>76.2</v>
      </c>
      <c r="C18" s="2981"/>
      <c r="D18" s="2982">
        <v>76</v>
      </c>
      <c r="E18" s="2980">
        <v>38</v>
      </c>
      <c r="F18" s="2981">
        <v>38</v>
      </c>
      <c r="H18" s="2983" t="s">
        <v>930</v>
      </c>
      <c r="I18" s="2984"/>
      <c r="J18" s="2984"/>
      <c r="K18" s="2984"/>
      <c r="L18" s="2985" t="s">
        <v>414</v>
      </c>
      <c r="M18" s="2986"/>
      <c r="N18" s="2987">
        <v>91.12</v>
      </c>
      <c r="O18" s="2987">
        <v>91.12</v>
      </c>
      <c r="Q18" s="2952"/>
      <c r="T18" s="2978"/>
      <c r="U18" s="2979"/>
      <c r="V18" s="2945"/>
      <c r="X18" s="2988"/>
      <c r="Y18" s="2989"/>
      <c r="AA18" s="2990"/>
      <c r="AB18" s="2990"/>
      <c r="AC18" s="2991"/>
      <c r="AD18" s="2992"/>
      <c r="AL18" s="2960"/>
      <c r="AM18" s="2960"/>
    </row>
    <row r="19" spans="1:39" ht="15" customHeight="1">
      <c r="A19" s="2948"/>
      <c r="B19" s="2983" t="s">
        <v>929</v>
      </c>
      <c r="C19" s="2993"/>
      <c r="D19" s="2994">
        <f>+AVERAGE(B16:B18)</f>
        <v>76.233333333333334</v>
      </c>
      <c r="E19" s="2994" t="s">
        <v>928</v>
      </c>
      <c r="F19" s="2994">
        <f>+AVERAGE(E16:E18)</f>
        <v>38.033333333333331</v>
      </c>
      <c r="H19" s="2983" t="s">
        <v>927</v>
      </c>
      <c r="I19" s="2984"/>
      <c r="J19" s="2984"/>
      <c r="K19" s="2984"/>
      <c r="L19" s="2985" t="s">
        <v>414</v>
      </c>
      <c r="M19" s="2986"/>
      <c r="N19" s="2987">
        <v>0</v>
      </c>
      <c r="O19" s="2987">
        <v>0</v>
      </c>
      <c r="Q19" s="2952"/>
      <c r="T19" s="2978"/>
      <c r="U19" s="2989"/>
      <c r="X19" s="2995"/>
      <c r="Y19" s="2989"/>
      <c r="AA19" s="2990"/>
      <c r="AB19" s="2990"/>
      <c r="AC19" s="2996"/>
      <c r="AD19" s="2992"/>
      <c r="AL19" s="2960"/>
      <c r="AM19" s="2960"/>
    </row>
    <row r="20" spans="1:39" ht="15" customHeight="1">
      <c r="A20" s="2948"/>
      <c r="B20" s="2983" t="s">
        <v>926</v>
      </c>
      <c r="C20" s="2984"/>
      <c r="D20" s="2984"/>
      <c r="E20" s="2984"/>
      <c r="F20" s="2993"/>
      <c r="H20" s="2983" t="s">
        <v>925</v>
      </c>
      <c r="I20" s="2984"/>
      <c r="J20" s="2984"/>
      <c r="K20" s="2984"/>
      <c r="L20" s="2993"/>
      <c r="M20" s="2984"/>
      <c r="N20" s="2997">
        <v>108.61</v>
      </c>
      <c r="O20" s="2997">
        <v>101.35</v>
      </c>
      <c r="Q20" s="2952"/>
      <c r="S20" s="4839"/>
      <c r="T20" s="4839"/>
      <c r="U20" s="4839"/>
      <c r="V20" s="4840"/>
      <c r="W20" s="4840"/>
      <c r="X20" s="2988"/>
      <c r="Y20" s="2989"/>
      <c r="AA20" s="2953"/>
      <c r="AB20" s="2953"/>
      <c r="AC20" s="2996"/>
      <c r="AD20" s="2999"/>
      <c r="AL20" s="2960"/>
      <c r="AM20" s="2960"/>
    </row>
    <row r="21" spans="1:39" ht="15" customHeight="1">
      <c r="A21" s="2948"/>
      <c r="B21" s="2983" t="s">
        <v>924</v>
      </c>
      <c r="C21" s="2984"/>
      <c r="D21" s="2984"/>
      <c r="E21" s="2985" t="s">
        <v>923</v>
      </c>
      <c r="F21" s="3000">
        <v>1135.1099999999999</v>
      </c>
      <c r="H21" s="2983" t="s">
        <v>922</v>
      </c>
      <c r="I21" s="2984"/>
      <c r="J21" s="2984"/>
      <c r="K21" s="2984"/>
      <c r="L21" s="2993"/>
      <c r="M21" s="2984"/>
      <c r="N21" s="2987">
        <v>91.12</v>
      </c>
      <c r="O21" s="2987">
        <v>91.12</v>
      </c>
      <c r="Q21" s="2952"/>
      <c r="S21" s="2998"/>
      <c r="T21" s="2998"/>
      <c r="U21" s="2998"/>
      <c r="V21" s="2989"/>
      <c r="W21" s="2989"/>
      <c r="X21" s="2988"/>
      <c r="Y21" s="2989"/>
      <c r="AA21" s="2953"/>
      <c r="AB21" s="2953"/>
      <c r="AC21" s="2996"/>
      <c r="AD21" s="2999"/>
      <c r="AL21" s="2960"/>
      <c r="AM21" s="2960"/>
    </row>
    <row r="22" spans="1:39" ht="15" customHeight="1">
      <c r="A22" s="2948"/>
      <c r="B22" s="2983" t="s">
        <v>921</v>
      </c>
      <c r="C22" s="2984"/>
      <c r="D22" s="2984"/>
      <c r="E22" s="2985" t="s">
        <v>563</v>
      </c>
      <c r="F22" s="3000">
        <v>86.48</v>
      </c>
      <c r="H22" s="2983" t="s">
        <v>419</v>
      </c>
      <c r="I22" s="2984"/>
      <c r="J22" s="2984"/>
      <c r="K22" s="2984"/>
      <c r="L22" s="2985" t="s">
        <v>414</v>
      </c>
      <c r="M22" s="2986"/>
      <c r="N22" s="2997">
        <v>17.489999999999998</v>
      </c>
      <c r="O22" s="2997">
        <v>10.23</v>
      </c>
      <c r="Q22" s="2952"/>
      <c r="S22" s="4839"/>
      <c r="T22" s="4839"/>
      <c r="U22" s="4839"/>
      <c r="V22" s="4840"/>
      <c r="W22" s="4840"/>
      <c r="X22" s="2988"/>
      <c r="Y22" s="2988"/>
      <c r="AC22" s="2953"/>
      <c r="AD22" s="2988"/>
      <c r="AL22" s="2960"/>
      <c r="AM22" s="2960"/>
    </row>
    <row r="23" spans="1:39" ht="15" customHeight="1">
      <c r="A23" s="2948"/>
      <c r="B23" s="2983" t="s">
        <v>920</v>
      </c>
      <c r="C23" s="2984"/>
      <c r="D23" s="2984"/>
      <c r="E23" s="2985" t="s">
        <v>917</v>
      </c>
      <c r="F23" s="3000">
        <v>1.26</v>
      </c>
      <c r="H23" s="3001" t="s">
        <v>919</v>
      </c>
      <c r="I23" s="3002"/>
      <c r="J23" s="3003"/>
      <c r="K23" s="3002"/>
      <c r="L23" s="3004" t="s">
        <v>1</v>
      </c>
      <c r="M23" s="3005"/>
      <c r="N23" s="3006">
        <v>19.2</v>
      </c>
      <c r="O23" s="3006">
        <v>11.23</v>
      </c>
      <c r="Q23" s="2952"/>
      <c r="S23" s="4839"/>
      <c r="T23" s="4839"/>
      <c r="U23" s="4839"/>
      <c r="V23" s="4839"/>
      <c r="W23" s="4839"/>
      <c r="X23" s="2979"/>
      <c r="Y23" s="2977"/>
      <c r="AD23" s="2977"/>
      <c r="AL23" s="2960"/>
      <c r="AM23" s="2960"/>
    </row>
    <row r="24" spans="1:39" ht="15" customHeight="1">
      <c r="A24" s="2948"/>
      <c r="B24" s="2983" t="s">
        <v>919</v>
      </c>
      <c r="C24" s="2984"/>
      <c r="D24" s="2984"/>
      <c r="E24" s="2985" t="s">
        <v>1</v>
      </c>
      <c r="F24" s="3000">
        <v>19.2</v>
      </c>
      <c r="Q24" s="2952"/>
      <c r="V24" s="2960"/>
      <c r="W24" s="2960"/>
      <c r="AL24" s="2960"/>
      <c r="AM24" s="2960"/>
    </row>
    <row r="25" spans="1:39" ht="15" customHeight="1">
      <c r="A25" s="2948"/>
      <c r="B25" s="3007" t="s">
        <v>918</v>
      </c>
      <c r="C25" s="3003"/>
      <c r="D25" s="3003"/>
      <c r="E25" s="3004" t="s">
        <v>917</v>
      </c>
      <c r="F25" s="3008">
        <v>1.05</v>
      </c>
      <c r="J25" s="2977"/>
      <c r="K25" s="2977"/>
      <c r="M25" s="2977"/>
      <c r="N25" s="2978"/>
      <c r="O25" s="2979"/>
      <c r="P25" s="2979"/>
      <c r="Q25" s="2952"/>
      <c r="V25" s="2960"/>
      <c r="W25" s="2960"/>
      <c r="AL25" s="2960"/>
      <c r="AM25" s="2960"/>
    </row>
    <row r="26" spans="1:39" ht="15" customHeight="1">
      <c r="A26" s="2948"/>
      <c r="J26" s="2945"/>
      <c r="K26" s="2977"/>
      <c r="M26" s="2977"/>
      <c r="N26" s="2978"/>
      <c r="O26" s="2979"/>
      <c r="P26" s="2979"/>
      <c r="Q26" s="2952"/>
      <c r="V26" s="2960"/>
      <c r="W26" s="2960"/>
      <c r="AL26" s="2960"/>
      <c r="AM26" s="2960"/>
    </row>
    <row r="27" spans="1:39" ht="15" customHeight="1">
      <c r="A27" s="2948"/>
      <c r="B27" s="2966" t="s">
        <v>916</v>
      </c>
      <c r="K27" s="2977"/>
      <c r="L27" s="3009"/>
      <c r="M27" s="2945"/>
      <c r="N27" s="2945"/>
      <c r="Q27" s="2952"/>
      <c r="V27" s="2960"/>
      <c r="W27" s="2960"/>
      <c r="AL27" s="2960"/>
      <c r="AM27" s="2960"/>
    </row>
    <row r="28" spans="1:39" ht="15" customHeight="1">
      <c r="A28" s="2948"/>
      <c r="F28" s="2977"/>
      <c r="G28" s="3010"/>
      <c r="H28" s="2977"/>
      <c r="I28" s="2977"/>
      <c r="J28" s="2977"/>
      <c r="K28" s="2977"/>
      <c r="L28" s="3009"/>
      <c r="M28" s="2945"/>
      <c r="N28" s="2945"/>
      <c r="Q28" s="2952"/>
      <c r="V28" s="2960"/>
      <c r="W28" s="2960"/>
      <c r="AL28" s="2960"/>
      <c r="AM28" s="2960"/>
    </row>
    <row r="29" spans="1:39" s="3019" customFormat="1" ht="26.25" customHeight="1">
      <c r="A29" s="3011"/>
      <c r="B29" s="3012" t="s">
        <v>915</v>
      </c>
      <c r="C29" s="3013"/>
      <c r="D29" s="3014" t="s">
        <v>914</v>
      </c>
      <c r="E29" s="3014" t="s">
        <v>913</v>
      </c>
      <c r="F29" s="3015" t="s">
        <v>912</v>
      </c>
      <c r="G29" s="4841" t="s">
        <v>911</v>
      </c>
      <c r="H29" s="4843" t="s">
        <v>910</v>
      </c>
      <c r="I29" s="4844"/>
      <c r="J29" s="4845"/>
      <c r="K29" s="4846" t="s">
        <v>909</v>
      </c>
      <c r="L29" s="4846"/>
      <c r="M29" s="4846"/>
      <c r="N29" s="4846"/>
      <c r="O29" s="4846"/>
      <c r="P29" s="4847"/>
      <c r="Q29" s="3017"/>
      <c r="R29" s="3018"/>
      <c r="S29" s="3018"/>
      <c r="V29" s="3020"/>
      <c r="W29" s="3020"/>
      <c r="AL29" s="3020"/>
      <c r="AM29" s="3020"/>
    </row>
    <row r="30" spans="1:39" ht="40.35" customHeight="1">
      <c r="A30" s="2948"/>
      <c r="B30" s="3021" t="s">
        <v>908</v>
      </c>
      <c r="C30" s="3022"/>
      <c r="D30" s="3023" t="s">
        <v>908</v>
      </c>
      <c r="E30" s="3023" t="s">
        <v>908</v>
      </c>
      <c r="F30" s="3023" t="s">
        <v>908</v>
      </c>
      <c r="G30" s="4842"/>
      <c r="H30" s="3023" t="s">
        <v>907</v>
      </c>
      <c r="I30" s="3023" t="s">
        <v>906</v>
      </c>
      <c r="J30" s="3023" t="s">
        <v>947</v>
      </c>
      <c r="K30" s="3024" t="s">
        <v>907</v>
      </c>
      <c r="L30" s="3025" t="s">
        <v>906</v>
      </c>
      <c r="M30" s="4848" t="s">
        <v>947</v>
      </c>
      <c r="N30" s="4848"/>
      <c r="O30" s="3027" t="s">
        <v>904</v>
      </c>
      <c r="P30" s="3027" t="s">
        <v>946</v>
      </c>
      <c r="Q30" s="2952"/>
      <c r="V30" s="2960"/>
      <c r="W30" s="2960"/>
      <c r="AL30" s="2960"/>
      <c r="AM30" s="2960"/>
    </row>
    <row r="31" spans="1:39" ht="15" customHeight="1">
      <c r="A31" s="2948"/>
      <c r="B31" s="2973"/>
      <c r="C31" s="2975"/>
      <c r="D31" s="3028"/>
      <c r="E31" s="3028"/>
      <c r="F31" s="3029"/>
      <c r="G31" s="3030"/>
      <c r="H31" s="3029"/>
      <c r="I31" s="3029"/>
      <c r="J31" s="3029"/>
      <c r="K31" s="3029"/>
      <c r="L31" s="3031"/>
      <c r="M31" s="3032"/>
      <c r="N31" s="3032"/>
      <c r="O31" s="3029"/>
      <c r="P31" s="3029"/>
      <c r="Q31" s="2952"/>
      <c r="T31" s="3033" t="s">
        <v>902</v>
      </c>
      <c r="V31" s="2960"/>
      <c r="W31" s="2960"/>
      <c r="AL31" s="2960"/>
      <c r="AM31" s="2960"/>
    </row>
    <row r="32" spans="1:39" ht="15" customHeight="1">
      <c r="A32" s="2948"/>
      <c r="B32" s="3034">
        <v>0</v>
      </c>
      <c r="C32" s="2993"/>
      <c r="D32" s="3034">
        <v>0</v>
      </c>
      <c r="E32" s="3034">
        <v>0</v>
      </c>
      <c r="F32" s="3035"/>
      <c r="G32" s="3036"/>
      <c r="H32" s="3035"/>
      <c r="I32" s="3035"/>
      <c r="J32" s="3035"/>
      <c r="K32" s="3035"/>
      <c r="L32" s="3037"/>
      <c r="M32" s="3038"/>
      <c r="N32" s="3038"/>
      <c r="O32" s="3039"/>
      <c r="P32" s="3039"/>
      <c r="Q32" s="2952"/>
      <c r="T32" s="2947">
        <f>B32</f>
        <v>0</v>
      </c>
      <c r="V32" s="2960"/>
      <c r="W32" s="2960"/>
      <c r="AL32" s="2960"/>
      <c r="AM32" s="2960"/>
    </row>
    <row r="33" spans="1:42" ht="15" customHeight="1">
      <c r="A33" s="2948"/>
      <c r="B33" s="3034">
        <v>50</v>
      </c>
      <c r="C33" s="2993"/>
      <c r="D33" s="3040" t="s">
        <v>309</v>
      </c>
      <c r="E33" s="3034">
        <v>5</v>
      </c>
      <c r="F33" s="3035">
        <v>5</v>
      </c>
      <c r="G33" s="3041">
        <f>F33/(B33-B32)</f>
        <v>0.1</v>
      </c>
      <c r="H33" s="3035"/>
      <c r="I33" s="3035"/>
      <c r="J33" s="3035"/>
      <c r="K33" s="3042"/>
      <c r="L33" s="3043"/>
      <c r="M33" s="3038"/>
      <c r="N33" s="3038"/>
      <c r="O33" s="3039"/>
      <c r="P33" s="3039"/>
      <c r="Q33" s="2952"/>
      <c r="T33" s="2947">
        <f>B33</f>
        <v>50</v>
      </c>
      <c r="U33" s="3044">
        <f>G33</f>
        <v>0.1</v>
      </c>
      <c r="V33" s="2960"/>
      <c r="W33" s="2960"/>
      <c r="AL33" s="2960"/>
      <c r="AM33" s="2960"/>
    </row>
    <row r="34" spans="1:42" ht="15" customHeight="1">
      <c r="A34" s="2948"/>
      <c r="B34" s="3034">
        <v>50</v>
      </c>
      <c r="C34" s="2993"/>
      <c r="D34" s="3034">
        <v>40</v>
      </c>
      <c r="E34" s="3034">
        <v>40</v>
      </c>
      <c r="F34" s="3035"/>
      <c r="G34" s="3041"/>
      <c r="H34" s="3034">
        <v>26.3</v>
      </c>
      <c r="I34" s="3034">
        <v>28.2</v>
      </c>
      <c r="J34" s="3045">
        <f>ABS(H34-I34)</f>
        <v>1.8999999999999986</v>
      </c>
      <c r="K34" s="3042"/>
      <c r="L34" s="3043"/>
      <c r="M34" s="3038"/>
      <c r="N34" s="3038"/>
      <c r="O34" s="3039"/>
      <c r="P34" s="3039"/>
      <c r="Q34" s="2952"/>
      <c r="T34" s="2947">
        <f>B35</f>
        <v>100</v>
      </c>
      <c r="U34" s="3044">
        <f>G35</f>
        <v>0.46</v>
      </c>
      <c r="V34" s="2960"/>
      <c r="W34" s="2960"/>
      <c r="AL34" s="2960"/>
      <c r="AM34" s="2960"/>
    </row>
    <row r="35" spans="1:42" ht="15" customHeight="1">
      <c r="A35" s="2948"/>
      <c r="B35" s="3034">
        <v>100</v>
      </c>
      <c r="C35" s="2993"/>
      <c r="D35" s="3040" t="s">
        <v>309</v>
      </c>
      <c r="E35" s="3034">
        <v>63</v>
      </c>
      <c r="F35" s="3035">
        <v>23</v>
      </c>
      <c r="G35" s="3041">
        <f>F35/(B35-B34)</f>
        <v>0.46</v>
      </c>
      <c r="H35" s="3040"/>
      <c r="I35" s="3040"/>
      <c r="J35" s="3045"/>
      <c r="K35" s="3042"/>
      <c r="L35" s="3043"/>
      <c r="M35" s="3038"/>
      <c r="N35" s="3038"/>
      <c r="O35" s="3039"/>
      <c r="P35" s="3039"/>
      <c r="Q35" s="2952"/>
      <c r="T35" s="2947">
        <f>B37</f>
        <v>150</v>
      </c>
      <c r="U35" s="3044">
        <f>G37</f>
        <v>0.72</v>
      </c>
      <c r="V35" s="2960"/>
      <c r="W35" s="2960"/>
      <c r="AL35" s="2960"/>
      <c r="AM35" s="2960"/>
    </row>
    <row r="36" spans="1:42" ht="15" customHeight="1">
      <c r="A36" s="2948"/>
      <c r="B36" s="3034">
        <v>100</v>
      </c>
      <c r="C36" s="2993"/>
      <c r="D36" s="3034">
        <v>90</v>
      </c>
      <c r="E36" s="3034">
        <v>90</v>
      </c>
      <c r="F36" s="3035"/>
      <c r="G36" s="3041"/>
      <c r="H36" s="3046">
        <f>I34</f>
        <v>28.2</v>
      </c>
      <c r="I36" s="3034">
        <v>29.7</v>
      </c>
      <c r="J36" s="3045">
        <f>ABS(H36-I36)</f>
        <v>1.5</v>
      </c>
      <c r="K36" s="3042"/>
      <c r="L36" s="3043"/>
      <c r="M36" s="3038"/>
      <c r="N36" s="3038"/>
      <c r="O36" s="3039"/>
      <c r="P36" s="3039"/>
      <c r="Q36" s="2952"/>
      <c r="T36" s="2947">
        <f>B39</f>
        <v>200</v>
      </c>
      <c r="U36" s="3044">
        <f>G39</f>
        <v>0.9</v>
      </c>
      <c r="V36" s="2960"/>
      <c r="W36" s="2960"/>
      <c r="AL36" s="2960"/>
      <c r="AM36" s="2960"/>
    </row>
    <row r="37" spans="1:42" ht="15" customHeight="1">
      <c r="A37" s="2948"/>
      <c r="B37" s="3034">
        <v>150</v>
      </c>
      <c r="C37" s="2993"/>
      <c r="D37" s="3040" t="s">
        <v>309</v>
      </c>
      <c r="E37" s="3034">
        <v>126</v>
      </c>
      <c r="F37" s="3035">
        <v>36</v>
      </c>
      <c r="G37" s="3041">
        <f>F37/(B37-B36)</f>
        <v>0.72</v>
      </c>
      <c r="H37" s="3046"/>
      <c r="I37" s="3040"/>
      <c r="J37" s="3045"/>
      <c r="K37" s="3042"/>
      <c r="L37" s="3043"/>
      <c r="M37" s="3038"/>
      <c r="N37" s="3038"/>
      <c r="O37" s="3039"/>
      <c r="P37" s="3039"/>
      <c r="Q37" s="2952"/>
      <c r="T37" s="2947">
        <f>B41</f>
        <v>240</v>
      </c>
      <c r="U37" s="3044">
        <f>G41</f>
        <v>0.97499999999999998</v>
      </c>
      <c r="V37" s="2960"/>
      <c r="W37" s="2960"/>
      <c r="AL37" s="2960"/>
      <c r="AM37" s="2960"/>
    </row>
    <row r="38" spans="1:42" ht="15" customHeight="1">
      <c r="A38" s="2948"/>
      <c r="B38" s="3034">
        <v>150</v>
      </c>
      <c r="C38" s="2993"/>
      <c r="D38" s="3034">
        <v>140</v>
      </c>
      <c r="E38" s="3034">
        <v>140</v>
      </c>
      <c r="F38" s="3035"/>
      <c r="G38" s="3041"/>
      <c r="H38" s="3046">
        <f>I36</f>
        <v>29.7</v>
      </c>
      <c r="I38" s="3034">
        <v>30.9</v>
      </c>
      <c r="J38" s="3045">
        <f>ABS(H38-I38)</f>
        <v>1.1999999999999993</v>
      </c>
      <c r="K38" s="3047"/>
      <c r="L38" s="3043"/>
      <c r="M38" s="3038"/>
      <c r="N38" s="3038"/>
      <c r="O38" s="3039"/>
      <c r="P38" s="3039"/>
      <c r="Q38" s="2952"/>
      <c r="T38" s="2947">
        <f>B43</f>
        <v>0</v>
      </c>
      <c r="U38" s="3044">
        <f>G43</f>
        <v>0</v>
      </c>
      <c r="V38" s="2960"/>
      <c r="W38" s="2960"/>
      <c r="AL38" s="2960"/>
      <c r="AM38" s="2960"/>
    </row>
    <row r="39" spans="1:42" ht="15" customHeight="1">
      <c r="A39" s="2948"/>
      <c r="B39" s="3034">
        <v>200</v>
      </c>
      <c r="C39" s="2993"/>
      <c r="D39" s="3040" t="s">
        <v>309</v>
      </c>
      <c r="E39" s="3034">
        <v>185</v>
      </c>
      <c r="F39" s="3035">
        <v>45</v>
      </c>
      <c r="G39" s="3041">
        <f>F39/(B39-B38)</f>
        <v>0.9</v>
      </c>
      <c r="H39" s="3046"/>
      <c r="I39" s="3040"/>
      <c r="J39" s="3045"/>
      <c r="K39" s="3047"/>
      <c r="L39" s="3048"/>
      <c r="M39" s="3038"/>
      <c r="N39" s="3038"/>
      <c r="O39" s="3039"/>
      <c r="P39" s="3039"/>
      <c r="Q39" s="2952"/>
      <c r="V39" s="2960"/>
      <c r="W39" s="2960"/>
      <c r="AL39" s="2960"/>
      <c r="AM39" s="2960"/>
    </row>
    <row r="40" spans="1:42" ht="15" customHeight="1">
      <c r="A40" s="2948"/>
      <c r="B40" s="3034">
        <v>200</v>
      </c>
      <c r="C40" s="2993"/>
      <c r="D40" s="3034">
        <v>190</v>
      </c>
      <c r="E40" s="3034">
        <v>190</v>
      </c>
      <c r="F40" s="3035"/>
      <c r="G40" s="3041"/>
      <c r="H40" s="3046">
        <f>I38</f>
        <v>30.9</v>
      </c>
      <c r="I40" s="3034">
        <v>31.8</v>
      </c>
      <c r="J40" s="3045">
        <f>ABS(H40-I40)</f>
        <v>0.90000000000000213</v>
      </c>
      <c r="K40" s="3047"/>
      <c r="L40" s="3048"/>
      <c r="M40" s="3049"/>
      <c r="N40" s="2984"/>
      <c r="O40" s="3039"/>
      <c r="P40" s="3039"/>
      <c r="Q40" s="2952"/>
      <c r="V40" s="2960"/>
      <c r="W40" s="2960"/>
      <c r="AL40" s="2960"/>
      <c r="AM40" s="2960"/>
    </row>
    <row r="41" spans="1:42" ht="15" customHeight="1">
      <c r="A41" s="2948"/>
      <c r="B41" s="3034">
        <v>240</v>
      </c>
      <c r="C41" s="2993"/>
      <c r="D41" s="3040"/>
      <c r="E41" s="3034">
        <v>229</v>
      </c>
      <c r="F41" s="3035">
        <v>39</v>
      </c>
      <c r="G41" s="3041">
        <f>F41/(B41-B40)</f>
        <v>0.97499999999999998</v>
      </c>
      <c r="H41" s="3050"/>
      <c r="I41" s="3050"/>
      <c r="J41" s="3036"/>
      <c r="K41" s="3047"/>
      <c r="L41" s="3048"/>
      <c r="M41" s="3049"/>
      <c r="N41" s="2984"/>
      <c r="O41" s="3039"/>
      <c r="P41" s="3039"/>
      <c r="Q41" s="2952"/>
      <c r="R41" s="3051"/>
      <c r="V41" s="2960"/>
      <c r="W41" s="2960"/>
      <c r="AL41" s="2960"/>
      <c r="AM41" s="2960"/>
    </row>
    <row r="42" spans="1:42" ht="15" customHeight="1">
      <c r="A42" s="2948"/>
      <c r="B42" s="3034"/>
      <c r="C42" s="2993"/>
      <c r="D42" s="3040"/>
      <c r="E42" s="3034"/>
      <c r="F42" s="3035"/>
      <c r="G42" s="3041"/>
      <c r="H42" s="3050"/>
      <c r="I42" s="3050"/>
      <c r="J42" s="3036"/>
      <c r="K42" s="3047"/>
      <c r="L42" s="3047"/>
      <c r="M42" s="2984"/>
      <c r="N42" s="2984"/>
      <c r="O42" s="3039"/>
      <c r="P42" s="3039"/>
      <c r="Q42" s="2952"/>
    </row>
    <row r="43" spans="1:42" ht="15" customHeight="1">
      <c r="A43" s="2948"/>
      <c r="B43" s="3034"/>
      <c r="C43" s="2993"/>
      <c r="D43" s="3040"/>
      <c r="E43" s="3034"/>
      <c r="F43" s="3035"/>
      <c r="G43" s="3041"/>
      <c r="H43" s="3050"/>
      <c r="I43" s="3050"/>
      <c r="J43" s="3036"/>
      <c r="K43" s="3047"/>
      <c r="L43" s="3047"/>
      <c r="M43" s="2984"/>
      <c r="N43" s="2984"/>
      <c r="O43" s="3039"/>
      <c r="P43" s="3039"/>
      <c r="Q43" s="2952"/>
    </row>
    <row r="44" spans="1:42" ht="15" customHeight="1">
      <c r="A44" s="2948"/>
      <c r="B44" s="3052"/>
      <c r="C44" s="2993"/>
      <c r="D44" s="3053"/>
      <c r="E44" s="3053"/>
      <c r="F44" s="3035"/>
      <c r="G44" s="3041"/>
      <c r="H44" s="3047"/>
      <c r="I44" s="3047"/>
      <c r="J44" s="3054"/>
      <c r="K44" s="3047"/>
      <c r="L44" s="3047"/>
      <c r="M44" s="2984"/>
      <c r="N44" s="2984"/>
      <c r="O44" s="3039"/>
      <c r="P44" s="3039"/>
      <c r="Q44" s="2952"/>
    </row>
    <row r="45" spans="1:42" ht="15" customHeight="1">
      <c r="A45" s="2948"/>
      <c r="B45" s="3055"/>
      <c r="C45" s="2993"/>
      <c r="D45" s="3047"/>
      <c r="E45" s="3047"/>
      <c r="F45" s="3039"/>
      <c r="G45" s="3041"/>
      <c r="H45" s="3047"/>
      <c r="I45" s="3047"/>
      <c r="J45" s="3054"/>
      <c r="K45" s="3047"/>
      <c r="L45" s="3047"/>
      <c r="M45" s="2984"/>
      <c r="N45" s="2984"/>
      <c r="O45" s="3039"/>
      <c r="P45" s="3039"/>
      <c r="Q45" s="2952"/>
    </row>
    <row r="46" spans="1:42" ht="15" customHeight="1">
      <c r="A46" s="2948"/>
      <c r="B46" s="3055"/>
      <c r="C46" s="2993"/>
      <c r="D46" s="3047"/>
      <c r="E46" s="3047"/>
      <c r="F46" s="3039"/>
      <c r="G46" s="3039"/>
      <c r="H46" s="3047"/>
      <c r="I46" s="3047"/>
      <c r="J46" s="3054"/>
      <c r="K46" s="3047"/>
      <c r="L46" s="3047"/>
      <c r="M46" s="2984"/>
      <c r="N46" s="2984"/>
      <c r="O46" s="3039"/>
      <c r="P46" s="3039"/>
      <c r="Q46" s="2952"/>
    </row>
    <row r="47" spans="1:42" ht="15" customHeight="1">
      <c r="A47" s="2959"/>
      <c r="B47" s="3056"/>
      <c r="C47" s="3057"/>
      <c r="D47" s="3048"/>
      <c r="E47" s="3048"/>
      <c r="F47" s="3058"/>
      <c r="G47" s="3058"/>
      <c r="H47" s="3048"/>
      <c r="I47" s="3048"/>
      <c r="J47" s="3037"/>
      <c r="K47" s="3048"/>
      <c r="L47" s="3048"/>
      <c r="M47" s="3049"/>
      <c r="N47" s="3049"/>
      <c r="O47" s="3058"/>
      <c r="P47" s="3058"/>
      <c r="Q47" s="2952"/>
      <c r="V47" s="2960"/>
      <c r="W47" s="2960"/>
      <c r="X47" s="2960"/>
      <c r="Y47" s="2960"/>
      <c r="Z47" s="2960"/>
      <c r="AB47" s="2961"/>
      <c r="AC47" s="2960"/>
      <c r="AD47" s="2960"/>
      <c r="AE47" s="2960"/>
      <c r="AF47" s="2960"/>
      <c r="AG47" s="2960"/>
      <c r="AH47" s="2960"/>
      <c r="AI47" s="2960"/>
      <c r="AJ47" s="2960"/>
      <c r="AK47" s="2960"/>
      <c r="AL47" s="2960"/>
      <c r="AM47" s="2960"/>
      <c r="AN47" s="2960"/>
      <c r="AO47" s="2960"/>
      <c r="AP47" s="2960"/>
    </row>
    <row r="48" spans="1:42" ht="15" customHeight="1">
      <c r="A48" s="2948"/>
      <c r="B48" s="4859"/>
      <c r="C48" s="4860"/>
      <c r="D48" s="4860"/>
      <c r="E48" s="4860"/>
      <c r="F48" s="4860"/>
      <c r="G48" s="4860"/>
      <c r="H48" s="4860"/>
      <c r="I48" s="4861"/>
      <c r="J48" s="3059"/>
      <c r="K48" s="3060"/>
      <c r="L48" s="3061"/>
      <c r="M48" s="3062"/>
      <c r="N48" s="3062"/>
      <c r="O48" s="3061"/>
      <c r="P48" s="3063"/>
      <c r="Q48" s="2952"/>
      <c r="V48" s="3064"/>
      <c r="W48" s="3064"/>
      <c r="X48" s="3064"/>
      <c r="Y48" s="3064"/>
      <c r="AE48" s="2945"/>
      <c r="AF48" s="2945"/>
      <c r="AI48" s="2978"/>
      <c r="AJ48" s="3065"/>
      <c r="AK48" s="3064"/>
      <c r="AL48" s="3064"/>
      <c r="AM48" s="3064"/>
      <c r="AN48" s="3064"/>
      <c r="AO48" s="3064"/>
    </row>
    <row r="49" spans="1:41" ht="15" customHeight="1">
      <c r="A49" s="2948"/>
      <c r="D49" s="2945"/>
      <c r="E49" s="2945"/>
      <c r="F49" s="2945"/>
      <c r="I49" s="2978"/>
      <c r="J49" s="3066"/>
      <c r="K49" s="3064"/>
      <c r="L49" s="3064"/>
      <c r="M49" s="3064"/>
      <c r="N49" s="3064"/>
      <c r="O49" s="3064"/>
      <c r="Q49" s="2952"/>
      <c r="V49" s="3064"/>
      <c r="W49" s="3064"/>
      <c r="X49" s="3064"/>
      <c r="Y49" s="3064"/>
      <c r="AE49" s="2945"/>
      <c r="AF49" s="2945"/>
      <c r="AI49" s="2978"/>
      <c r="AJ49" s="3066"/>
      <c r="AK49" s="3064"/>
      <c r="AL49" s="3064"/>
      <c r="AM49" s="3064"/>
      <c r="AN49" s="3064"/>
      <c r="AO49" s="3064"/>
    </row>
    <row r="50" spans="1:41" ht="15" customHeight="1">
      <c r="A50" s="2948"/>
      <c r="D50" s="2945"/>
      <c r="E50" s="2945"/>
      <c r="F50" s="2945"/>
      <c r="I50" s="2978"/>
      <c r="J50" s="3066"/>
      <c r="K50" s="3064"/>
      <c r="L50" s="3064"/>
      <c r="M50" s="3064"/>
      <c r="N50" s="3064"/>
      <c r="O50" s="3064"/>
      <c r="Q50" s="2952"/>
      <c r="V50" s="3064"/>
      <c r="W50" s="3064"/>
      <c r="X50" s="3064"/>
      <c r="Y50" s="3064"/>
      <c r="AE50" s="2945"/>
      <c r="AF50" s="2945"/>
      <c r="AI50" s="2978"/>
      <c r="AJ50" s="3066"/>
      <c r="AK50" s="3064"/>
      <c r="AL50" s="3064"/>
      <c r="AM50" s="3064"/>
      <c r="AN50" s="3064"/>
      <c r="AO50" s="3064"/>
    </row>
    <row r="51" spans="1:41" ht="15" customHeight="1">
      <c r="A51" s="2948"/>
      <c r="D51" s="2945"/>
      <c r="E51" s="2945"/>
      <c r="F51" s="2945"/>
      <c r="I51" s="2978"/>
      <c r="J51" s="3066"/>
      <c r="K51" s="3064"/>
      <c r="L51" s="3064"/>
      <c r="M51" s="3064"/>
      <c r="N51" s="3064"/>
      <c r="O51" s="3064"/>
      <c r="Q51" s="2952"/>
      <c r="V51" s="3064"/>
      <c r="W51" s="3064"/>
      <c r="X51" s="3064"/>
      <c r="Y51" s="3064"/>
      <c r="AE51" s="2945"/>
      <c r="AF51" s="2945"/>
      <c r="AI51" s="2978"/>
      <c r="AJ51" s="3066"/>
      <c r="AK51" s="3064"/>
      <c r="AL51" s="3064"/>
      <c r="AM51" s="3064"/>
      <c r="AN51" s="3064"/>
      <c r="AO51" s="3064"/>
    </row>
    <row r="52" spans="1:41" ht="15" customHeight="1">
      <c r="A52" s="2948"/>
      <c r="D52" s="2945"/>
      <c r="E52" s="2945"/>
      <c r="F52" s="2945"/>
      <c r="I52" s="2978"/>
      <c r="J52" s="3066"/>
      <c r="K52" s="3064"/>
      <c r="L52" s="3064"/>
      <c r="M52" s="3064"/>
      <c r="N52" s="3064"/>
      <c r="O52" s="3064"/>
      <c r="Q52" s="2952"/>
      <c r="V52" s="3064"/>
      <c r="W52" s="3064"/>
      <c r="X52" s="3064"/>
      <c r="Y52" s="3064"/>
      <c r="AE52" s="2945"/>
      <c r="AF52" s="2945"/>
      <c r="AI52" s="2978"/>
      <c r="AJ52" s="3066"/>
      <c r="AK52" s="3064"/>
      <c r="AL52" s="3064"/>
      <c r="AM52" s="3064"/>
      <c r="AN52" s="3064"/>
      <c r="AO52" s="3064"/>
    </row>
    <row r="53" spans="1:41" ht="15" customHeight="1">
      <c r="A53" s="2948"/>
      <c r="D53" s="2945"/>
      <c r="E53" s="2945"/>
      <c r="F53" s="2945"/>
      <c r="I53" s="2978"/>
      <c r="J53" s="3066"/>
      <c r="K53" s="3064"/>
      <c r="L53" s="3064"/>
      <c r="M53" s="3064"/>
      <c r="N53" s="3064"/>
      <c r="O53" s="3064"/>
      <c r="Q53" s="2952"/>
      <c r="V53" s="3064"/>
      <c r="W53" s="3064"/>
      <c r="X53" s="3064"/>
      <c r="Y53" s="3064"/>
      <c r="AE53" s="2945"/>
      <c r="AF53" s="2945"/>
      <c r="AI53" s="2978"/>
      <c r="AJ53" s="3066"/>
      <c r="AK53" s="3064"/>
      <c r="AL53" s="3064"/>
      <c r="AM53" s="3064"/>
      <c r="AN53" s="3064"/>
      <c r="AO53" s="3064"/>
    </row>
    <row r="54" spans="1:41" ht="15" customHeight="1">
      <c r="A54" s="2948"/>
      <c r="D54" s="2945"/>
      <c r="E54" s="2945"/>
      <c r="F54" s="2945"/>
      <c r="I54" s="2978"/>
      <c r="J54" s="3066"/>
      <c r="K54" s="3064"/>
      <c r="L54" s="3064"/>
      <c r="M54" s="3064"/>
      <c r="N54" s="3064"/>
      <c r="O54" s="3064"/>
      <c r="Q54" s="2952"/>
      <c r="V54" s="3064"/>
      <c r="W54" s="3064"/>
      <c r="X54" s="3064"/>
      <c r="Y54" s="3064"/>
      <c r="AE54" s="2945"/>
      <c r="AF54" s="2945"/>
      <c r="AI54" s="2978"/>
      <c r="AJ54" s="3066"/>
      <c r="AK54" s="3064"/>
      <c r="AL54" s="3064"/>
      <c r="AM54" s="3064"/>
      <c r="AN54" s="3064"/>
      <c r="AO54" s="3064"/>
    </row>
    <row r="55" spans="1:41" ht="15" customHeight="1">
      <c r="A55" s="2948"/>
      <c r="D55" s="2945"/>
      <c r="E55" s="2945"/>
      <c r="F55" s="2945"/>
      <c r="I55" s="2978"/>
      <c r="J55" s="3066"/>
      <c r="K55" s="3064"/>
      <c r="L55" s="3064"/>
      <c r="M55" s="3064"/>
      <c r="N55" s="3064"/>
      <c r="O55" s="3064"/>
      <c r="Q55" s="2952"/>
      <c r="V55" s="3064"/>
      <c r="W55" s="3064"/>
      <c r="X55" s="3064"/>
      <c r="Y55" s="3064"/>
      <c r="AE55" s="2945"/>
      <c r="AF55" s="2945"/>
      <c r="AI55" s="2978"/>
      <c r="AJ55" s="3066"/>
      <c r="AK55" s="3064"/>
      <c r="AL55" s="3064"/>
      <c r="AM55" s="3064"/>
      <c r="AN55" s="3064"/>
      <c r="AO55" s="3064"/>
    </row>
    <row r="56" spans="1:41" ht="15" customHeight="1">
      <c r="A56" s="2948"/>
      <c r="D56" s="2945"/>
      <c r="E56" s="2945"/>
      <c r="F56" s="2945"/>
      <c r="I56" s="2978"/>
      <c r="J56" s="3066"/>
      <c r="K56" s="3064"/>
      <c r="L56" s="3064"/>
      <c r="M56" s="3064"/>
      <c r="N56" s="3064"/>
      <c r="O56" s="3064"/>
      <c r="Q56" s="2952"/>
      <c r="V56" s="3064"/>
      <c r="W56" s="3064"/>
      <c r="X56" s="3064"/>
      <c r="Y56" s="3064"/>
      <c r="AE56" s="2945"/>
      <c r="AF56" s="2945"/>
      <c r="AI56" s="2978"/>
      <c r="AJ56" s="3066"/>
      <c r="AK56" s="3064"/>
      <c r="AL56" s="3064"/>
      <c r="AM56" s="3064"/>
      <c r="AN56" s="3064"/>
      <c r="AO56" s="3064"/>
    </row>
    <row r="57" spans="1:41" ht="15" customHeight="1">
      <c r="A57" s="2948"/>
      <c r="D57" s="2945"/>
      <c r="E57" s="2945"/>
      <c r="F57" s="2945"/>
      <c r="I57" s="2978"/>
      <c r="J57" s="3066"/>
      <c r="K57" s="3064"/>
      <c r="L57" s="3064"/>
      <c r="M57" s="3064"/>
      <c r="N57" s="3064"/>
      <c r="O57" s="3064"/>
      <c r="Q57" s="2952"/>
      <c r="V57" s="3064"/>
      <c r="W57" s="3064"/>
      <c r="X57" s="3064"/>
      <c r="Y57" s="3064"/>
      <c r="AE57" s="2945"/>
      <c r="AF57" s="2945"/>
      <c r="AI57" s="2978"/>
      <c r="AJ57" s="3066"/>
      <c r="AK57" s="3064"/>
      <c r="AL57" s="3064"/>
      <c r="AM57" s="3064"/>
      <c r="AN57" s="3064"/>
      <c r="AO57" s="3064"/>
    </row>
    <row r="58" spans="1:41" ht="15" customHeight="1">
      <c r="A58" s="2948"/>
      <c r="D58" s="2945"/>
      <c r="E58" s="2945"/>
      <c r="F58" s="2945"/>
      <c r="I58" s="2978"/>
      <c r="J58" s="3066"/>
      <c r="K58" s="3064"/>
      <c r="L58" s="3064"/>
      <c r="M58" s="3064"/>
      <c r="N58" s="3064"/>
      <c r="O58" s="3064"/>
      <c r="Q58" s="2952"/>
      <c r="V58" s="3064"/>
      <c r="W58" s="3064"/>
      <c r="X58" s="3064"/>
      <c r="Y58" s="3064"/>
      <c r="AE58" s="2945"/>
      <c r="AF58" s="2945"/>
      <c r="AI58" s="2978"/>
      <c r="AJ58" s="3066"/>
      <c r="AK58" s="3064"/>
      <c r="AL58" s="3064"/>
      <c r="AM58" s="3064"/>
      <c r="AN58" s="3064"/>
      <c r="AO58" s="3064"/>
    </row>
    <row r="59" spans="1:41" ht="15" customHeight="1">
      <c r="A59" s="2948"/>
      <c r="D59" s="2945"/>
      <c r="E59" s="2945"/>
      <c r="F59" s="2945"/>
      <c r="I59" s="2978"/>
      <c r="J59" s="3066"/>
      <c r="K59" s="3064"/>
      <c r="L59" s="3064"/>
      <c r="M59" s="3064"/>
      <c r="N59" s="3064"/>
      <c r="O59" s="3064"/>
      <c r="Q59" s="2952"/>
      <c r="V59" s="3064"/>
      <c r="W59" s="3064"/>
      <c r="X59" s="3064"/>
      <c r="Y59" s="3064"/>
      <c r="AE59" s="2945"/>
      <c r="AF59" s="2945"/>
      <c r="AI59" s="2978"/>
      <c r="AJ59" s="3066"/>
      <c r="AK59" s="3064"/>
      <c r="AL59" s="3064"/>
      <c r="AM59" s="3064"/>
      <c r="AN59" s="3064"/>
      <c r="AO59" s="3064"/>
    </row>
    <row r="60" spans="1:41" ht="15" customHeight="1">
      <c r="A60" s="2948"/>
      <c r="D60" s="2945"/>
      <c r="E60" s="2945"/>
      <c r="F60" s="2945"/>
      <c r="I60" s="2978"/>
      <c r="J60" s="3066"/>
      <c r="K60" s="3064"/>
      <c r="L60" s="3064"/>
      <c r="M60" s="3064"/>
      <c r="N60" s="3064"/>
      <c r="O60" s="3064"/>
      <c r="Q60" s="2952"/>
      <c r="V60" s="3064"/>
      <c r="W60" s="3064"/>
      <c r="X60" s="3064"/>
      <c r="Y60" s="3064"/>
      <c r="AE60" s="2945"/>
      <c r="AF60" s="2945"/>
      <c r="AI60" s="2978"/>
      <c r="AJ60" s="3066"/>
      <c r="AK60" s="3064"/>
      <c r="AL60" s="3064"/>
      <c r="AM60" s="3064"/>
      <c r="AN60" s="3064"/>
      <c r="AO60" s="3064"/>
    </row>
    <row r="61" spans="1:41" ht="15" customHeight="1">
      <c r="A61" s="2948"/>
      <c r="D61" s="2945"/>
      <c r="E61" s="2945"/>
      <c r="F61" s="2945"/>
      <c r="I61" s="2978"/>
      <c r="J61" s="3066"/>
      <c r="K61" s="3064"/>
      <c r="L61" s="3064"/>
      <c r="M61" s="3064"/>
      <c r="N61" s="3064"/>
      <c r="O61" s="3064"/>
      <c r="Q61" s="2952"/>
      <c r="V61" s="3064"/>
      <c r="W61" s="3064"/>
      <c r="X61" s="3064"/>
      <c r="Y61" s="3064"/>
      <c r="AE61" s="2945"/>
      <c r="AF61" s="2945"/>
      <c r="AI61" s="2978"/>
      <c r="AJ61" s="3066"/>
      <c r="AK61" s="3064"/>
      <c r="AL61" s="3064"/>
      <c r="AM61" s="3064"/>
      <c r="AN61" s="3064"/>
      <c r="AO61" s="3064"/>
    </row>
    <row r="62" spans="1:41" ht="15" customHeight="1">
      <c r="A62" s="2948"/>
      <c r="D62" s="2945"/>
      <c r="E62" s="2945"/>
      <c r="F62" s="2945"/>
      <c r="I62" s="2978"/>
      <c r="J62" s="3066"/>
      <c r="K62" s="3064"/>
      <c r="L62" s="3064"/>
      <c r="M62" s="3064"/>
      <c r="N62" s="3064"/>
      <c r="O62" s="3064"/>
      <c r="Q62" s="2952"/>
      <c r="V62" s="3064"/>
      <c r="W62" s="3064"/>
      <c r="X62" s="3064"/>
      <c r="Y62" s="3064"/>
      <c r="AE62" s="2945"/>
      <c r="AF62" s="2945"/>
      <c r="AI62" s="2978"/>
      <c r="AJ62" s="3066"/>
      <c r="AK62" s="3064"/>
      <c r="AL62" s="3064"/>
      <c r="AM62" s="3064"/>
      <c r="AN62" s="3064"/>
      <c r="AO62" s="3064"/>
    </row>
    <row r="63" spans="1:41" ht="15" customHeight="1">
      <c r="A63" s="2948"/>
      <c r="D63" s="2945"/>
      <c r="E63" s="2945"/>
      <c r="F63" s="2945"/>
      <c r="I63" s="2978"/>
      <c r="J63" s="3066"/>
      <c r="K63" s="3064"/>
      <c r="L63" s="3064"/>
      <c r="M63" s="3064"/>
      <c r="N63" s="3064"/>
      <c r="O63" s="3064"/>
      <c r="Q63" s="2952"/>
      <c r="V63" s="3064"/>
      <c r="W63" s="3064"/>
      <c r="X63" s="3064"/>
      <c r="Y63" s="3064"/>
      <c r="AE63" s="2945"/>
      <c r="AF63" s="2945"/>
      <c r="AI63" s="2978"/>
      <c r="AJ63" s="3066"/>
      <c r="AK63" s="3064"/>
      <c r="AL63" s="3064"/>
      <c r="AM63" s="3064"/>
      <c r="AN63" s="3064"/>
      <c r="AO63" s="3064"/>
    </row>
    <row r="64" spans="1:41" ht="15" customHeight="1">
      <c r="A64" s="2948"/>
      <c r="D64" s="2945"/>
      <c r="E64" s="2945"/>
      <c r="F64" s="2945"/>
      <c r="I64" s="2978"/>
      <c r="J64" s="3066"/>
      <c r="K64" s="3064"/>
      <c r="L64" s="3064"/>
      <c r="M64" s="3064"/>
      <c r="N64" s="3064"/>
      <c r="O64" s="3064"/>
      <c r="Q64" s="2952"/>
      <c r="V64" s="3064"/>
      <c r="W64" s="3064"/>
      <c r="X64" s="3064"/>
      <c r="Y64" s="3064"/>
      <c r="AE64" s="2945"/>
      <c r="AF64" s="2945"/>
      <c r="AI64" s="2978"/>
      <c r="AJ64" s="3066"/>
      <c r="AK64" s="3064"/>
      <c r="AL64" s="3064"/>
      <c r="AM64" s="3064"/>
      <c r="AN64" s="3064"/>
      <c r="AO64" s="3064"/>
    </row>
    <row r="65" spans="1:41" ht="15" customHeight="1">
      <c r="A65" s="2948"/>
      <c r="D65" s="2945"/>
      <c r="E65" s="2945"/>
      <c r="F65" s="2945"/>
      <c r="I65" s="2978"/>
      <c r="J65" s="3066"/>
      <c r="K65" s="3064"/>
      <c r="L65" s="3064"/>
      <c r="M65" s="3064"/>
      <c r="N65" s="3064"/>
      <c r="O65" s="3064"/>
      <c r="Q65" s="2952"/>
      <c r="V65" s="3064"/>
      <c r="W65" s="3064"/>
      <c r="X65" s="3064"/>
      <c r="Y65" s="3064"/>
      <c r="AE65" s="2945"/>
      <c r="AF65" s="2945"/>
      <c r="AI65" s="2978"/>
      <c r="AJ65" s="3066"/>
      <c r="AK65" s="3064"/>
      <c r="AL65" s="3064"/>
      <c r="AM65" s="3064"/>
      <c r="AN65" s="3064"/>
      <c r="AO65" s="3064"/>
    </row>
    <row r="66" spans="1:41" ht="15" customHeight="1">
      <c r="A66" s="2948"/>
      <c r="D66" s="2945"/>
      <c r="E66" s="2945"/>
      <c r="F66" s="2945"/>
      <c r="I66" s="2978"/>
      <c r="J66" s="3066"/>
      <c r="K66" s="3064"/>
      <c r="L66" s="3064"/>
      <c r="M66" s="3064"/>
      <c r="N66" s="3064"/>
      <c r="O66" s="3064"/>
      <c r="Q66" s="2952"/>
      <c r="V66" s="3064"/>
      <c r="W66" s="3064"/>
      <c r="X66" s="3064"/>
      <c r="Y66" s="3064"/>
      <c r="AE66" s="2945"/>
      <c r="AF66" s="2945"/>
      <c r="AI66" s="2978"/>
      <c r="AJ66" s="3066"/>
      <c r="AK66" s="3064"/>
      <c r="AL66" s="3064"/>
      <c r="AM66" s="3064"/>
      <c r="AN66" s="3064"/>
      <c r="AO66" s="3064"/>
    </row>
    <row r="67" spans="1:41" ht="15" customHeight="1">
      <c r="A67" s="2948"/>
      <c r="D67" s="2945"/>
      <c r="E67" s="2945"/>
      <c r="F67" s="2945"/>
      <c r="I67" s="2978"/>
      <c r="J67" s="3066"/>
      <c r="K67" s="3064"/>
      <c r="L67" s="3064"/>
      <c r="M67" s="3064"/>
      <c r="N67" s="3064"/>
      <c r="O67" s="3064"/>
      <c r="Q67" s="2952"/>
      <c r="V67" s="3064"/>
      <c r="W67" s="3064"/>
      <c r="X67" s="3064"/>
      <c r="Y67" s="3064"/>
      <c r="AE67" s="2945"/>
      <c r="AF67" s="2945"/>
      <c r="AI67" s="2978"/>
      <c r="AJ67" s="3066"/>
      <c r="AK67" s="3064"/>
      <c r="AL67" s="3064"/>
      <c r="AM67" s="3064"/>
      <c r="AN67" s="3064"/>
      <c r="AO67" s="3064"/>
    </row>
    <row r="68" spans="1:41" ht="15" customHeight="1">
      <c r="A68" s="2948"/>
      <c r="D68" s="2945"/>
      <c r="E68" s="2945"/>
      <c r="F68" s="2945"/>
      <c r="I68" s="2978"/>
      <c r="J68" s="3066"/>
      <c r="K68" s="3064"/>
      <c r="L68" s="3064"/>
      <c r="M68" s="3064"/>
      <c r="N68" s="3064"/>
      <c r="O68" s="3064"/>
      <c r="Q68" s="2952"/>
      <c r="V68" s="3064"/>
      <c r="W68" s="3064"/>
      <c r="X68" s="3064"/>
      <c r="Y68" s="3064"/>
      <c r="AE68" s="2945"/>
      <c r="AF68" s="2945"/>
      <c r="AI68" s="2978"/>
      <c r="AJ68" s="3066"/>
      <c r="AK68" s="3064"/>
      <c r="AL68" s="3064"/>
      <c r="AM68" s="3064"/>
      <c r="AN68" s="3064"/>
      <c r="AO68" s="3064"/>
    </row>
    <row r="69" spans="1:41" ht="15" customHeight="1">
      <c r="A69" s="2948"/>
      <c r="D69" s="2945"/>
      <c r="E69" s="2945"/>
      <c r="F69" s="2945"/>
      <c r="I69" s="2978"/>
      <c r="J69" s="3066"/>
      <c r="K69" s="3064"/>
      <c r="L69" s="3064"/>
      <c r="M69" s="3064"/>
      <c r="N69" s="3064"/>
      <c r="O69" s="3064"/>
      <c r="Q69" s="2952"/>
      <c r="V69" s="3064"/>
      <c r="W69" s="3064"/>
      <c r="X69" s="3064"/>
      <c r="Y69" s="3064"/>
      <c r="AE69" s="2945"/>
      <c r="AF69" s="2945"/>
      <c r="AI69" s="2978"/>
      <c r="AJ69" s="3066"/>
      <c r="AK69" s="3064"/>
      <c r="AL69" s="3064"/>
      <c r="AM69" s="3064"/>
      <c r="AN69" s="3064"/>
      <c r="AO69" s="3064"/>
    </row>
    <row r="70" spans="1:41" ht="15" customHeight="1">
      <c r="A70" s="2948"/>
      <c r="D70" s="2945"/>
      <c r="E70" s="2945"/>
      <c r="F70" s="2945"/>
      <c r="I70" s="2978"/>
      <c r="J70" s="3066"/>
      <c r="K70" s="3064"/>
      <c r="L70" s="3064"/>
      <c r="M70" s="3064"/>
      <c r="N70" s="3064"/>
      <c r="O70" s="3064"/>
      <c r="Q70" s="2952"/>
      <c r="V70" s="3064"/>
      <c r="W70" s="3064"/>
      <c r="X70" s="3064"/>
      <c r="Y70" s="3064"/>
      <c r="AE70" s="2945"/>
      <c r="AF70" s="2945"/>
      <c r="AI70" s="2978"/>
      <c r="AJ70" s="3066"/>
      <c r="AK70" s="3064"/>
      <c r="AL70" s="3064"/>
      <c r="AM70" s="3064"/>
      <c r="AN70" s="3064"/>
      <c r="AO70" s="3064"/>
    </row>
    <row r="71" spans="1:41" ht="15" customHeight="1">
      <c r="A71" s="2948"/>
      <c r="D71" s="2945"/>
      <c r="E71" s="2945"/>
      <c r="F71" s="2945"/>
      <c r="I71" s="2978"/>
      <c r="J71" s="3066"/>
      <c r="K71" s="3064"/>
      <c r="L71" s="3064"/>
      <c r="M71" s="3064"/>
      <c r="N71" s="3064"/>
      <c r="O71" s="3064"/>
      <c r="Q71" s="2952"/>
      <c r="V71" s="3064"/>
      <c r="W71" s="3064"/>
      <c r="X71" s="3064"/>
      <c r="Y71" s="3064"/>
      <c r="AE71" s="2945"/>
      <c r="AF71" s="2945"/>
      <c r="AI71" s="2978"/>
      <c r="AJ71" s="3066"/>
      <c r="AK71" s="3064"/>
      <c r="AL71" s="3064"/>
      <c r="AM71" s="3064"/>
      <c r="AN71" s="3064"/>
      <c r="AO71" s="3064"/>
    </row>
    <row r="72" spans="1:41" ht="15" customHeight="1">
      <c r="A72" s="2948"/>
      <c r="D72" s="2945"/>
      <c r="E72" s="2945"/>
      <c r="F72" s="2945"/>
      <c r="I72" s="2978"/>
      <c r="J72" s="3066"/>
      <c r="K72" s="3064"/>
      <c r="L72" s="3064"/>
      <c r="M72" s="3064"/>
      <c r="N72" s="3064"/>
      <c r="O72" s="3064"/>
      <c r="Q72" s="2952"/>
      <c r="V72" s="3064"/>
      <c r="W72" s="3064"/>
      <c r="X72" s="3064"/>
      <c r="Y72" s="3064"/>
      <c r="AE72" s="2945"/>
      <c r="AF72" s="2945"/>
      <c r="AI72" s="2978"/>
      <c r="AJ72" s="3066"/>
      <c r="AK72" s="3064"/>
      <c r="AL72" s="3064"/>
      <c r="AM72" s="3064"/>
      <c r="AN72" s="3064"/>
      <c r="AO72" s="3064"/>
    </row>
    <row r="73" spans="1:41" ht="15" customHeight="1">
      <c r="A73" s="2948"/>
      <c r="D73" s="2945"/>
      <c r="E73" s="2945"/>
      <c r="F73" s="2945"/>
      <c r="I73" s="2978"/>
      <c r="J73" s="3066"/>
      <c r="K73" s="3064"/>
      <c r="L73" s="3064"/>
      <c r="M73" s="3064"/>
      <c r="N73" s="3064"/>
      <c r="O73" s="3064"/>
      <c r="Q73" s="2952"/>
      <c r="V73" s="3064"/>
      <c r="W73" s="3064"/>
      <c r="X73" s="3064"/>
      <c r="Y73" s="3064"/>
      <c r="AE73" s="2945"/>
      <c r="AF73" s="2945"/>
      <c r="AI73" s="2978"/>
      <c r="AJ73" s="3066"/>
      <c r="AK73" s="3064"/>
      <c r="AL73" s="3064"/>
      <c r="AM73" s="3064"/>
      <c r="AN73" s="3064"/>
      <c r="AO73" s="3064"/>
    </row>
    <row r="74" spans="1:41" ht="15" customHeight="1">
      <c r="A74" s="2948"/>
      <c r="D74" s="2945"/>
      <c r="E74" s="2945"/>
      <c r="F74" s="2945"/>
      <c r="I74" s="2978"/>
      <c r="J74" s="3066"/>
      <c r="K74" s="3064"/>
      <c r="L74" s="3064"/>
      <c r="M74" s="3064"/>
      <c r="N74" s="3064"/>
      <c r="O74" s="3064"/>
      <c r="Q74" s="2952"/>
      <c r="V74" s="3064"/>
      <c r="W74" s="3064"/>
      <c r="X74" s="3064"/>
      <c r="Y74" s="3064"/>
      <c r="AE74" s="2945"/>
      <c r="AF74" s="2945"/>
      <c r="AI74" s="2978"/>
      <c r="AJ74" s="3066"/>
      <c r="AK74" s="3064"/>
      <c r="AL74" s="3064"/>
      <c r="AM74" s="3064"/>
      <c r="AN74" s="3064"/>
      <c r="AO74" s="3064"/>
    </row>
    <row r="75" spans="1:41" ht="15" customHeight="1">
      <c r="A75" s="2948"/>
      <c r="D75" s="2945"/>
      <c r="E75" s="2945"/>
      <c r="F75" s="2945"/>
      <c r="I75" s="2978"/>
      <c r="J75" s="3066"/>
      <c r="K75" s="3064"/>
      <c r="L75" s="3064"/>
      <c r="M75" s="3064"/>
      <c r="N75" s="3064"/>
      <c r="O75" s="3064"/>
      <c r="Q75" s="2952"/>
      <c r="V75" s="3064"/>
      <c r="W75" s="3064"/>
      <c r="X75" s="3064"/>
      <c r="Y75" s="3064"/>
      <c r="AE75" s="2945"/>
      <c r="AF75" s="2945"/>
      <c r="AI75" s="2978"/>
      <c r="AJ75" s="3066"/>
      <c r="AK75" s="3064"/>
      <c r="AL75" s="3064"/>
      <c r="AM75" s="3064"/>
      <c r="AN75" s="3064"/>
      <c r="AO75" s="3064"/>
    </row>
    <row r="76" spans="1:41" ht="15" customHeight="1">
      <c r="A76" s="2951"/>
      <c r="B76" s="2949"/>
      <c r="C76" s="2949"/>
      <c r="D76" s="3067"/>
      <c r="E76" s="3067"/>
      <c r="F76" s="3067"/>
      <c r="G76" s="2949"/>
      <c r="H76" s="2949"/>
      <c r="I76" s="3068"/>
      <c r="J76" s="3069"/>
      <c r="K76" s="3070"/>
      <c r="L76" s="3070"/>
      <c r="M76" s="3070"/>
      <c r="N76" s="3070"/>
      <c r="O76" s="3070"/>
      <c r="P76" s="2949"/>
      <c r="Q76" s="2969"/>
      <c r="V76" s="3064"/>
      <c r="W76" s="3064"/>
      <c r="X76" s="3064"/>
      <c r="Y76" s="3064"/>
      <c r="AE76" s="2945"/>
      <c r="AF76" s="2945"/>
      <c r="AI76" s="2978"/>
      <c r="AJ76" s="3066"/>
      <c r="AK76" s="3064"/>
      <c r="AL76" s="3064"/>
      <c r="AM76" s="3064"/>
      <c r="AN76" s="3064"/>
      <c r="AO76" s="3064"/>
    </row>
    <row r="77" spans="1:41" ht="15" customHeight="1">
      <c r="D77" s="2945"/>
      <c r="E77" s="2945"/>
      <c r="F77" s="2945"/>
      <c r="I77" s="2978"/>
      <c r="J77" s="3066"/>
      <c r="K77" s="3064"/>
      <c r="L77" s="3064"/>
      <c r="M77" s="3064"/>
      <c r="N77" s="3064"/>
      <c r="O77" s="3064"/>
      <c r="V77" s="3064"/>
      <c r="W77" s="3064"/>
      <c r="X77" s="3064"/>
      <c r="Y77" s="3064"/>
      <c r="AE77" s="2945"/>
      <c r="AF77" s="2945"/>
      <c r="AI77" s="2978"/>
      <c r="AJ77" s="3066"/>
      <c r="AK77" s="3064"/>
      <c r="AL77" s="3064"/>
      <c r="AM77" s="3064"/>
      <c r="AN77" s="3064"/>
      <c r="AO77" s="3064"/>
    </row>
    <row r="78" spans="1:41" ht="15" customHeight="1">
      <c r="D78" s="2945"/>
      <c r="E78" s="2945"/>
      <c r="F78" s="2945"/>
      <c r="I78" s="2978"/>
      <c r="J78" s="3066"/>
      <c r="K78" s="3064"/>
      <c r="L78" s="3064"/>
      <c r="M78" s="3064"/>
      <c r="N78" s="3064"/>
      <c r="O78" s="3064"/>
      <c r="V78" s="3064"/>
      <c r="W78" s="3064"/>
      <c r="X78" s="3064"/>
      <c r="Y78" s="3064"/>
      <c r="AE78" s="2945"/>
      <c r="AF78" s="2945"/>
      <c r="AI78" s="2978"/>
      <c r="AJ78" s="3066"/>
      <c r="AK78" s="3064"/>
      <c r="AL78" s="3064"/>
      <c r="AM78" s="3064"/>
      <c r="AN78" s="3064"/>
      <c r="AO78" s="3064"/>
    </row>
    <row r="79" spans="1:41" ht="15" customHeight="1">
      <c r="A79" s="2941"/>
      <c r="B79" s="2942"/>
      <c r="C79" s="2942"/>
      <c r="D79" s="2942"/>
      <c r="E79" s="2942"/>
      <c r="F79" s="2942"/>
      <c r="G79" s="2942"/>
      <c r="H79" s="2942"/>
      <c r="I79" s="3028" t="s">
        <v>206</v>
      </c>
      <c r="J79" s="3071">
        <f>J2</f>
        <v>0</v>
      </c>
      <c r="K79" s="3072"/>
      <c r="L79" s="2974"/>
      <c r="M79" s="2974"/>
      <c r="N79" s="2974"/>
      <c r="O79" s="2974"/>
      <c r="P79" s="2974"/>
      <c r="Q79" s="2975"/>
      <c r="T79" s="2946"/>
      <c r="AJ79" s="2946"/>
    </row>
    <row r="80" spans="1:41" ht="15" customHeight="1">
      <c r="A80" s="2948"/>
      <c r="I80" s="3039" t="s">
        <v>82</v>
      </c>
      <c r="J80" s="3073">
        <f>J3</f>
        <v>0</v>
      </c>
      <c r="K80" s="3074"/>
      <c r="L80" s="2984"/>
      <c r="M80" s="2984"/>
      <c r="N80" s="2984"/>
      <c r="O80" s="2984"/>
      <c r="P80" s="2984"/>
      <c r="Q80" s="2993"/>
      <c r="T80" s="2946"/>
      <c r="AJ80" s="2946"/>
    </row>
    <row r="81" spans="1:42" ht="15" customHeight="1">
      <c r="A81" s="2948"/>
      <c r="I81" s="3039" t="s">
        <v>77</v>
      </c>
      <c r="J81" s="4864">
        <f>J4</f>
        <v>0</v>
      </c>
      <c r="K81" s="4865"/>
      <c r="L81" s="2984"/>
      <c r="M81" s="2984"/>
      <c r="N81" s="2983" t="s">
        <v>76</v>
      </c>
      <c r="O81" s="2993"/>
      <c r="P81" s="3075">
        <f>P4</f>
        <v>0</v>
      </c>
      <c r="Q81" s="2993"/>
      <c r="T81" s="2953"/>
      <c r="Z81" s="2954"/>
      <c r="AJ81" s="2953"/>
      <c r="AP81" s="2954"/>
    </row>
    <row r="82" spans="1:42" ht="15" customHeight="1">
      <c r="A82" s="2951"/>
      <c r="B82" s="2949"/>
      <c r="C82" s="2949"/>
      <c r="D82" s="2949"/>
      <c r="E82" s="2949"/>
      <c r="F82" s="2949"/>
      <c r="G82" s="2949"/>
      <c r="H82" s="2969"/>
      <c r="I82" s="3063" t="s">
        <v>75</v>
      </c>
      <c r="J82" s="3076">
        <f>J5</f>
        <v>0</v>
      </c>
      <c r="K82" s="3077"/>
      <c r="L82" s="3003"/>
      <c r="M82" s="3003"/>
      <c r="N82" s="3063" t="s">
        <v>74</v>
      </c>
      <c r="O82" s="3078"/>
      <c r="P82" s="3079">
        <f>P5</f>
        <v>0</v>
      </c>
      <c r="Q82" s="3078"/>
      <c r="T82" s="2953"/>
      <c r="Z82" s="2953"/>
      <c r="AJ82" s="2953"/>
      <c r="AP82" s="2953"/>
    </row>
    <row r="83" spans="1:42" ht="15" customHeight="1">
      <c r="A83" s="3080"/>
      <c r="B83" s="2945"/>
      <c r="C83" s="2945"/>
      <c r="D83" s="2945"/>
      <c r="E83" s="2945"/>
      <c r="F83" s="2945"/>
      <c r="G83" s="2945"/>
      <c r="H83" s="2945"/>
      <c r="I83" s="2945"/>
      <c r="J83" s="2945"/>
      <c r="K83" s="2945"/>
      <c r="L83" s="2945"/>
      <c r="M83" s="2945"/>
      <c r="N83" s="2945"/>
      <c r="O83" s="2945"/>
      <c r="P83" s="2945"/>
      <c r="Q83" s="2952"/>
      <c r="T83" s="2945"/>
      <c r="U83" s="2945"/>
      <c r="V83" s="2945"/>
      <c r="W83" s="2945"/>
      <c r="X83" s="2945"/>
      <c r="Y83" s="2945"/>
      <c r="Z83" s="2945"/>
      <c r="AB83" s="2945"/>
      <c r="AC83" s="2945"/>
      <c r="AD83" s="2945"/>
      <c r="AE83" s="2945"/>
      <c r="AF83" s="2945"/>
      <c r="AG83" s="2945"/>
      <c r="AH83" s="2945"/>
      <c r="AI83" s="2945"/>
      <c r="AJ83" s="2945"/>
      <c r="AK83" s="2945"/>
      <c r="AL83" s="2945"/>
      <c r="AM83" s="2945"/>
      <c r="AN83" s="2945"/>
      <c r="AO83" s="2945"/>
      <c r="AP83" s="2945"/>
    </row>
    <row r="84" spans="1:42" ht="15" customHeight="1">
      <c r="A84" s="2959" t="s">
        <v>945</v>
      </c>
      <c r="B84" s="2960"/>
      <c r="C84" s="2960"/>
      <c r="D84" s="2960"/>
      <c r="E84" s="2960"/>
      <c r="F84" s="2960"/>
      <c r="G84" s="2961"/>
      <c r="H84" s="2961"/>
      <c r="I84" s="2960"/>
      <c r="J84" s="2960"/>
      <c r="K84" s="2960"/>
      <c r="L84" s="2960"/>
      <c r="M84" s="2960"/>
      <c r="N84" s="2960"/>
      <c r="O84" s="2960"/>
      <c r="P84" s="2962"/>
      <c r="Q84" s="2952"/>
      <c r="R84" s="2963"/>
      <c r="T84" s="2960"/>
      <c r="U84" s="2960"/>
      <c r="V84" s="2960"/>
      <c r="W84" s="2960"/>
      <c r="X84" s="2960"/>
      <c r="Y84" s="2960"/>
      <c r="Z84" s="2960"/>
      <c r="AB84" s="2961"/>
      <c r="AC84" s="2960"/>
      <c r="AD84" s="2960"/>
      <c r="AE84" s="2960"/>
      <c r="AF84" s="2960"/>
      <c r="AG84" s="2961"/>
      <c r="AH84" s="2961"/>
      <c r="AI84" s="2960"/>
      <c r="AJ84" s="2960"/>
      <c r="AK84" s="2960"/>
      <c r="AL84" s="2960"/>
      <c r="AM84" s="2960"/>
      <c r="AN84" s="2960"/>
      <c r="AO84" s="2960"/>
      <c r="AP84" s="2960"/>
    </row>
    <row r="85" spans="1:42" ht="15" customHeight="1">
      <c r="A85" s="2964"/>
      <c r="B85" s="2960"/>
      <c r="C85" s="2960"/>
      <c r="D85" s="2960"/>
      <c r="E85" s="2960"/>
      <c r="F85" s="2960"/>
      <c r="G85" s="2960"/>
      <c r="H85" s="2960"/>
      <c r="I85" s="2960"/>
      <c r="J85" s="2960"/>
      <c r="K85" s="2960"/>
      <c r="L85" s="2960"/>
      <c r="M85" s="2960"/>
      <c r="N85" s="2960"/>
      <c r="O85" s="2960"/>
      <c r="P85" s="2960"/>
      <c r="Q85" s="2952"/>
      <c r="Z85" s="2960"/>
      <c r="AB85" s="2965"/>
      <c r="AC85" s="2960"/>
      <c r="AD85" s="2960"/>
      <c r="AE85" s="2960"/>
      <c r="AF85" s="2960"/>
      <c r="AG85" s="2960"/>
      <c r="AH85" s="2960"/>
      <c r="AI85" s="2960"/>
      <c r="AJ85" s="2960"/>
      <c r="AK85" s="2960"/>
      <c r="AL85" s="2960"/>
      <c r="AM85" s="2960"/>
      <c r="AN85" s="2960"/>
      <c r="AO85" s="2960"/>
      <c r="AP85" s="2960"/>
    </row>
    <row r="86" spans="1:42" ht="15" customHeight="1">
      <c r="A86" s="2948"/>
      <c r="B86" s="2947" t="s">
        <v>208</v>
      </c>
      <c r="C86" s="2947" t="s">
        <v>27</v>
      </c>
      <c r="D86" s="3081">
        <f>D9</f>
        <v>0</v>
      </c>
      <c r="E86" s="2953"/>
      <c r="K86" s="2947" t="s">
        <v>944</v>
      </c>
      <c r="M86" s="2947" t="s">
        <v>27</v>
      </c>
      <c r="N86" s="2947">
        <f>N9</f>
        <v>0</v>
      </c>
      <c r="O86" s="2953"/>
      <c r="Q86" s="2952"/>
      <c r="AO86" s="2953"/>
    </row>
    <row r="87" spans="1:42" ht="15" customHeight="1">
      <c r="A87" s="2948"/>
      <c r="B87" s="2947" t="s">
        <v>943</v>
      </c>
      <c r="C87" s="2947" t="s">
        <v>27</v>
      </c>
      <c r="D87" s="3081">
        <f>D10</f>
        <v>0</v>
      </c>
      <c r="E87" s="2953"/>
      <c r="F87" s="2953"/>
      <c r="K87" s="2947" t="s">
        <v>942</v>
      </c>
      <c r="M87" s="2947" t="s">
        <v>27</v>
      </c>
      <c r="N87" s="3082">
        <f>N10</f>
        <v>0</v>
      </c>
      <c r="Q87" s="2952"/>
      <c r="AF87" s="2953"/>
    </row>
    <row r="88" spans="1:42" ht="15" customHeight="1">
      <c r="A88" s="2948"/>
      <c r="B88" s="2947" t="s">
        <v>210</v>
      </c>
      <c r="C88" s="2947" t="s">
        <v>27</v>
      </c>
      <c r="D88" s="3081">
        <f>D11</f>
        <v>0</v>
      </c>
      <c r="E88" s="2947" t="s">
        <v>68</v>
      </c>
      <c r="F88" s="2953"/>
      <c r="K88" s="2945" t="s">
        <v>941</v>
      </c>
      <c r="M88" s="2945" t="s">
        <v>27</v>
      </c>
      <c r="N88" s="2955"/>
      <c r="Q88" s="2952"/>
      <c r="AF88" s="2953"/>
      <c r="AK88" s="2945"/>
      <c r="AL88" s="2945"/>
      <c r="AM88" s="2945"/>
    </row>
    <row r="89" spans="1:42" ht="15" customHeight="1">
      <c r="A89" s="2948"/>
      <c r="L89" s="2960"/>
      <c r="M89" s="2960"/>
      <c r="Q89" s="2952"/>
      <c r="AL89" s="2960"/>
      <c r="AM89" s="2960"/>
    </row>
    <row r="90" spans="1:42" ht="15" customHeight="1">
      <c r="A90" s="2948"/>
      <c r="B90" s="2966" t="s">
        <v>940</v>
      </c>
      <c r="L90" s="2960"/>
      <c r="M90" s="2960"/>
      <c r="Q90" s="2952"/>
      <c r="AL90" s="2960"/>
      <c r="AM90" s="2960"/>
    </row>
    <row r="91" spans="1:42" ht="15" customHeight="1">
      <c r="A91" s="2948"/>
      <c r="B91" s="2967" t="s">
        <v>939</v>
      </c>
      <c r="C91" s="2943"/>
      <c r="D91" s="2943"/>
      <c r="E91" s="2943"/>
      <c r="F91" s="2950"/>
      <c r="H91" s="2941" t="s">
        <v>938</v>
      </c>
      <c r="I91" s="2942"/>
      <c r="J91" s="2942"/>
      <c r="K91" s="2942"/>
      <c r="L91" s="2944"/>
      <c r="M91" s="4836" t="s">
        <v>937</v>
      </c>
      <c r="N91" s="4837"/>
      <c r="O91" s="4838"/>
      <c r="Q91" s="2952"/>
      <c r="AL91" s="2960"/>
      <c r="AM91" s="2960"/>
    </row>
    <row r="92" spans="1:42" ht="15" customHeight="1">
      <c r="A92" s="2948"/>
      <c r="B92" s="4836" t="s">
        <v>936</v>
      </c>
      <c r="C92" s="4837"/>
      <c r="D92" s="4838"/>
      <c r="E92" s="4837" t="s">
        <v>935</v>
      </c>
      <c r="F92" s="4838"/>
      <c r="H92" s="2951"/>
      <c r="I92" s="2949"/>
      <c r="J92" s="2949"/>
      <c r="K92" s="2949"/>
      <c r="L92" s="2969"/>
      <c r="M92" s="4836" t="s">
        <v>934</v>
      </c>
      <c r="N92" s="4838"/>
      <c r="O92" s="2968" t="s">
        <v>933</v>
      </c>
      <c r="Q92" s="2952"/>
      <c r="R92" s="2966"/>
      <c r="S92" s="2966"/>
      <c r="AA92" s="2960"/>
      <c r="AB92" s="2960"/>
      <c r="AL92" s="2960"/>
      <c r="AM92" s="2960"/>
    </row>
    <row r="93" spans="1:42" ht="15" customHeight="1">
      <c r="A93" s="2948"/>
      <c r="B93" s="3083">
        <v>76.2</v>
      </c>
      <c r="C93" s="3084"/>
      <c r="D93" s="3085">
        <v>76.099999999999994</v>
      </c>
      <c r="E93" s="3086">
        <v>38.1</v>
      </c>
      <c r="F93" s="3087">
        <v>38.1</v>
      </c>
      <c r="H93" s="2973" t="s">
        <v>932</v>
      </c>
      <c r="I93" s="2974"/>
      <c r="J93" s="2974"/>
      <c r="K93" s="2974"/>
      <c r="L93" s="2975"/>
      <c r="M93" s="2973"/>
      <c r="N93" s="3085"/>
      <c r="O93" s="3085">
        <v>74</v>
      </c>
      <c r="P93" s="2977"/>
      <c r="Q93" s="2952"/>
      <c r="R93" s="2947"/>
      <c r="S93" s="2947"/>
      <c r="T93" s="2977"/>
      <c r="U93" s="2977"/>
      <c r="W93" s="2977"/>
      <c r="X93" s="2978"/>
      <c r="Y93" s="2979"/>
      <c r="AA93" s="2978"/>
      <c r="AB93" s="2978"/>
      <c r="AC93" s="2978"/>
      <c r="AL93" s="2960"/>
      <c r="AM93" s="2960"/>
    </row>
    <row r="94" spans="1:42" ht="15" customHeight="1">
      <c r="A94" s="2948"/>
      <c r="B94" s="3055">
        <v>76.3</v>
      </c>
      <c r="C94" s="3088"/>
      <c r="D94" s="3089">
        <v>76.3</v>
      </c>
      <c r="E94" s="3090">
        <v>38</v>
      </c>
      <c r="F94" s="3091">
        <v>37.9</v>
      </c>
      <c r="H94" s="2983" t="s">
        <v>931</v>
      </c>
      <c r="I94" s="2984"/>
      <c r="J94" s="2984"/>
      <c r="K94" s="2984"/>
      <c r="L94" s="2985" t="s">
        <v>414</v>
      </c>
      <c r="M94" s="2986"/>
      <c r="N94" s="3092">
        <v>109.31</v>
      </c>
      <c r="O94" s="3092">
        <v>102.75</v>
      </c>
      <c r="Q94" s="2952"/>
      <c r="R94" s="2947"/>
      <c r="S94" s="2947"/>
      <c r="T94" s="2945"/>
      <c r="U94" s="2977"/>
      <c r="W94" s="2977"/>
      <c r="X94" s="2978"/>
      <c r="Y94" s="2979"/>
      <c r="AA94" s="2963"/>
      <c r="AB94" s="2963"/>
      <c r="AC94" s="2961"/>
      <c r="AD94" s="2960"/>
      <c r="AL94" s="2960"/>
      <c r="AM94" s="2960"/>
    </row>
    <row r="95" spans="1:42" ht="15" customHeight="1">
      <c r="A95" s="2948"/>
      <c r="B95" s="3055">
        <v>76.2</v>
      </c>
      <c r="C95" s="3088"/>
      <c r="D95" s="3089">
        <v>76</v>
      </c>
      <c r="E95" s="3090">
        <v>38</v>
      </c>
      <c r="F95" s="3091">
        <v>38</v>
      </c>
      <c r="H95" s="2983" t="s">
        <v>930</v>
      </c>
      <c r="I95" s="2984"/>
      <c r="J95" s="2984"/>
      <c r="K95" s="2984"/>
      <c r="L95" s="2985" t="s">
        <v>414</v>
      </c>
      <c r="M95" s="2986"/>
      <c r="N95" s="3093">
        <v>91.45</v>
      </c>
      <c r="O95" s="3092">
        <v>91.45</v>
      </c>
      <c r="Q95" s="2952"/>
      <c r="T95" s="2978"/>
      <c r="U95" s="2979"/>
      <c r="V95" s="2945"/>
      <c r="X95" s="2988"/>
      <c r="Y95" s="2989"/>
      <c r="AA95" s="2990"/>
      <c r="AB95" s="2990"/>
      <c r="AC95" s="2991"/>
      <c r="AD95" s="2992"/>
      <c r="AL95" s="2960"/>
      <c r="AM95" s="2960"/>
    </row>
    <row r="96" spans="1:42" ht="15" customHeight="1">
      <c r="A96" s="2948"/>
      <c r="B96" s="2983" t="s">
        <v>929</v>
      </c>
      <c r="C96" s="2993"/>
      <c r="D96" s="3094">
        <v>76.2</v>
      </c>
      <c r="E96" s="2994" t="s">
        <v>928</v>
      </c>
      <c r="F96" s="2994">
        <f>+AVERAGE(E93:E95)</f>
        <v>38.033333333333331</v>
      </c>
      <c r="H96" s="2983" t="s">
        <v>927</v>
      </c>
      <c r="I96" s="2984"/>
      <c r="J96" s="2984"/>
      <c r="K96" s="2984"/>
      <c r="L96" s="2985" t="s">
        <v>414</v>
      </c>
      <c r="M96" s="2986"/>
      <c r="N96" s="3092">
        <v>0</v>
      </c>
      <c r="O96" s="3092">
        <v>0</v>
      </c>
      <c r="Q96" s="2952"/>
      <c r="T96" s="2978"/>
      <c r="U96" s="2989"/>
      <c r="X96" s="2995"/>
      <c r="Y96" s="2989"/>
      <c r="AA96" s="2990"/>
      <c r="AB96" s="2990"/>
      <c r="AC96" s="2996"/>
      <c r="AD96" s="2992"/>
      <c r="AL96" s="2960"/>
      <c r="AM96" s="2960"/>
    </row>
    <row r="97" spans="1:39" ht="15" customHeight="1">
      <c r="A97" s="2948"/>
      <c r="B97" s="2983" t="s">
        <v>926</v>
      </c>
      <c r="C97" s="2984"/>
      <c r="D97" s="2984"/>
      <c r="E97" s="2984"/>
      <c r="F97" s="2993"/>
      <c r="H97" s="2983" t="s">
        <v>925</v>
      </c>
      <c r="I97" s="2984"/>
      <c r="J97" s="2984"/>
      <c r="K97" s="2984"/>
      <c r="L97" s="2993"/>
      <c r="M97" s="2984"/>
      <c r="N97" s="3093">
        <v>109.31</v>
      </c>
      <c r="O97" s="3093">
        <v>102.75</v>
      </c>
      <c r="Q97" s="2952"/>
      <c r="S97" s="4839"/>
      <c r="T97" s="4839"/>
      <c r="U97" s="4839"/>
      <c r="V97" s="4840"/>
      <c r="W97" s="4840"/>
      <c r="X97" s="2988"/>
      <c r="Y97" s="2989"/>
      <c r="AA97" s="2953"/>
      <c r="AB97" s="2953"/>
      <c r="AC97" s="2996"/>
      <c r="AD97" s="2999"/>
      <c r="AL97" s="2960"/>
      <c r="AM97" s="2960"/>
    </row>
    <row r="98" spans="1:39" ht="15" customHeight="1">
      <c r="A98" s="2948"/>
      <c r="B98" s="2983" t="s">
        <v>924</v>
      </c>
      <c r="C98" s="2984"/>
      <c r="D98" s="2984"/>
      <c r="E98" s="2985" t="s">
        <v>923</v>
      </c>
      <c r="F98" s="3000">
        <v>1135.1099999999999</v>
      </c>
      <c r="H98" s="2983" t="s">
        <v>922</v>
      </c>
      <c r="I98" s="2984"/>
      <c r="J98" s="2984"/>
      <c r="K98" s="2984"/>
      <c r="L98" s="2993"/>
      <c r="M98" s="2984"/>
      <c r="N98" s="3093">
        <v>91.45</v>
      </c>
      <c r="O98" s="3093">
        <v>91.45</v>
      </c>
      <c r="Q98" s="2952"/>
      <c r="S98" s="2998"/>
      <c r="T98" s="2998"/>
      <c r="U98" s="2998"/>
      <c r="V98" s="2989"/>
      <c r="W98" s="2989"/>
      <c r="X98" s="2988"/>
      <c r="Y98" s="2989"/>
      <c r="AA98" s="2953"/>
      <c r="AB98" s="2953"/>
      <c r="AC98" s="2996"/>
      <c r="AD98" s="2999"/>
      <c r="AL98" s="2960"/>
      <c r="AM98" s="2960"/>
    </row>
    <row r="99" spans="1:39" ht="15" customHeight="1">
      <c r="A99" s="2948"/>
      <c r="B99" s="2983" t="s">
        <v>921</v>
      </c>
      <c r="C99" s="2984"/>
      <c r="D99" s="2984"/>
      <c r="E99" s="2985" t="s">
        <v>563</v>
      </c>
      <c r="F99" s="3000">
        <v>86.48</v>
      </c>
      <c r="H99" s="2983" t="s">
        <v>419</v>
      </c>
      <c r="I99" s="2984"/>
      <c r="J99" s="2984"/>
      <c r="K99" s="2984"/>
      <c r="L99" s="2985" t="s">
        <v>414</v>
      </c>
      <c r="M99" s="2986"/>
      <c r="N99" s="3093">
        <v>17.86</v>
      </c>
      <c r="O99" s="3093">
        <v>11.3</v>
      </c>
      <c r="Q99" s="2952"/>
      <c r="S99" s="4839"/>
      <c r="T99" s="4839"/>
      <c r="U99" s="4839"/>
      <c r="V99" s="4840"/>
      <c r="W99" s="4840"/>
      <c r="X99" s="2988"/>
      <c r="Y99" s="2988"/>
      <c r="AC99" s="2953"/>
      <c r="AD99" s="2988"/>
      <c r="AL99" s="2960"/>
      <c r="AM99" s="2960"/>
    </row>
    <row r="100" spans="1:39" ht="15" customHeight="1">
      <c r="A100" s="2948"/>
      <c r="B100" s="2983" t="s">
        <v>920</v>
      </c>
      <c r="C100" s="2984"/>
      <c r="D100" s="2984"/>
      <c r="E100" s="2985" t="s">
        <v>917</v>
      </c>
      <c r="F100" s="3000">
        <v>1.26</v>
      </c>
      <c r="H100" s="3001" t="s">
        <v>919</v>
      </c>
      <c r="I100" s="3002"/>
      <c r="J100" s="3003"/>
      <c r="K100" s="3002"/>
      <c r="L100" s="3004" t="s">
        <v>1</v>
      </c>
      <c r="M100" s="3005"/>
      <c r="N100" s="3095">
        <v>19.53</v>
      </c>
      <c r="O100" s="3095">
        <v>12.36</v>
      </c>
      <c r="Q100" s="2952"/>
      <c r="S100" s="4839"/>
      <c r="T100" s="4839"/>
      <c r="U100" s="4839"/>
      <c r="V100" s="4839"/>
      <c r="W100" s="4839"/>
      <c r="X100" s="2979"/>
      <c r="Y100" s="2977"/>
      <c r="AD100" s="2977"/>
      <c r="AL100" s="2960"/>
      <c r="AM100" s="2960"/>
    </row>
    <row r="101" spans="1:39" ht="15" customHeight="1">
      <c r="A101" s="2948"/>
      <c r="B101" s="2983" t="s">
        <v>919</v>
      </c>
      <c r="C101" s="2984"/>
      <c r="D101" s="2984"/>
      <c r="E101" s="2985" t="s">
        <v>1</v>
      </c>
      <c r="F101" s="3000">
        <v>19.53</v>
      </c>
      <c r="Q101" s="2952"/>
      <c r="V101" s="2960"/>
      <c r="W101" s="2960"/>
      <c r="AL101" s="2960"/>
      <c r="AM101" s="2960"/>
    </row>
    <row r="102" spans="1:39" ht="15" customHeight="1">
      <c r="A102" s="2948"/>
      <c r="B102" s="3007" t="s">
        <v>918</v>
      </c>
      <c r="C102" s="3003"/>
      <c r="D102" s="3003"/>
      <c r="E102" s="3004" t="s">
        <v>917</v>
      </c>
      <c r="F102" s="3008">
        <v>1.06</v>
      </c>
      <c r="J102" s="2977"/>
      <c r="K102" s="2977"/>
      <c r="M102" s="2977"/>
      <c r="N102" s="2978"/>
      <c r="O102" s="2979"/>
      <c r="P102" s="2979"/>
      <c r="Q102" s="2952"/>
      <c r="V102" s="2960"/>
      <c r="W102" s="2960"/>
      <c r="AL102" s="2960"/>
      <c r="AM102" s="2960"/>
    </row>
    <row r="103" spans="1:39" ht="15" customHeight="1">
      <c r="A103" s="2948"/>
      <c r="J103" s="2945"/>
      <c r="K103" s="2977"/>
      <c r="M103" s="2977"/>
      <c r="N103" s="2978"/>
      <c r="O103" s="2979"/>
      <c r="P103" s="2979"/>
      <c r="Q103" s="2952"/>
      <c r="V103" s="2960"/>
      <c r="W103" s="2960"/>
      <c r="AL103" s="2960"/>
      <c r="AM103" s="2960"/>
    </row>
    <row r="104" spans="1:39" ht="15" customHeight="1">
      <c r="A104" s="2948"/>
      <c r="B104" s="2966" t="s">
        <v>916</v>
      </c>
      <c r="K104" s="2977"/>
      <c r="L104" s="3009"/>
      <c r="M104" s="2945"/>
      <c r="N104" s="2945"/>
      <c r="Q104" s="2952"/>
      <c r="V104" s="2960"/>
      <c r="W104" s="2960"/>
      <c r="AL104" s="2960"/>
      <c r="AM104" s="2960"/>
    </row>
    <row r="105" spans="1:39" ht="15" customHeight="1">
      <c r="A105" s="2948"/>
      <c r="F105" s="2977"/>
      <c r="G105" s="3010"/>
      <c r="H105" s="2977"/>
      <c r="I105" s="2977"/>
      <c r="J105" s="2977"/>
      <c r="K105" s="2977"/>
      <c r="L105" s="3009"/>
      <c r="M105" s="2945"/>
      <c r="N105" s="2945"/>
      <c r="Q105" s="2952"/>
      <c r="V105" s="2960"/>
      <c r="W105" s="2960"/>
      <c r="AL105" s="2960"/>
      <c r="AM105" s="2960"/>
    </row>
    <row r="106" spans="1:39" s="3019" customFormat="1" ht="26.25" customHeight="1">
      <c r="A106" s="3011"/>
      <c r="B106" s="3012" t="s">
        <v>915</v>
      </c>
      <c r="C106" s="3013"/>
      <c r="D106" s="3014" t="s">
        <v>914</v>
      </c>
      <c r="E106" s="3014" t="s">
        <v>913</v>
      </c>
      <c r="F106" s="3015" t="s">
        <v>912</v>
      </c>
      <c r="G106" s="4841" t="s">
        <v>911</v>
      </c>
      <c r="H106" s="4843" t="s">
        <v>910</v>
      </c>
      <c r="I106" s="4844"/>
      <c r="J106" s="4845"/>
      <c r="K106" s="4846" t="s">
        <v>909</v>
      </c>
      <c r="L106" s="4846"/>
      <c r="M106" s="4846"/>
      <c r="N106" s="4846"/>
      <c r="O106" s="4846"/>
      <c r="P106" s="4847"/>
      <c r="Q106" s="3017"/>
      <c r="R106" s="3018"/>
      <c r="S106" s="3018"/>
      <c r="V106" s="3020"/>
      <c r="W106" s="3020"/>
      <c r="AL106" s="3020"/>
      <c r="AM106" s="3020"/>
    </row>
    <row r="107" spans="1:39" ht="40.35" customHeight="1">
      <c r="A107" s="2948"/>
      <c r="B107" s="3021" t="s">
        <v>908</v>
      </c>
      <c r="C107" s="3022"/>
      <c r="D107" s="3023" t="s">
        <v>908</v>
      </c>
      <c r="E107" s="3023" t="s">
        <v>908</v>
      </c>
      <c r="F107" s="3023" t="s">
        <v>908</v>
      </c>
      <c r="G107" s="4842"/>
      <c r="H107" s="3023" t="s">
        <v>907</v>
      </c>
      <c r="I107" s="3023" t="s">
        <v>906</v>
      </c>
      <c r="J107" s="3023" t="s">
        <v>905</v>
      </c>
      <c r="K107" s="3024" t="s">
        <v>907</v>
      </c>
      <c r="L107" s="3025" t="s">
        <v>906</v>
      </c>
      <c r="M107" s="4848" t="s">
        <v>905</v>
      </c>
      <c r="N107" s="4848"/>
      <c r="O107" s="3027" t="s">
        <v>904</v>
      </c>
      <c r="P107" s="3027" t="s">
        <v>903</v>
      </c>
      <c r="Q107" s="2952"/>
      <c r="V107" s="2960"/>
      <c r="W107" s="2960"/>
      <c r="AL107" s="2960"/>
      <c r="AM107" s="2960"/>
    </row>
    <row r="108" spans="1:39" ht="15" customHeight="1">
      <c r="A108" s="2948"/>
      <c r="B108" s="2973"/>
      <c r="C108" s="2975"/>
      <c r="D108" s="3028"/>
      <c r="E108" s="3028"/>
      <c r="F108" s="3029"/>
      <c r="G108" s="3030"/>
      <c r="H108" s="3029"/>
      <c r="I108" s="3029"/>
      <c r="J108" s="3029"/>
      <c r="K108" s="3029"/>
      <c r="L108" s="3031"/>
      <c r="M108" s="3032"/>
      <c r="N108" s="3032"/>
      <c r="O108" s="3029"/>
      <c r="P108" s="3029"/>
      <c r="Q108" s="2952"/>
      <c r="T108" s="3033" t="s">
        <v>902</v>
      </c>
      <c r="V108" s="2960"/>
      <c r="W108" s="2960"/>
      <c r="AL108" s="2960"/>
      <c r="AM108" s="2960"/>
    </row>
    <row r="109" spans="1:39" ht="15" customHeight="1">
      <c r="A109" s="2948"/>
      <c r="B109" s="3052">
        <v>0</v>
      </c>
      <c r="C109" s="2993"/>
      <c r="D109" s="3053">
        <v>0</v>
      </c>
      <c r="E109" s="3053">
        <v>0</v>
      </c>
      <c r="F109" s="3036"/>
      <c r="G109" s="3096"/>
      <c r="H109" s="3042"/>
      <c r="I109" s="3042"/>
      <c r="J109" s="3035"/>
      <c r="K109" s="3042"/>
      <c r="L109" s="3043"/>
      <c r="M109" s="3038"/>
      <c r="N109" s="3038"/>
      <c r="O109" s="3039"/>
      <c r="P109" s="3039"/>
      <c r="Q109" s="2952"/>
      <c r="T109" s="2947">
        <f>B109</f>
        <v>0</v>
      </c>
      <c r="V109" s="2960"/>
      <c r="W109" s="2960"/>
      <c r="AL109" s="2960"/>
      <c r="AM109" s="2960"/>
    </row>
    <row r="110" spans="1:39" ht="15" customHeight="1">
      <c r="A110" s="2948"/>
      <c r="B110" s="3052">
        <v>50</v>
      </c>
      <c r="C110" s="2993"/>
      <c r="D110" s="3053" t="s">
        <v>309</v>
      </c>
      <c r="E110" s="3053">
        <v>12</v>
      </c>
      <c r="F110" s="3035">
        <v>12</v>
      </c>
      <c r="G110" s="3041">
        <f t="shared" ref="G110:G119" si="0">F110/(B110-B109)</f>
        <v>0.24</v>
      </c>
      <c r="H110" s="3042"/>
      <c r="I110" s="3042"/>
      <c r="J110" s="3035"/>
      <c r="K110" s="3042"/>
      <c r="L110" s="3043"/>
      <c r="M110" s="3038"/>
      <c r="N110" s="3038"/>
      <c r="O110" s="3039"/>
      <c r="P110" s="3039"/>
      <c r="Q110" s="2952"/>
      <c r="T110" s="2947">
        <f>B110</f>
        <v>50</v>
      </c>
      <c r="U110" s="3044">
        <f>G110</f>
        <v>0.24</v>
      </c>
      <c r="V110" s="2960"/>
      <c r="W110" s="2960"/>
      <c r="AL110" s="2960"/>
      <c r="AM110" s="2960"/>
    </row>
    <row r="111" spans="1:39" ht="15" customHeight="1">
      <c r="A111" s="2948"/>
      <c r="B111" s="3052">
        <v>50</v>
      </c>
      <c r="C111" s="2993"/>
      <c r="D111" s="3053">
        <v>40</v>
      </c>
      <c r="E111" s="3053">
        <v>40</v>
      </c>
      <c r="F111" s="3035"/>
      <c r="G111" s="3041"/>
      <c r="H111" s="3034">
        <v>33.6</v>
      </c>
      <c r="I111" s="3034">
        <v>36.200000000000003</v>
      </c>
      <c r="J111" s="3045">
        <f>ABS(H111-I111)</f>
        <v>2.6000000000000014</v>
      </c>
      <c r="K111" s="3042"/>
      <c r="L111" s="3043"/>
      <c r="M111" s="3038"/>
      <c r="N111" s="3038"/>
      <c r="O111" s="3039"/>
      <c r="P111" s="3039"/>
      <c r="Q111" s="2952"/>
      <c r="T111" s="2947">
        <f>B112</f>
        <v>100</v>
      </c>
      <c r="U111" s="3044">
        <f>G112</f>
        <v>0.4</v>
      </c>
      <c r="V111" s="2960"/>
      <c r="W111" s="2960"/>
      <c r="AL111" s="2960"/>
      <c r="AM111" s="2960"/>
    </row>
    <row r="112" spans="1:39" ht="15" customHeight="1">
      <c r="A112" s="2948"/>
      <c r="B112" s="3052">
        <v>100</v>
      </c>
      <c r="C112" s="2993"/>
      <c r="D112" s="3053" t="s">
        <v>309</v>
      </c>
      <c r="E112" s="3053">
        <v>60</v>
      </c>
      <c r="F112" s="3035">
        <v>20</v>
      </c>
      <c r="G112" s="3041">
        <f t="shared" si="0"/>
        <v>0.4</v>
      </c>
      <c r="H112" s="3040"/>
      <c r="I112" s="3040"/>
      <c r="J112" s="3045"/>
      <c r="K112" s="3042"/>
      <c r="L112" s="3043"/>
      <c r="M112" s="3038"/>
      <c r="N112" s="3038"/>
      <c r="O112" s="3039"/>
      <c r="P112" s="3039"/>
      <c r="Q112" s="2952"/>
      <c r="T112" s="2947">
        <f>B114</f>
        <v>150</v>
      </c>
      <c r="U112" s="3044">
        <f>G114</f>
        <v>0.64</v>
      </c>
      <c r="V112" s="2960"/>
      <c r="W112" s="2960"/>
      <c r="AL112" s="2960"/>
      <c r="AM112" s="2960"/>
    </row>
    <row r="113" spans="1:42" ht="15" customHeight="1">
      <c r="A113" s="2948"/>
      <c r="B113" s="3052">
        <v>100</v>
      </c>
      <c r="C113" s="2993"/>
      <c r="D113" s="3053">
        <v>90</v>
      </c>
      <c r="E113" s="3053">
        <v>90</v>
      </c>
      <c r="F113" s="3035"/>
      <c r="G113" s="3041"/>
      <c r="H113" s="3046">
        <f>I111</f>
        <v>36.200000000000003</v>
      </c>
      <c r="I113" s="3034">
        <v>38.299999999999997</v>
      </c>
      <c r="J113" s="3045">
        <f>ABS(H113-I113)</f>
        <v>2.0999999999999943</v>
      </c>
      <c r="K113" s="3042"/>
      <c r="L113" s="3043"/>
      <c r="M113" s="3038"/>
      <c r="N113" s="3038"/>
      <c r="O113" s="3039"/>
      <c r="P113" s="3039"/>
      <c r="Q113" s="2952"/>
      <c r="T113" s="2947">
        <f>B116</f>
        <v>200</v>
      </c>
      <c r="U113" s="3044">
        <f>G116</f>
        <v>0.78</v>
      </c>
      <c r="V113" s="2960"/>
      <c r="W113" s="2960"/>
      <c r="AL113" s="2960"/>
      <c r="AM113" s="2960"/>
    </row>
    <row r="114" spans="1:42" ht="15" customHeight="1">
      <c r="A114" s="2948"/>
      <c r="B114" s="3052">
        <v>150</v>
      </c>
      <c r="C114" s="2993"/>
      <c r="D114" s="3053" t="s">
        <v>309</v>
      </c>
      <c r="E114" s="3053">
        <v>122</v>
      </c>
      <c r="F114" s="3035">
        <v>32</v>
      </c>
      <c r="G114" s="3041">
        <f t="shared" si="0"/>
        <v>0.64</v>
      </c>
      <c r="H114" s="3046"/>
      <c r="I114" s="3040"/>
      <c r="J114" s="3045"/>
      <c r="K114" s="3042"/>
      <c r="L114" s="3043"/>
      <c r="M114" s="3038"/>
      <c r="N114" s="3038"/>
      <c r="O114" s="3039"/>
      <c r="P114" s="3039"/>
      <c r="Q114" s="2952"/>
      <c r="T114" s="2947">
        <f>B118</f>
        <v>290</v>
      </c>
      <c r="U114" s="3044">
        <f>G118</f>
        <v>0.94444444444444442</v>
      </c>
      <c r="V114" s="2960"/>
      <c r="W114" s="2960"/>
      <c r="AL114" s="2960"/>
      <c r="AM114" s="2960"/>
    </row>
    <row r="115" spans="1:42" ht="15" customHeight="1">
      <c r="A115" s="2948"/>
      <c r="B115" s="3052">
        <v>150</v>
      </c>
      <c r="C115" s="2993"/>
      <c r="D115" s="3053">
        <v>140</v>
      </c>
      <c r="E115" s="3053">
        <v>140</v>
      </c>
      <c r="F115" s="3035"/>
      <c r="G115" s="3041"/>
      <c r="H115" s="3046">
        <f>I113</f>
        <v>38.299999999999997</v>
      </c>
      <c r="I115" s="3034">
        <v>40</v>
      </c>
      <c r="J115" s="3045">
        <f>ABS(H115-I115)</f>
        <v>1.7000000000000028</v>
      </c>
      <c r="K115" s="3047"/>
      <c r="L115" s="3043"/>
      <c r="M115" s="3038"/>
      <c r="N115" s="3038"/>
      <c r="O115" s="3039"/>
      <c r="P115" s="3039"/>
      <c r="Q115" s="2952"/>
      <c r="T115" s="2947">
        <f>B119</f>
        <v>390</v>
      </c>
      <c r="U115" s="3044">
        <f>G119</f>
        <v>0.98</v>
      </c>
      <c r="V115" s="2960"/>
      <c r="W115" s="2960"/>
      <c r="AL115" s="2960"/>
      <c r="AM115" s="2960"/>
    </row>
    <row r="116" spans="1:42" ht="15" customHeight="1">
      <c r="A116" s="2948"/>
      <c r="B116" s="3052">
        <v>200</v>
      </c>
      <c r="C116" s="2993"/>
      <c r="D116" s="3053" t="s">
        <v>309</v>
      </c>
      <c r="E116" s="3053">
        <v>179</v>
      </c>
      <c r="F116" s="3035">
        <v>39</v>
      </c>
      <c r="G116" s="3041">
        <f t="shared" si="0"/>
        <v>0.78</v>
      </c>
      <c r="H116" s="3046"/>
      <c r="I116" s="3040"/>
      <c r="J116" s="3045"/>
      <c r="K116" s="3047"/>
      <c r="L116" s="3048"/>
      <c r="M116" s="3038"/>
      <c r="N116" s="3038"/>
      <c r="O116" s="3039"/>
      <c r="P116" s="3039"/>
      <c r="Q116" s="2952"/>
      <c r="V116" s="2960"/>
      <c r="W116" s="2960"/>
      <c r="AL116" s="2960"/>
      <c r="AM116" s="2960"/>
    </row>
    <row r="117" spans="1:42" ht="15" customHeight="1">
      <c r="A117" s="2948"/>
      <c r="B117" s="3052">
        <v>200</v>
      </c>
      <c r="C117" s="2993"/>
      <c r="D117" s="3053">
        <v>190</v>
      </c>
      <c r="E117" s="3053">
        <v>190</v>
      </c>
      <c r="F117" s="3035"/>
      <c r="G117" s="3041"/>
      <c r="H117" s="3046">
        <f>I115</f>
        <v>40</v>
      </c>
      <c r="I117" s="3034">
        <v>41.2</v>
      </c>
      <c r="J117" s="3045">
        <f>ABS(H117-I117)</f>
        <v>1.2000000000000028</v>
      </c>
      <c r="K117" s="3047"/>
      <c r="L117" s="3048"/>
      <c r="M117" s="3049"/>
      <c r="N117" s="2984"/>
      <c r="O117" s="3039"/>
      <c r="P117" s="3039"/>
      <c r="Q117" s="2952"/>
      <c r="V117" s="2960"/>
      <c r="W117" s="2960"/>
      <c r="AL117" s="2960"/>
      <c r="AM117" s="2960"/>
    </row>
    <row r="118" spans="1:42" ht="15" customHeight="1">
      <c r="A118" s="2948"/>
      <c r="B118" s="3052">
        <v>290</v>
      </c>
      <c r="C118" s="2993"/>
      <c r="D118" s="3053"/>
      <c r="E118" s="3053">
        <v>275</v>
      </c>
      <c r="F118" s="3035">
        <v>85</v>
      </c>
      <c r="G118" s="3041">
        <f t="shared" si="0"/>
        <v>0.94444444444444442</v>
      </c>
      <c r="H118" s="3097"/>
      <c r="I118" s="3097"/>
      <c r="J118" s="3054"/>
      <c r="K118" s="3047"/>
      <c r="L118" s="3048"/>
      <c r="M118" s="3049"/>
      <c r="N118" s="2984"/>
      <c r="O118" s="3039"/>
      <c r="P118" s="3039"/>
      <c r="Q118" s="2952"/>
      <c r="R118" s="3051"/>
      <c r="V118" s="2960"/>
      <c r="W118" s="2960"/>
      <c r="AL118" s="2960"/>
      <c r="AM118" s="2960"/>
    </row>
    <row r="119" spans="1:42" ht="15" customHeight="1">
      <c r="A119" s="2948"/>
      <c r="B119" s="3052">
        <v>390</v>
      </c>
      <c r="C119" s="2993"/>
      <c r="D119" s="3053"/>
      <c r="E119" s="3053">
        <v>373</v>
      </c>
      <c r="F119" s="3035">
        <v>98</v>
      </c>
      <c r="G119" s="3041">
        <f t="shared" si="0"/>
        <v>0.98</v>
      </c>
      <c r="H119" s="3097"/>
      <c r="I119" s="3097"/>
      <c r="J119" s="3036"/>
      <c r="K119" s="3047"/>
      <c r="L119" s="3047"/>
      <c r="M119" s="2984"/>
      <c r="N119" s="2984"/>
      <c r="O119" s="3039"/>
      <c r="P119" s="3039"/>
      <c r="Q119" s="2952"/>
    </row>
    <row r="120" spans="1:42" ht="15" customHeight="1">
      <c r="A120" s="2948"/>
      <c r="B120" s="3052"/>
      <c r="C120" s="2993"/>
      <c r="D120" s="3053"/>
      <c r="E120" s="3053"/>
      <c r="F120" s="3035"/>
      <c r="G120" s="3041"/>
      <c r="H120" s="3097"/>
      <c r="I120" s="3097"/>
      <c r="J120" s="3054"/>
      <c r="K120" s="3047"/>
      <c r="L120" s="3047"/>
      <c r="M120" s="2984"/>
      <c r="N120" s="2984"/>
      <c r="O120" s="3039"/>
      <c r="P120" s="3039"/>
      <c r="Q120" s="2952"/>
    </row>
    <row r="121" spans="1:42" ht="15" customHeight="1">
      <c r="A121" s="2948"/>
      <c r="B121" s="3052"/>
      <c r="C121" s="2993"/>
      <c r="D121" s="3053"/>
      <c r="E121" s="3053"/>
      <c r="F121" s="3035"/>
      <c r="G121" s="3041"/>
      <c r="H121" s="3047"/>
      <c r="I121" s="3047"/>
      <c r="J121" s="3054"/>
      <c r="K121" s="3047"/>
      <c r="L121" s="3047"/>
      <c r="M121" s="2984"/>
      <c r="N121" s="2984"/>
      <c r="O121" s="3039"/>
      <c r="P121" s="3039"/>
      <c r="Q121" s="2952"/>
    </row>
    <row r="122" spans="1:42" ht="15" customHeight="1">
      <c r="A122" s="2948"/>
      <c r="B122" s="3055"/>
      <c r="C122" s="2993"/>
      <c r="D122" s="3047"/>
      <c r="E122" s="3047"/>
      <c r="F122" s="3039"/>
      <c r="G122" s="3041"/>
      <c r="H122" s="3047"/>
      <c r="I122" s="3047"/>
      <c r="J122" s="3054"/>
      <c r="K122" s="3047"/>
      <c r="L122" s="3047"/>
      <c r="M122" s="2984"/>
      <c r="N122" s="2984"/>
      <c r="O122" s="3039"/>
      <c r="P122" s="3039"/>
      <c r="Q122" s="2952"/>
    </row>
    <row r="123" spans="1:42" ht="15" customHeight="1">
      <c r="A123" s="2948"/>
      <c r="B123" s="3055"/>
      <c r="C123" s="2993"/>
      <c r="D123" s="3047"/>
      <c r="E123" s="3047"/>
      <c r="F123" s="3039"/>
      <c r="G123" s="3039"/>
      <c r="H123" s="3047"/>
      <c r="I123" s="3047"/>
      <c r="J123" s="3054"/>
      <c r="K123" s="3047"/>
      <c r="L123" s="3047"/>
      <c r="M123" s="2984"/>
      <c r="N123" s="2984"/>
      <c r="O123" s="3039"/>
      <c r="P123" s="3039"/>
      <c r="Q123" s="2952"/>
    </row>
    <row r="124" spans="1:42" ht="15" customHeight="1">
      <c r="A124" s="2959"/>
      <c r="B124" s="3056"/>
      <c r="C124" s="3057"/>
      <c r="D124" s="3048"/>
      <c r="E124" s="3048"/>
      <c r="F124" s="3058"/>
      <c r="G124" s="3058"/>
      <c r="H124" s="3048"/>
      <c r="I124" s="3048"/>
      <c r="J124" s="3037"/>
      <c r="K124" s="3048"/>
      <c r="L124" s="3048"/>
      <c r="M124" s="3049"/>
      <c r="N124" s="3049"/>
      <c r="O124" s="3058"/>
      <c r="P124" s="3058"/>
      <c r="Q124" s="2952"/>
      <c r="V124" s="2960"/>
      <c r="W124" s="2960"/>
      <c r="X124" s="2960"/>
      <c r="Y124" s="2960"/>
      <c r="Z124" s="2960"/>
      <c r="AB124" s="2961"/>
      <c r="AC124" s="2960"/>
      <c r="AD124" s="2960"/>
      <c r="AE124" s="2960"/>
      <c r="AF124" s="2960"/>
      <c r="AG124" s="2960"/>
      <c r="AH124" s="2960"/>
      <c r="AI124" s="2960"/>
      <c r="AJ124" s="2960"/>
      <c r="AK124" s="2960"/>
      <c r="AL124" s="2960"/>
      <c r="AM124" s="2960"/>
      <c r="AN124" s="2960"/>
      <c r="AO124" s="2960"/>
      <c r="AP124" s="2960"/>
    </row>
    <row r="125" spans="1:42" ht="15" customHeight="1">
      <c r="A125" s="2948"/>
      <c r="B125" s="4859"/>
      <c r="C125" s="4860"/>
      <c r="D125" s="4860"/>
      <c r="E125" s="4860"/>
      <c r="F125" s="4860"/>
      <c r="G125" s="4860"/>
      <c r="H125" s="4860"/>
      <c r="I125" s="4861"/>
      <c r="J125" s="3059"/>
      <c r="K125" s="3098"/>
      <c r="L125" s="3099"/>
      <c r="M125" s="3062"/>
      <c r="N125" s="3062"/>
      <c r="O125" s="3061"/>
      <c r="P125" s="3063"/>
      <c r="Q125" s="2952"/>
      <c r="V125" s="3064"/>
      <c r="W125" s="3064"/>
      <c r="X125" s="3064"/>
      <c r="Y125" s="3064"/>
      <c r="AE125" s="2945"/>
      <c r="AF125" s="2945"/>
      <c r="AI125" s="2978"/>
      <c r="AJ125" s="3065"/>
      <c r="AK125" s="3064"/>
      <c r="AL125" s="3064"/>
      <c r="AM125" s="3064"/>
      <c r="AN125" s="3064"/>
      <c r="AO125" s="3064"/>
    </row>
    <row r="126" spans="1:42" ht="15" customHeight="1">
      <c r="A126" s="2948"/>
      <c r="D126" s="2945"/>
      <c r="E126" s="2945"/>
      <c r="F126" s="2945"/>
      <c r="I126" s="2978"/>
      <c r="J126" s="3066"/>
      <c r="K126" s="3064"/>
      <c r="L126" s="3064"/>
      <c r="M126" s="3064"/>
      <c r="N126" s="3064"/>
      <c r="O126" s="3064"/>
      <c r="Q126" s="2952"/>
      <c r="V126" s="3064"/>
      <c r="W126" s="3064"/>
      <c r="X126" s="3064"/>
      <c r="Y126" s="3064"/>
      <c r="AE126" s="2945"/>
      <c r="AF126" s="2945"/>
      <c r="AI126" s="2978"/>
      <c r="AJ126" s="3066"/>
      <c r="AK126" s="3064"/>
      <c r="AL126" s="3064"/>
      <c r="AM126" s="3064"/>
      <c r="AN126" s="3064"/>
      <c r="AO126" s="3064"/>
    </row>
    <row r="127" spans="1:42" ht="15" customHeight="1">
      <c r="A127" s="2948"/>
      <c r="D127" s="2945"/>
      <c r="E127" s="2945"/>
      <c r="F127" s="2945"/>
      <c r="I127" s="2978"/>
      <c r="J127" s="3066"/>
      <c r="K127" s="3064"/>
      <c r="L127" s="3064"/>
      <c r="M127" s="3064"/>
      <c r="N127" s="3064"/>
      <c r="O127" s="3064"/>
      <c r="Q127" s="2952"/>
      <c r="V127" s="3064"/>
      <c r="W127" s="3064"/>
      <c r="X127" s="3064"/>
      <c r="Y127" s="3064"/>
      <c r="AE127" s="2945"/>
      <c r="AF127" s="2945"/>
      <c r="AI127" s="2978"/>
      <c r="AJ127" s="3066"/>
      <c r="AK127" s="3064"/>
      <c r="AL127" s="3064"/>
      <c r="AM127" s="3064"/>
      <c r="AN127" s="3064"/>
      <c r="AO127" s="3064"/>
    </row>
    <row r="128" spans="1:42" ht="15" customHeight="1">
      <c r="A128" s="2948"/>
      <c r="D128" s="2945"/>
      <c r="E128" s="2945"/>
      <c r="F128" s="2945"/>
      <c r="I128" s="2978"/>
      <c r="J128" s="3066"/>
      <c r="K128" s="3064"/>
      <c r="L128" s="3064"/>
      <c r="M128" s="3064"/>
      <c r="N128" s="3064"/>
      <c r="O128" s="3064"/>
      <c r="Q128" s="2952"/>
      <c r="V128" s="3064"/>
      <c r="W128" s="3064"/>
      <c r="X128" s="3064"/>
      <c r="Y128" s="3064"/>
      <c r="AE128" s="2945"/>
      <c r="AF128" s="2945"/>
      <c r="AI128" s="2978"/>
      <c r="AJ128" s="3066"/>
      <c r="AK128" s="3064"/>
      <c r="AL128" s="3064"/>
      <c r="AM128" s="3064"/>
      <c r="AN128" s="3064"/>
      <c r="AO128" s="3064"/>
    </row>
    <row r="129" spans="1:41" ht="15" customHeight="1">
      <c r="A129" s="2948"/>
      <c r="D129" s="2945"/>
      <c r="E129" s="2945"/>
      <c r="F129" s="2945"/>
      <c r="I129" s="2978"/>
      <c r="J129" s="3066"/>
      <c r="K129" s="3064"/>
      <c r="L129" s="3064"/>
      <c r="M129" s="3064"/>
      <c r="N129" s="3064"/>
      <c r="O129" s="3064"/>
      <c r="Q129" s="2952"/>
      <c r="V129" s="3064"/>
      <c r="W129" s="3064"/>
      <c r="X129" s="3064"/>
      <c r="Y129" s="3064"/>
      <c r="AE129" s="2945"/>
      <c r="AF129" s="2945"/>
      <c r="AI129" s="2978"/>
      <c r="AJ129" s="3066"/>
      <c r="AK129" s="3064"/>
      <c r="AL129" s="3064"/>
      <c r="AM129" s="3064"/>
      <c r="AN129" s="3064"/>
      <c r="AO129" s="3064"/>
    </row>
    <row r="130" spans="1:41" ht="15" customHeight="1">
      <c r="A130" s="2948"/>
      <c r="D130" s="2945"/>
      <c r="E130" s="2945"/>
      <c r="F130" s="2945"/>
      <c r="I130" s="2978"/>
      <c r="J130" s="3066"/>
      <c r="K130" s="3064"/>
      <c r="L130" s="3064"/>
      <c r="M130" s="3064"/>
      <c r="N130" s="3064"/>
      <c r="O130" s="3064"/>
      <c r="Q130" s="2952"/>
      <c r="V130" s="3064"/>
      <c r="W130" s="3064"/>
      <c r="X130" s="3064"/>
      <c r="Y130" s="3064"/>
      <c r="AE130" s="2945"/>
      <c r="AF130" s="2945"/>
      <c r="AI130" s="2978"/>
      <c r="AJ130" s="3066"/>
      <c r="AK130" s="3064"/>
      <c r="AL130" s="3064"/>
      <c r="AM130" s="3064"/>
      <c r="AN130" s="3064"/>
      <c r="AO130" s="3064"/>
    </row>
    <row r="131" spans="1:41" ht="15" customHeight="1">
      <c r="A131" s="2948"/>
      <c r="D131" s="2945"/>
      <c r="E131" s="2945"/>
      <c r="F131" s="2945"/>
      <c r="I131" s="2978"/>
      <c r="J131" s="3066"/>
      <c r="K131" s="3064"/>
      <c r="L131" s="3064"/>
      <c r="M131" s="3064"/>
      <c r="N131" s="3064"/>
      <c r="O131" s="3064"/>
      <c r="Q131" s="2952"/>
      <c r="V131" s="3064"/>
      <c r="W131" s="3064"/>
      <c r="X131" s="3064"/>
      <c r="Y131" s="3064"/>
      <c r="AE131" s="2945"/>
      <c r="AF131" s="2945"/>
      <c r="AI131" s="2978"/>
      <c r="AJ131" s="3066"/>
      <c r="AK131" s="3064"/>
      <c r="AL131" s="3064"/>
      <c r="AM131" s="3064"/>
      <c r="AN131" s="3064"/>
      <c r="AO131" s="3064"/>
    </row>
    <row r="132" spans="1:41" ht="15" customHeight="1">
      <c r="A132" s="2948"/>
      <c r="D132" s="2945"/>
      <c r="E132" s="2945"/>
      <c r="F132" s="2945"/>
      <c r="I132" s="2978"/>
      <c r="J132" s="3066"/>
      <c r="K132" s="3064"/>
      <c r="L132" s="3064"/>
      <c r="M132" s="3064"/>
      <c r="N132" s="3064"/>
      <c r="O132" s="3064"/>
      <c r="Q132" s="2952"/>
      <c r="V132" s="3064"/>
      <c r="W132" s="3064"/>
      <c r="X132" s="3064"/>
      <c r="Y132" s="3064"/>
      <c r="AE132" s="2945"/>
      <c r="AF132" s="2945"/>
      <c r="AI132" s="2978"/>
      <c r="AJ132" s="3066"/>
      <c r="AK132" s="3064"/>
      <c r="AL132" s="3064"/>
      <c r="AM132" s="3064"/>
      <c r="AN132" s="3064"/>
      <c r="AO132" s="3064"/>
    </row>
    <row r="133" spans="1:41" ht="15" customHeight="1">
      <c r="A133" s="2948"/>
      <c r="D133" s="2945"/>
      <c r="E133" s="2945"/>
      <c r="F133" s="2945"/>
      <c r="I133" s="2978"/>
      <c r="J133" s="3066"/>
      <c r="K133" s="3064"/>
      <c r="L133" s="3064"/>
      <c r="M133" s="3064"/>
      <c r="N133" s="3064"/>
      <c r="O133" s="3064"/>
      <c r="Q133" s="2952"/>
      <c r="V133" s="3064"/>
      <c r="W133" s="3064"/>
      <c r="X133" s="3064"/>
      <c r="Y133" s="3064"/>
      <c r="AE133" s="2945"/>
      <c r="AF133" s="2945"/>
      <c r="AI133" s="2978"/>
      <c r="AJ133" s="3066"/>
      <c r="AK133" s="3064"/>
      <c r="AL133" s="3064"/>
      <c r="AM133" s="3064"/>
      <c r="AN133" s="3064"/>
      <c r="AO133" s="3064"/>
    </row>
    <row r="134" spans="1:41" ht="15" customHeight="1">
      <c r="A134" s="2948"/>
      <c r="D134" s="2945"/>
      <c r="E134" s="2945"/>
      <c r="F134" s="2945"/>
      <c r="I134" s="2978"/>
      <c r="J134" s="3066"/>
      <c r="K134" s="3064"/>
      <c r="L134" s="3064"/>
      <c r="M134" s="3064"/>
      <c r="N134" s="3064"/>
      <c r="O134" s="3064"/>
      <c r="Q134" s="2952"/>
      <c r="V134" s="3064"/>
      <c r="W134" s="3064"/>
      <c r="X134" s="3064"/>
      <c r="Y134" s="3064"/>
      <c r="AE134" s="2945"/>
      <c r="AF134" s="2945"/>
      <c r="AI134" s="2978"/>
      <c r="AJ134" s="3066"/>
      <c r="AK134" s="3064"/>
      <c r="AL134" s="3064"/>
      <c r="AM134" s="3064"/>
      <c r="AN134" s="3064"/>
      <c r="AO134" s="3064"/>
    </row>
    <row r="135" spans="1:41" ht="15" customHeight="1">
      <c r="A135" s="2948"/>
      <c r="D135" s="2945"/>
      <c r="E135" s="2945"/>
      <c r="F135" s="2945"/>
      <c r="I135" s="2978"/>
      <c r="J135" s="3066"/>
      <c r="K135" s="3064"/>
      <c r="L135" s="3064"/>
      <c r="M135" s="3064"/>
      <c r="N135" s="3064"/>
      <c r="O135" s="3064"/>
      <c r="Q135" s="2952"/>
      <c r="V135" s="3064"/>
      <c r="W135" s="3064"/>
      <c r="X135" s="3064"/>
      <c r="Y135" s="3064"/>
      <c r="AE135" s="2945"/>
      <c r="AF135" s="2945"/>
      <c r="AI135" s="2978"/>
      <c r="AJ135" s="3066"/>
      <c r="AK135" s="3064"/>
      <c r="AL135" s="3064"/>
      <c r="AM135" s="3064"/>
      <c r="AN135" s="3064"/>
      <c r="AO135" s="3064"/>
    </row>
    <row r="136" spans="1:41" ht="15" customHeight="1">
      <c r="A136" s="2948"/>
      <c r="D136" s="2945"/>
      <c r="E136" s="2945"/>
      <c r="F136" s="2945"/>
      <c r="I136" s="2978"/>
      <c r="J136" s="3066"/>
      <c r="K136" s="3064"/>
      <c r="L136" s="3064"/>
      <c r="M136" s="3064"/>
      <c r="N136" s="3064"/>
      <c r="O136" s="3064"/>
      <c r="Q136" s="2952"/>
      <c r="V136" s="3064"/>
      <c r="W136" s="3064"/>
      <c r="X136" s="3064"/>
      <c r="Y136" s="3064"/>
      <c r="AE136" s="2945"/>
      <c r="AF136" s="2945"/>
      <c r="AI136" s="2978"/>
      <c r="AJ136" s="3066"/>
      <c r="AK136" s="3064"/>
      <c r="AL136" s="3064"/>
      <c r="AM136" s="3064"/>
      <c r="AN136" s="3064"/>
      <c r="AO136" s="3064"/>
    </row>
    <row r="137" spans="1:41" ht="15" customHeight="1">
      <c r="A137" s="2948"/>
      <c r="D137" s="2945"/>
      <c r="E137" s="2945"/>
      <c r="F137" s="2945"/>
      <c r="I137" s="2978"/>
      <c r="J137" s="3066"/>
      <c r="K137" s="3064"/>
      <c r="L137" s="3064"/>
      <c r="M137" s="3064"/>
      <c r="N137" s="3064"/>
      <c r="O137" s="3064"/>
      <c r="Q137" s="2952"/>
      <c r="V137" s="3064"/>
      <c r="W137" s="3064"/>
      <c r="X137" s="3064"/>
      <c r="Y137" s="3064"/>
      <c r="AE137" s="2945"/>
      <c r="AF137" s="2945"/>
      <c r="AI137" s="2978"/>
      <c r="AJ137" s="3066"/>
      <c r="AK137" s="3064"/>
      <c r="AL137" s="3064"/>
      <c r="AM137" s="3064"/>
      <c r="AN137" s="3064"/>
      <c r="AO137" s="3064"/>
    </row>
    <row r="138" spans="1:41" ht="15" customHeight="1">
      <c r="A138" s="2948"/>
      <c r="D138" s="2945"/>
      <c r="E138" s="2945"/>
      <c r="F138" s="2945"/>
      <c r="I138" s="2978"/>
      <c r="J138" s="3066"/>
      <c r="K138" s="3064"/>
      <c r="L138" s="3064"/>
      <c r="M138" s="3064"/>
      <c r="N138" s="3064"/>
      <c r="O138" s="3064"/>
      <c r="Q138" s="2952"/>
      <c r="V138" s="3064"/>
      <c r="W138" s="3064"/>
      <c r="X138" s="3064"/>
      <c r="Y138" s="3064"/>
      <c r="AE138" s="2945"/>
      <c r="AF138" s="2945"/>
      <c r="AI138" s="2978"/>
      <c r="AJ138" s="3066"/>
      <c r="AK138" s="3064"/>
      <c r="AL138" s="3064"/>
      <c r="AM138" s="3064"/>
      <c r="AN138" s="3064"/>
      <c r="AO138" s="3064"/>
    </row>
    <row r="139" spans="1:41" ht="15" customHeight="1">
      <c r="A139" s="2948"/>
      <c r="D139" s="2945"/>
      <c r="E139" s="2945"/>
      <c r="F139" s="2945"/>
      <c r="I139" s="2978"/>
      <c r="J139" s="3066"/>
      <c r="K139" s="3064"/>
      <c r="L139" s="3064"/>
      <c r="M139" s="3064"/>
      <c r="N139" s="3064"/>
      <c r="O139" s="3064"/>
      <c r="Q139" s="2952"/>
      <c r="V139" s="3064"/>
      <c r="W139" s="3064"/>
      <c r="X139" s="3064"/>
      <c r="Y139" s="3064"/>
      <c r="AE139" s="2945"/>
      <c r="AF139" s="2945"/>
      <c r="AI139" s="2978"/>
      <c r="AJ139" s="3066"/>
      <c r="AK139" s="3064"/>
      <c r="AL139" s="3064"/>
      <c r="AM139" s="3064"/>
      <c r="AN139" s="3064"/>
      <c r="AO139" s="3064"/>
    </row>
    <row r="140" spans="1:41" ht="15" customHeight="1">
      <c r="A140" s="2948"/>
      <c r="D140" s="2945"/>
      <c r="E140" s="2945"/>
      <c r="F140" s="2945"/>
      <c r="I140" s="2978"/>
      <c r="J140" s="3066"/>
      <c r="K140" s="3064"/>
      <c r="L140" s="3064"/>
      <c r="M140" s="3064"/>
      <c r="N140" s="3064"/>
      <c r="O140" s="3064"/>
      <c r="Q140" s="2952"/>
      <c r="V140" s="3064"/>
      <c r="W140" s="3064"/>
      <c r="X140" s="3064"/>
      <c r="Y140" s="3064"/>
      <c r="AE140" s="2945"/>
      <c r="AF140" s="2945"/>
      <c r="AI140" s="2978"/>
      <c r="AJ140" s="3066"/>
      <c r="AK140" s="3064"/>
      <c r="AL140" s="3064"/>
      <c r="AM140" s="3064"/>
      <c r="AN140" s="3064"/>
      <c r="AO140" s="3064"/>
    </row>
    <row r="141" spans="1:41" ht="15" customHeight="1">
      <c r="A141" s="2948"/>
      <c r="D141" s="2945"/>
      <c r="E141" s="2945"/>
      <c r="F141" s="2945"/>
      <c r="I141" s="2978"/>
      <c r="J141" s="3066"/>
      <c r="K141" s="3064"/>
      <c r="L141" s="3064"/>
      <c r="M141" s="3064"/>
      <c r="N141" s="3064"/>
      <c r="O141" s="3064"/>
      <c r="Q141" s="2952"/>
      <c r="V141" s="3064"/>
      <c r="W141" s="3064"/>
      <c r="X141" s="3064"/>
      <c r="Y141" s="3064"/>
      <c r="AE141" s="2945"/>
      <c r="AF141" s="2945"/>
      <c r="AI141" s="2978"/>
      <c r="AJ141" s="3066"/>
      <c r="AK141" s="3064"/>
      <c r="AL141" s="3064"/>
      <c r="AM141" s="3064"/>
      <c r="AN141" s="3064"/>
      <c r="AO141" s="3064"/>
    </row>
    <row r="142" spans="1:41" ht="15" customHeight="1">
      <c r="A142" s="2948"/>
      <c r="D142" s="2945"/>
      <c r="E142" s="2945"/>
      <c r="F142" s="2945"/>
      <c r="I142" s="2978"/>
      <c r="J142" s="3066"/>
      <c r="K142" s="3064"/>
      <c r="L142" s="3064"/>
      <c r="M142" s="3064"/>
      <c r="N142" s="3064"/>
      <c r="O142" s="3064"/>
      <c r="Q142" s="2952"/>
      <c r="V142" s="3064"/>
      <c r="W142" s="3064"/>
      <c r="X142" s="3064"/>
      <c r="Y142" s="3064"/>
      <c r="AE142" s="2945"/>
      <c r="AF142" s="2945"/>
      <c r="AI142" s="2978"/>
      <c r="AJ142" s="3066"/>
      <c r="AK142" s="3064"/>
      <c r="AL142" s="3064"/>
      <c r="AM142" s="3064"/>
      <c r="AN142" s="3064"/>
      <c r="AO142" s="3064"/>
    </row>
    <row r="143" spans="1:41" ht="15" customHeight="1">
      <c r="A143" s="2948"/>
      <c r="D143" s="2945"/>
      <c r="E143" s="2945"/>
      <c r="F143" s="2945"/>
      <c r="I143" s="2978"/>
      <c r="J143" s="3066"/>
      <c r="K143" s="3064"/>
      <c r="L143" s="3064"/>
      <c r="M143" s="3064"/>
      <c r="N143" s="3064"/>
      <c r="O143" s="3064"/>
      <c r="Q143" s="2952"/>
      <c r="V143" s="3064"/>
      <c r="W143" s="3064"/>
      <c r="X143" s="3064"/>
      <c r="Y143" s="3064"/>
      <c r="AE143" s="2945"/>
      <c r="AF143" s="2945"/>
      <c r="AI143" s="2978"/>
      <c r="AJ143" s="3066"/>
      <c r="AK143" s="3064"/>
      <c r="AL143" s="3064"/>
      <c r="AM143" s="3064"/>
      <c r="AN143" s="3064"/>
      <c r="AO143" s="3064"/>
    </row>
    <row r="144" spans="1:41" ht="15" customHeight="1">
      <c r="A144" s="2948"/>
      <c r="D144" s="2945"/>
      <c r="E144" s="2945"/>
      <c r="F144" s="2945"/>
      <c r="I144" s="2978"/>
      <c r="J144" s="3066"/>
      <c r="K144" s="3064"/>
      <c r="L144" s="3064"/>
      <c r="M144" s="3064"/>
      <c r="N144" s="3064"/>
      <c r="O144" s="3064"/>
      <c r="Q144" s="2952"/>
      <c r="V144" s="3064"/>
      <c r="W144" s="3064"/>
      <c r="X144" s="3064"/>
      <c r="Y144" s="3064"/>
      <c r="AE144" s="2945"/>
      <c r="AF144" s="2945"/>
      <c r="AI144" s="2978"/>
      <c r="AJ144" s="3066"/>
      <c r="AK144" s="3064"/>
      <c r="AL144" s="3064"/>
      <c r="AM144" s="3064"/>
      <c r="AN144" s="3064"/>
      <c r="AO144" s="3064"/>
    </row>
    <row r="145" spans="1:42" ht="15" customHeight="1">
      <c r="A145" s="2948"/>
      <c r="D145" s="2945"/>
      <c r="E145" s="2945"/>
      <c r="F145" s="2945"/>
      <c r="I145" s="2978"/>
      <c r="J145" s="3066"/>
      <c r="K145" s="3064"/>
      <c r="L145" s="3064"/>
      <c r="M145" s="3064"/>
      <c r="N145" s="3064"/>
      <c r="O145" s="3064"/>
      <c r="Q145" s="2952"/>
      <c r="V145" s="3064"/>
      <c r="W145" s="3064"/>
      <c r="X145" s="3064"/>
      <c r="Y145" s="3064"/>
      <c r="AE145" s="2945"/>
      <c r="AF145" s="2945"/>
      <c r="AI145" s="2978"/>
      <c r="AJ145" s="3066"/>
      <c r="AK145" s="3064"/>
      <c r="AL145" s="3064"/>
      <c r="AM145" s="3064"/>
      <c r="AN145" s="3064"/>
      <c r="AO145" s="3064"/>
    </row>
    <row r="146" spans="1:42" ht="15" customHeight="1">
      <c r="A146" s="2948"/>
      <c r="D146" s="2945"/>
      <c r="E146" s="2945"/>
      <c r="F146" s="2945"/>
      <c r="I146" s="2978"/>
      <c r="J146" s="3066"/>
      <c r="K146" s="3064"/>
      <c r="L146" s="3064"/>
      <c r="M146" s="3064"/>
      <c r="N146" s="3064"/>
      <c r="O146" s="3064"/>
      <c r="Q146" s="2952"/>
      <c r="V146" s="3064"/>
      <c r="W146" s="3064"/>
      <c r="X146" s="3064"/>
      <c r="Y146" s="3064"/>
      <c r="AE146" s="2945"/>
      <c r="AF146" s="2945"/>
      <c r="AI146" s="2978"/>
      <c r="AJ146" s="3066"/>
      <c r="AK146" s="3064"/>
      <c r="AL146" s="3064"/>
      <c r="AM146" s="3064"/>
      <c r="AN146" s="3064"/>
      <c r="AO146" s="3064"/>
    </row>
    <row r="147" spans="1:42" ht="15" customHeight="1">
      <c r="A147" s="2948"/>
      <c r="D147" s="2945"/>
      <c r="E147" s="2945"/>
      <c r="F147" s="2945"/>
      <c r="I147" s="2978"/>
      <c r="J147" s="3066"/>
      <c r="K147" s="3064"/>
      <c r="L147" s="3064"/>
      <c r="M147" s="3064"/>
      <c r="N147" s="3064"/>
      <c r="O147" s="3064"/>
      <c r="Q147" s="2952"/>
      <c r="V147" s="3064"/>
      <c r="W147" s="3064"/>
      <c r="X147" s="3064"/>
      <c r="Y147" s="3064"/>
      <c r="AE147" s="2945"/>
      <c r="AF147" s="2945"/>
      <c r="AI147" s="2978"/>
      <c r="AJ147" s="3066"/>
      <c r="AK147" s="3064"/>
      <c r="AL147" s="3064"/>
      <c r="AM147" s="3064"/>
      <c r="AN147" s="3064"/>
      <c r="AO147" s="3064"/>
    </row>
    <row r="148" spans="1:42" ht="15" customHeight="1">
      <c r="A148" s="2948"/>
      <c r="D148" s="2945"/>
      <c r="E148" s="2945"/>
      <c r="F148" s="2945"/>
      <c r="I148" s="2978"/>
      <c r="J148" s="3066"/>
      <c r="K148" s="3064"/>
      <c r="L148" s="3064"/>
      <c r="M148" s="3064"/>
      <c r="N148" s="3064"/>
      <c r="O148" s="3064"/>
      <c r="Q148" s="2952"/>
      <c r="V148" s="3064"/>
      <c r="W148" s="3064"/>
      <c r="X148" s="3064"/>
      <c r="Y148" s="3064"/>
      <c r="AE148" s="2945"/>
      <c r="AF148" s="2945"/>
      <c r="AI148" s="2978"/>
      <c r="AJ148" s="3066"/>
      <c r="AK148" s="3064"/>
      <c r="AL148" s="3064"/>
      <c r="AM148" s="3064"/>
      <c r="AN148" s="3064"/>
      <c r="AO148" s="3064"/>
    </row>
    <row r="149" spans="1:42" ht="15" customHeight="1">
      <c r="A149" s="2948"/>
      <c r="D149" s="2945"/>
      <c r="E149" s="2945"/>
      <c r="F149" s="2945"/>
      <c r="I149" s="2978"/>
      <c r="J149" s="3066"/>
      <c r="K149" s="3064"/>
      <c r="L149" s="3064"/>
      <c r="M149" s="3064"/>
      <c r="N149" s="3064"/>
      <c r="O149" s="3064"/>
      <c r="Q149" s="2952"/>
      <c r="V149" s="3064"/>
      <c r="W149" s="3064"/>
      <c r="X149" s="3064"/>
      <c r="Y149" s="3064"/>
      <c r="AE149" s="2945"/>
      <c r="AF149" s="2945"/>
      <c r="AI149" s="2978"/>
      <c r="AJ149" s="3066"/>
      <c r="AK149" s="3064"/>
      <c r="AL149" s="3064"/>
      <c r="AM149" s="3064"/>
      <c r="AN149" s="3064"/>
      <c r="AO149" s="3064"/>
    </row>
    <row r="150" spans="1:42" ht="15" customHeight="1">
      <c r="A150" s="2948"/>
      <c r="D150" s="2945"/>
      <c r="E150" s="2945"/>
      <c r="F150" s="2945"/>
      <c r="I150" s="2978"/>
      <c r="J150" s="3066"/>
      <c r="K150" s="3064"/>
      <c r="L150" s="3064"/>
      <c r="M150" s="3064"/>
      <c r="N150" s="3064"/>
      <c r="O150" s="3064"/>
      <c r="Q150" s="2952"/>
      <c r="V150" s="3064"/>
      <c r="W150" s="3064"/>
      <c r="X150" s="3064"/>
      <c r="Y150" s="3064"/>
      <c r="AE150" s="2945"/>
      <c r="AF150" s="2945"/>
      <c r="AI150" s="2978"/>
      <c r="AJ150" s="3066"/>
      <c r="AK150" s="3064"/>
      <c r="AL150" s="3064"/>
      <c r="AM150" s="3064"/>
      <c r="AN150" s="3064"/>
      <c r="AO150" s="3064"/>
    </row>
    <row r="151" spans="1:42" ht="15" customHeight="1">
      <c r="A151" s="2948"/>
      <c r="D151" s="2945"/>
      <c r="E151" s="2945"/>
      <c r="F151" s="2945"/>
      <c r="I151" s="2978"/>
      <c r="J151" s="3066"/>
      <c r="K151" s="3064"/>
      <c r="L151" s="3064"/>
      <c r="M151" s="3064"/>
      <c r="N151" s="3064"/>
      <c r="O151" s="3064"/>
      <c r="Q151" s="2952"/>
      <c r="V151" s="3064"/>
      <c r="W151" s="3064"/>
      <c r="X151" s="3064"/>
      <c r="Y151" s="3064"/>
      <c r="AE151" s="2945"/>
      <c r="AF151" s="2945"/>
      <c r="AI151" s="2978"/>
      <c r="AJ151" s="3066"/>
      <c r="AK151" s="3064"/>
      <c r="AL151" s="3064"/>
      <c r="AM151" s="3064"/>
      <c r="AN151" s="3064"/>
      <c r="AO151" s="3064"/>
    </row>
    <row r="152" spans="1:42" ht="15" customHeight="1">
      <c r="A152" s="2948"/>
      <c r="D152" s="2945"/>
      <c r="E152" s="2945"/>
      <c r="F152" s="2945"/>
      <c r="I152" s="2978"/>
      <c r="J152" s="3066"/>
      <c r="K152" s="3064"/>
      <c r="L152" s="3064"/>
      <c r="M152" s="3064"/>
      <c r="N152" s="3064"/>
      <c r="O152" s="3064"/>
      <c r="Q152" s="2952"/>
      <c r="V152" s="3064"/>
      <c r="W152" s="3064"/>
      <c r="X152" s="3064"/>
      <c r="Y152" s="3064"/>
      <c r="AE152" s="2945"/>
      <c r="AF152" s="2945"/>
      <c r="AI152" s="2978"/>
      <c r="AJ152" s="3066"/>
      <c r="AK152" s="3064"/>
      <c r="AL152" s="3064"/>
      <c r="AM152" s="3064"/>
      <c r="AN152" s="3064"/>
      <c r="AO152" s="3064"/>
    </row>
    <row r="153" spans="1:42" ht="15" customHeight="1">
      <c r="A153" s="2951"/>
      <c r="B153" s="2949"/>
      <c r="C153" s="2949"/>
      <c r="D153" s="3067"/>
      <c r="E153" s="3067"/>
      <c r="F153" s="3067"/>
      <c r="G153" s="2949"/>
      <c r="H153" s="2949"/>
      <c r="I153" s="3068"/>
      <c r="J153" s="3069"/>
      <c r="K153" s="3070"/>
      <c r="L153" s="3070"/>
      <c r="M153" s="3070"/>
      <c r="N153" s="3070"/>
      <c r="O153" s="3070"/>
      <c r="P153" s="2949"/>
      <c r="Q153" s="2969"/>
      <c r="V153" s="3064"/>
      <c r="W153" s="3064"/>
      <c r="X153" s="3064"/>
      <c r="Y153" s="3064"/>
      <c r="AE153" s="2945"/>
      <c r="AF153" s="2945"/>
      <c r="AI153" s="2978"/>
      <c r="AJ153" s="3066"/>
      <c r="AK153" s="3064"/>
      <c r="AL153" s="3064"/>
      <c r="AM153" s="3064"/>
      <c r="AN153" s="3064"/>
      <c r="AO153" s="3064"/>
    </row>
    <row r="154" spans="1:42" ht="15" customHeight="1">
      <c r="D154" s="2945"/>
      <c r="E154" s="2945"/>
      <c r="F154" s="2945"/>
      <c r="I154" s="2978"/>
      <c r="J154" s="3066"/>
      <c r="K154" s="3064"/>
      <c r="L154" s="3064"/>
      <c r="M154" s="3064"/>
      <c r="N154" s="3064"/>
      <c r="O154" s="3064"/>
      <c r="V154" s="3064"/>
      <c r="W154" s="3064"/>
      <c r="X154" s="3064"/>
      <c r="Y154" s="3064"/>
      <c r="AE154" s="2945"/>
      <c r="AF154" s="2945"/>
      <c r="AI154" s="2978"/>
      <c r="AJ154" s="3066"/>
      <c r="AK154" s="3064"/>
      <c r="AL154" s="3064"/>
      <c r="AM154" s="3064"/>
      <c r="AN154" s="3064"/>
      <c r="AO154" s="3064"/>
    </row>
    <row r="155" spans="1:42" ht="15" customHeight="1">
      <c r="D155" s="2945"/>
      <c r="E155" s="2945"/>
      <c r="F155" s="2945"/>
      <c r="I155" s="2978"/>
      <c r="J155" s="3066"/>
      <c r="K155" s="3064"/>
      <c r="L155" s="3064"/>
      <c r="M155" s="3064"/>
      <c r="N155" s="3064"/>
      <c r="O155" s="3064"/>
      <c r="V155" s="3064"/>
      <c r="W155" s="3064"/>
      <c r="X155" s="3064"/>
      <c r="Y155" s="3064"/>
      <c r="AE155" s="2945"/>
      <c r="AF155" s="2945"/>
      <c r="AI155" s="2978"/>
      <c r="AJ155" s="3066"/>
      <c r="AK155" s="3064"/>
      <c r="AL155" s="3064"/>
      <c r="AM155" s="3064"/>
      <c r="AN155" s="3064"/>
      <c r="AO155" s="3064"/>
    </row>
    <row r="156" spans="1:42" ht="15" customHeight="1">
      <c r="A156" s="2941"/>
      <c r="B156" s="2942"/>
      <c r="C156" s="2942"/>
      <c r="D156" s="2942"/>
      <c r="E156" s="2942"/>
      <c r="F156" s="2942"/>
      <c r="G156" s="2942"/>
      <c r="H156" s="2942"/>
      <c r="I156" s="3100" t="s">
        <v>206</v>
      </c>
      <c r="J156" s="3101">
        <f>J2</f>
        <v>0</v>
      </c>
      <c r="K156" s="2974"/>
      <c r="L156" s="2974"/>
      <c r="M156" s="2974"/>
      <c r="N156" s="2974"/>
      <c r="O156" s="2974"/>
      <c r="P156" s="2974"/>
      <c r="Q156" s="2975"/>
      <c r="T156" s="2946"/>
      <c r="AJ156" s="2946"/>
    </row>
    <row r="157" spans="1:42" ht="15" customHeight="1">
      <c r="A157" s="2948"/>
      <c r="I157" s="3102" t="s">
        <v>82</v>
      </c>
      <c r="J157" s="3103">
        <f>J3</f>
        <v>0</v>
      </c>
      <c r="K157" s="2984"/>
      <c r="L157" s="2984"/>
      <c r="M157" s="2984"/>
      <c r="N157" s="2984"/>
      <c r="O157" s="2984"/>
      <c r="P157" s="2984"/>
      <c r="Q157" s="2993"/>
      <c r="T157" s="2946"/>
      <c r="AJ157" s="2946"/>
    </row>
    <row r="158" spans="1:42" ht="15" customHeight="1">
      <c r="A158" s="2948"/>
      <c r="I158" s="3102" t="s">
        <v>77</v>
      </c>
      <c r="J158" s="3103">
        <f>J4</f>
        <v>0</v>
      </c>
      <c r="K158" s="2984"/>
      <c r="L158" s="2984"/>
      <c r="M158" s="2984"/>
      <c r="N158" s="2983" t="s">
        <v>76</v>
      </c>
      <c r="O158" s="3104"/>
      <c r="P158" s="3075">
        <f>P4</f>
        <v>0</v>
      </c>
      <c r="Q158" s="2993"/>
      <c r="T158" s="2953"/>
      <c r="Z158" s="2954"/>
      <c r="AJ158" s="2953"/>
      <c r="AP158" s="2954"/>
    </row>
    <row r="159" spans="1:42" ht="15" customHeight="1">
      <c r="A159" s="2948"/>
      <c r="I159" s="3105" t="s">
        <v>75</v>
      </c>
      <c r="J159" s="3106">
        <f>J5</f>
        <v>0</v>
      </c>
      <c r="K159" s="3003"/>
      <c r="L159" s="3003"/>
      <c r="M159" s="3003"/>
      <c r="N159" s="3063" t="s">
        <v>74</v>
      </c>
      <c r="O159" s="3107"/>
      <c r="P159" s="3108">
        <f>P5</f>
        <v>0</v>
      </c>
      <c r="Q159" s="3078"/>
      <c r="T159" s="2953"/>
      <c r="Z159" s="2953"/>
      <c r="AJ159" s="2953"/>
      <c r="AP159" s="2953"/>
    </row>
    <row r="160" spans="1:42" ht="15" customHeight="1">
      <c r="A160" s="2956"/>
      <c r="B160" s="2957"/>
      <c r="C160" s="2957"/>
      <c r="D160" s="2957"/>
      <c r="E160" s="2957"/>
      <c r="F160" s="2957"/>
      <c r="G160" s="2957"/>
      <c r="H160" s="2957"/>
      <c r="I160" s="2957"/>
      <c r="J160" s="2957"/>
      <c r="K160" s="2957"/>
      <c r="L160" s="2957"/>
      <c r="M160" s="2957"/>
      <c r="N160" s="2957"/>
      <c r="O160" s="2957"/>
      <c r="P160" s="2957"/>
      <c r="Q160" s="2944"/>
      <c r="T160" s="2945"/>
      <c r="U160" s="2945"/>
      <c r="V160" s="2945"/>
      <c r="W160" s="2945"/>
      <c r="X160" s="2945"/>
      <c r="Y160" s="2945"/>
      <c r="Z160" s="2945"/>
      <c r="AB160" s="2945"/>
      <c r="AC160" s="2945"/>
      <c r="AD160" s="2945"/>
      <c r="AE160" s="2945"/>
      <c r="AF160" s="2945"/>
      <c r="AG160" s="2945"/>
      <c r="AH160" s="2945"/>
      <c r="AI160" s="2945"/>
      <c r="AJ160" s="2945"/>
      <c r="AK160" s="2945"/>
      <c r="AL160" s="2945"/>
      <c r="AM160" s="2945"/>
      <c r="AN160" s="2945"/>
      <c r="AO160" s="2945"/>
      <c r="AP160" s="2945"/>
    </row>
    <row r="161" spans="1:42" ht="15" customHeight="1">
      <c r="A161" s="2959" t="s">
        <v>945</v>
      </c>
      <c r="B161" s="2960"/>
      <c r="C161" s="2960"/>
      <c r="D161" s="2960"/>
      <c r="E161" s="2960"/>
      <c r="F161" s="2960"/>
      <c r="G161" s="2961"/>
      <c r="H161" s="2961"/>
      <c r="I161" s="2960"/>
      <c r="J161" s="2960"/>
      <c r="K161" s="2960"/>
      <c r="L161" s="2960"/>
      <c r="M161" s="2960"/>
      <c r="N161" s="2960"/>
      <c r="O161" s="2960"/>
      <c r="P161" s="2962"/>
      <c r="Q161" s="2952"/>
      <c r="R161" s="2963"/>
      <c r="T161" s="2960"/>
      <c r="U161" s="2960"/>
      <c r="V161" s="2960"/>
      <c r="W161" s="2960"/>
      <c r="X161" s="2960"/>
      <c r="Y161" s="2960"/>
      <c r="Z161" s="2960"/>
      <c r="AB161" s="2961"/>
      <c r="AC161" s="2960"/>
      <c r="AD161" s="2960"/>
      <c r="AE161" s="2960"/>
      <c r="AF161" s="2960"/>
      <c r="AG161" s="2961"/>
      <c r="AH161" s="2961"/>
      <c r="AI161" s="2960"/>
      <c r="AJ161" s="2960"/>
      <c r="AK161" s="2960"/>
      <c r="AL161" s="2960"/>
      <c r="AM161" s="2960"/>
      <c r="AN161" s="2960"/>
      <c r="AO161" s="2960"/>
      <c r="AP161" s="2960"/>
    </row>
    <row r="162" spans="1:42" ht="15" customHeight="1">
      <c r="A162" s="2964"/>
      <c r="B162" s="2960"/>
      <c r="C162" s="2960"/>
      <c r="D162" s="2960"/>
      <c r="E162" s="2960"/>
      <c r="F162" s="2960"/>
      <c r="G162" s="2960"/>
      <c r="H162" s="2960"/>
      <c r="I162" s="2960"/>
      <c r="J162" s="2960"/>
      <c r="K162" s="2960"/>
      <c r="L162" s="2960"/>
      <c r="M162" s="2960"/>
      <c r="N162" s="2960"/>
      <c r="O162" s="2960"/>
      <c r="P162" s="2960"/>
      <c r="Q162" s="2952"/>
      <c r="Z162" s="2960"/>
      <c r="AB162" s="2965"/>
      <c r="AC162" s="2960"/>
      <c r="AD162" s="2960"/>
      <c r="AE162" s="2960"/>
      <c r="AF162" s="2960"/>
      <c r="AG162" s="2960"/>
      <c r="AH162" s="2960"/>
      <c r="AI162" s="2960"/>
      <c r="AJ162" s="2960"/>
      <c r="AK162" s="2960"/>
      <c r="AL162" s="2960"/>
      <c r="AM162" s="2960"/>
      <c r="AN162" s="2960"/>
      <c r="AO162" s="2960"/>
      <c r="AP162" s="2960"/>
    </row>
    <row r="163" spans="1:42" ht="15" customHeight="1">
      <c r="A163" s="2948"/>
      <c r="B163" s="2947" t="s">
        <v>208</v>
      </c>
      <c r="C163" s="2947" t="s">
        <v>27</v>
      </c>
      <c r="D163" s="2947">
        <f>D9</f>
        <v>0</v>
      </c>
      <c r="E163" s="2953"/>
      <c r="K163" s="2947" t="s">
        <v>944</v>
      </c>
      <c r="M163" s="2947" t="s">
        <v>27</v>
      </c>
      <c r="N163" s="2947">
        <f>N9</f>
        <v>0</v>
      </c>
      <c r="O163" s="2953"/>
      <c r="Q163" s="2952"/>
      <c r="AO163" s="2953"/>
    </row>
    <row r="164" spans="1:42" ht="15" customHeight="1">
      <c r="A164" s="2948"/>
      <c r="B164" s="2947" t="s">
        <v>943</v>
      </c>
      <c r="C164" s="2947" t="s">
        <v>27</v>
      </c>
      <c r="D164" s="2947">
        <f>D10</f>
        <v>0</v>
      </c>
      <c r="E164" s="2953"/>
      <c r="F164" s="2953"/>
      <c r="K164" s="2947" t="s">
        <v>942</v>
      </c>
      <c r="M164" s="2947" t="s">
        <v>27</v>
      </c>
      <c r="N164" s="3082">
        <f>N87</f>
        <v>0</v>
      </c>
      <c r="Q164" s="2952"/>
      <c r="AF164" s="2953"/>
    </row>
    <row r="165" spans="1:42" ht="15" customHeight="1">
      <c r="A165" s="2948"/>
      <c r="B165" s="2947" t="s">
        <v>210</v>
      </c>
      <c r="C165" s="2947" t="s">
        <v>27</v>
      </c>
      <c r="D165" s="2947">
        <f>D11</f>
        <v>0</v>
      </c>
      <c r="E165" s="2947" t="s">
        <v>68</v>
      </c>
      <c r="F165" s="2953"/>
      <c r="K165" s="2945" t="s">
        <v>941</v>
      </c>
      <c r="M165" s="2945" t="s">
        <v>27</v>
      </c>
      <c r="N165" s="2955">
        <v>3</v>
      </c>
      <c r="Q165" s="2952"/>
      <c r="AF165" s="2953"/>
      <c r="AK165" s="2945"/>
      <c r="AL165" s="2945"/>
      <c r="AM165" s="2945"/>
    </row>
    <row r="166" spans="1:42" ht="15" customHeight="1">
      <c r="A166" s="2948"/>
      <c r="L166" s="2960"/>
      <c r="M166" s="2960"/>
      <c r="Q166" s="2952"/>
      <c r="AL166" s="2960"/>
      <c r="AM166" s="2960"/>
    </row>
    <row r="167" spans="1:42" ht="15" customHeight="1">
      <c r="A167" s="2948"/>
      <c r="B167" s="2966" t="s">
        <v>940</v>
      </c>
      <c r="L167" s="2960"/>
      <c r="M167" s="2960"/>
      <c r="Q167" s="2952"/>
      <c r="AL167" s="2960"/>
      <c r="AM167" s="2960"/>
    </row>
    <row r="168" spans="1:42" ht="15" customHeight="1">
      <c r="A168" s="2948"/>
      <c r="B168" s="2967" t="s">
        <v>939</v>
      </c>
      <c r="C168" s="2943"/>
      <c r="D168" s="2943"/>
      <c r="E168" s="2943"/>
      <c r="F168" s="2950"/>
      <c r="H168" s="2941" t="s">
        <v>938</v>
      </c>
      <c r="I168" s="2942"/>
      <c r="J168" s="2942"/>
      <c r="K168" s="2942"/>
      <c r="L168" s="2944"/>
      <c r="M168" s="4836" t="s">
        <v>937</v>
      </c>
      <c r="N168" s="4837"/>
      <c r="O168" s="4838"/>
      <c r="Q168" s="2952"/>
      <c r="AL168" s="2960"/>
      <c r="AM168" s="2960"/>
    </row>
    <row r="169" spans="1:42" ht="15" customHeight="1">
      <c r="A169" s="2948"/>
      <c r="B169" s="4836" t="s">
        <v>936</v>
      </c>
      <c r="C169" s="4837"/>
      <c r="D169" s="4838"/>
      <c r="E169" s="4837" t="s">
        <v>935</v>
      </c>
      <c r="F169" s="4838"/>
      <c r="H169" s="2951"/>
      <c r="I169" s="2949"/>
      <c r="J169" s="2949"/>
      <c r="K169" s="2949"/>
      <c r="L169" s="2969"/>
      <c r="M169" s="4836" t="s">
        <v>934</v>
      </c>
      <c r="N169" s="4838"/>
      <c r="O169" s="2968" t="s">
        <v>933</v>
      </c>
      <c r="Q169" s="2952"/>
      <c r="R169" s="2966"/>
      <c r="S169" s="2966"/>
      <c r="AA169" s="2960"/>
      <c r="AB169" s="2960"/>
      <c r="AL169" s="2960"/>
      <c r="AM169" s="2960"/>
    </row>
    <row r="170" spans="1:42" ht="15" customHeight="1">
      <c r="A170" s="2948"/>
      <c r="B170" s="4849"/>
      <c r="C170" s="4850"/>
      <c r="D170" s="4851"/>
      <c r="E170" s="4852"/>
      <c r="F170" s="4853"/>
      <c r="H170" s="2973" t="s">
        <v>932</v>
      </c>
      <c r="I170" s="2974"/>
      <c r="J170" s="2974"/>
      <c r="K170" s="2974"/>
      <c r="L170" s="2975"/>
      <c r="M170" s="2973"/>
      <c r="N170" s="3085"/>
      <c r="O170" s="3085"/>
      <c r="P170" s="2977"/>
      <c r="Q170" s="2952"/>
      <c r="R170" s="2947"/>
      <c r="S170" s="2947"/>
      <c r="T170" s="2977"/>
      <c r="U170" s="2977"/>
      <c r="W170" s="2977"/>
      <c r="X170" s="2978"/>
      <c r="Y170" s="2979"/>
      <c r="AA170" s="2978"/>
      <c r="AB170" s="2978"/>
      <c r="AC170" s="2978"/>
      <c r="AL170" s="2960"/>
      <c r="AM170" s="2960"/>
    </row>
    <row r="171" spans="1:42" ht="15" customHeight="1">
      <c r="A171" s="2948"/>
      <c r="B171" s="4854"/>
      <c r="C171" s="4855"/>
      <c r="D171" s="4856"/>
      <c r="E171" s="4857"/>
      <c r="F171" s="4858"/>
      <c r="H171" s="2983" t="s">
        <v>931</v>
      </c>
      <c r="I171" s="2984"/>
      <c r="J171" s="2984"/>
      <c r="K171" s="2984"/>
      <c r="L171" s="2985" t="s">
        <v>414</v>
      </c>
      <c r="M171" s="2986"/>
      <c r="N171" s="3092"/>
      <c r="O171" s="3092"/>
      <c r="Q171" s="2952"/>
      <c r="R171" s="2947"/>
      <c r="S171" s="2947"/>
      <c r="T171" s="2945"/>
      <c r="U171" s="2977"/>
      <c r="W171" s="2977"/>
      <c r="X171" s="2978"/>
      <c r="Y171" s="2979"/>
      <c r="AA171" s="2963"/>
      <c r="AB171" s="2963"/>
      <c r="AC171" s="2961"/>
      <c r="AD171" s="2960"/>
      <c r="AL171" s="2960"/>
      <c r="AM171" s="2960"/>
    </row>
    <row r="172" spans="1:42" ht="15" customHeight="1">
      <c r="A172" s="2948"/>
      <c r="B172" s="4854"/>
      <c r="C172" s="4855"/>
      <c r="D172" s="4856"/>
      <c r="E172" s="4857"/>
      <c r="F172" s="4858"/>
      <c r="H172" s="2983" t="s">
        <v>930</v>
      </c>
      <c r="I172" s="2984"/>
      <c r="J172" s="2984"/>
      <c r="K172" s="2984"/>
      <c r="L172" s="2985" t="s">
        <v>414</v>
      </c>
      <c r="M172" s="2986"/>
      <c r="N172" s="3093"/>
      <c r="O172" s="3092"/>
      <c r="Q172" s="2952"/>
      <c r="T172" s="2978"/>
      <c r="U172" s="2979"/>
      <c r="V172" s="2945"/>
      <c r="X172" s="2988"/>
      <c r="Y172" s="2989"/>
      <c r="AA172" s="2990"/>
      <c r="AB172" s="2990"/>
      <c r="AC172" s="2991"/>
      <c r="AD172" s="2992"/>
      <c r="AL172" s="2960"/>
      <c r="AM172" s="2960"/>
    </row>
    <row r="173" spans="1:42" ht="15" customHeight="1">
      <c r="A173" s="2948"/>
      <c r="B173" s="2983" t="s">
        <v>929</v>
      </c>
      <c r="C173" s="2993"/>
      <c r="D173" s="3094">
        <f>'Cu_Multi Shear pmdtn'!O81-('Cu_Multi Shear pmdtn'!C159-'Cu_Multi Shear pmdtn'!C92)</f>
        <v>80.700693802035161</v>
      </c>
      <c r="E173" s="2994" t="s">
        <v>928</v>
      </c>
      <c r="F173" s="2994" t="e">
        <f>+AVERAGE(E170:E172)</f>
        <v>#DIV/0!</v>
      </c>
      <c r="H173" s="2983" t="s">
        <v>927</v>
      </c>
      <c r="I173" s="2984"/>
      <c r="J173" s="2984"/>
      <c r="K173" s="2984"/>
      <c r="L173" s="2985" t="s">
        <v>414</v>
      </c>
      <c r="M173" s="2986"/>
      <c r="N173" s="3092"/>
      <c r="O173" s="3092"/>
      <c r="Q173" s="2952"/>
      <c r="T173" s="2978"/>
      <c r="U173" s="2989"/>
      <c r="X173" s="2995"/>
      <c r="Y173" s="2989"/>
      <c r="AA173" s="2990"/>
      <c r="AB173" s="2990"/>
      <c r="AC173" s="2996"/>
      <c r="AD173" s="2992"/>
      <c r="AL173" s="2960"/>
      <c r="AM173" s="2960"/>
    </row>
    <row r="174" spans="1:42" ht="15" customHeight="1">
      <c r="A174" s="2948"/>
      <c r="B174" s="2983" t="s">
        <v>926</v>
      </c>
      <c r="C174" s="2984"/>
      <c r="D174" s="2984"/>
      <c r="E174" s="2984"/>
      <c r="F174" s="2993"/>
      <c r="H174" s="2983" t="s">
        <v>925</v>
      </c>
      <c r="I174" s="2984"/>
      <c r="J174" s="2984"/>
      <c r="K174" s="2984"/>
      <c r="L174" s="2993"/>
      <c r="M174" s="2984"/>
      <c r="N174" s="3093"/>
      <c r="O174" s="3093"/>
      <c r="Q174" s="2952"/>
      <c r="S174" s="4839"/>
      <c r="T174" s="4839"/>
      <c r="U174" s="4839"/>
      <c r="V174" s="4840"/>
      <c r="W174" s="4840"/>
      <c r="X174" s="2988"/>
      <c r="Y174" s="2989"/>
      <c r="AA174" s="2953"/>
      <c r="AB174" s="2953"/>
      <c r="AC174" s="2996"/>
      <c r="AD174" s="2999"/>
      <c r="AL174" s="2960"/>
      <c r="AM174" s="2960"/>
    </row>
    <row r="175" spans="1:42" ht="15" customHeight="1">
      <c r="A175" s="2948"/>
      <c r="B175" s="2983" t="s">
        <v>924</v>
      </c>
      <c r="C175" s="2984"/>
      <c r="D175" s="2984"/>
      <c r="E175" s="2985" t="s">
        <v>923</v>
      </c>
      <c r="F175" s="3109">
        <f>'Cu_Multi Shear pmdtn'!O80/(1-('Cu_Multi Shear pmdtn'!C159-'Cu_Multi Shear pmdtn'!C92)/'Cu_Multi Shear pmdtn'!O81)</f>
        <v>1050.8274861330801</v>
      </c>
      <c r="H175" s="2983" t="s">
        <v>922</v>
      </c>
      <c r="I175" s="2984"/>
      <c r="J175" s="2984"/>
      <c r="K175" s="2984"/>
      <c r="L175" s="2993"/>
      <c r="M175" s="2984"/>
      <c r="N175" s="3093"/>
      <c r="O175" s="3093"/>
      <c r="Q175" s="2952"/>
      <c r="S175" s="2998"/>
      <c r="T175" s="2998"/>
      <c r="U175" s="2998"/>
      <c r="V175" s="2989"/>
      <c r="W175" s="2989"/>
      <c r="X175" s="2988"/>
      <c r="Y175" s="2989"/>
      <c r="AA175" s="2953"/>
      <c r="AB175" s="2953"/>
      <c r="AC175" s="2996"/>
      <c r="AD175" s="2999"/>
      <c r="AL175" s="2960"/>
      <c r="AM175" s="2960"/>
    </row>
    <row r="176" spans="1:42" ht="15" customHeight="1">
      <c r="A176" s="2948"/>
      <c r="B176" s="2983" t="s">
        <v>921</v>
      </c>
      <c r="C176" s="2984"/>
      <c r="D176" s="2984"/>
      <c r="E176" s="2985" t="s">
        <v>563</v>
      </c>
      <c r="F176" s="3000">
        <f>(F175*D173)/1000</f>
        <v>84.802507197188049</v>
      </c>
      <c r="H176" s="2983" t="s">
        <v>419</v>
      </c>
      <c r="I176" s="2984"/>
      <c r="J176" s="2984"/>
      <c r="K176" s="2984"/>
      <c r="L176" s="2985" t="s">
        <v>414</v>
      </c>
      <c r="M176" s="2986"/>
      <c r="N176" s="3093"/>
      <c r="O176" s="3093"/>
      <c r="Q176" s="2952"/>
      <c r="S176" s="4839"/>
      <c r="T176" s="4839"/>
      <c r="U176" s="4839"/>
      <c r="V176" s="4840"/>
      <c r="W176" s="4840"/>
      <c r="X176" s="2988"/>
      <c r="Y176" s="2988"/>
      <c r="AC176" s="2953"/>
      <c r="AD176" s="2988"/>
      <c r="AL176" s="2960"/>
      <c r="AM176" s="2960"/>
    </row>
    <row r="177" spans="1:39" ht="15" customHeight="1">
      <c r="A177" s="2948"/>
      <c r="B177" s="2983" t="s">
        <v>920</v>
      </c>
      <c r="C177" s="2984"/>
      <c r="D177" s="2984"/>
      <c r="E177" s="2985" t="s">
        <v>917</v>
      </c>
      <c r="F177" s="3000">
        <f>N20/F176</f>
        <v>1.2807404355092153</v>
      </c>
      <c r="H177" s="3001" t="s">
        <v>919</v>
      </c>
      <c r="I177" s="3002"/>
      <c r="J177" s="3003"/>
      <c r="K177" s="3002"/>
      <c r="L177" s="3004" t="s">
        <v>1</v>
      </c>
      <c r="M177" s="3005"/>
      <c r="N177" s="3095"/>
      <c r="O177" s="3095"/>
      <c r="Q177" s="2952"/>
      <c r="S177" s="4839"/>
      <c r="T177" s="4839"/>
      <c r="U177" s="4839"/>
      <c r="V177" s="4839"/>
      <c r="W177" s="4839"/>
      <c r="X177" s="2979"/>
      <c r="Y177" s="2977"/>
      <c r="AD177" s="2977"/>
      <c r="AL177" s="2960"/>
      <c r="AM177" s="2960"/>
    </row>
    <row r="178" spans="1:39" ht="15" customHeight="1">
      <c r="A178" s="2948"/>
      <c r="B178" s="2983" t="s">
        <v>919</v>
      </c>
      <c r="C178" s="2984"/>
      <c r="D178" s="2984"/>
      <c r="E178" s="2985" t="s">
        <v>1</v>
      </c>
      <c r="F178" s="3000">
        <f>F24</f>
        <v>19.2</v>
      </c>
      <c r="Q178" s="2952"/>
      <c r="V178" s="2960"/>
      <c r="W178" s="2960"/>
      <c r="AL178" s="2960"/>
      <c r="AM178" s="2960"/>
    </row>
    <row r="179" spans="1:39" ht="15" customHeight="1">
      <c r="A179" s="2948"/>
      <c r="B179" s="3007" t="s">
        <v>918</v>
      </c>
      <c r="C179" s="3003"/>
      <c r="D179" s="3003"/>
      <c r="E179" s="3004" t="s">
        <v>917</v>
      </c>
      <c r="F179" s="3008">
        <f>N21/F176</f>
        <v>1.0744965333173715</v>
      </c>
      <c r="J179" s="2977"/>
      <c r="K179" s="2977"/>
      <c r="M179" s="2977"/>
      <c r="N179" s="2978"/>
      <c r="O179" s="2979"/>
      <c r="P179" s="2979"/>
      <c r="Q179" s="2952"/>
      <c r="V179" s="2960"/>
      <c r="W179" s="2960"/>
      <c r="AL179" s="2960"/>
      <c r="AM179" s="2960"/>
    </row>
    <row r="180" spans="1:39" ht="15" customHeight="1">
      <c r="A180" s="2948"/>
      <c r="J180" s="2945"/>
      <c r="K180" s="2977"/>
      <c r="M180" s="2977"/>
      <c r="N180" s="2978"/>
      <c r="O180" s="2979"/>
      <c r="P180" s="2979"/>
      <c r="Q180" s="2952"/>
      <c r="V180" s="2960"/>
      <c r="W180" s="2960"/>
      <c r="AL180" s="2960"/>
      <c r="AM180" s="2960"/>
    </row>
    <row r="181" spans="1:39" ht="15" customHeight="1">
      <c r="A181" s="2948"/>
      <c r="B181" s="2966" t="s">
        <v>916</v>
      </c>
      <c r="K181" s="2977"/>
      <c r="L181" s="3009"/>
      <c r="M181" s="2945"/>
      <c r="N181" s="2945"/>
      <c r="Q181" s="2952"/>
      <c r="V181" s="2960"/>
      <c r="W181" s="2960"/>
      <c r="AL181" s="2960"/>
      <c r="AM181" s="2960"/>
    </row>
    <row r="182" spans="1:39" ht="15" customHeight="1">
      <c r="A182" s="2948"/>
      <c r="F182" s="2977"/>
      <c r="G182" s="3010"/>
      <c r="H182" s="2977"/>
      <c r="I182" s="2977"/>
      <c r="J182" s="2977"/>
      <c r="K182" s="2977"/>
      <c r="L182" s="3009"/>
      <c r="M182" s="2945"/>
      <c r="N182" s="2945"/>
      <c r="Q182" s="2952"/>
      <c r="V182" s="2960"/>
      <c r="W182" s="2960"/>
      <c r="AL182" s="2960"/>
      <c r="AM182" s="2960"/>
    </row>
    <row r="183" spans="1:39" s="3019" customFormat="1" ht="26.25" customHeight="1">
      <c r="A183" s="3011"/>
      <c r="B183" s="3012" t="s">
        <v>915</v>
      </c>
      <c r="C183" s="3013"/>
      <c r="D183" s="3014" t="s">
        <v>914</v>
      </c>
      <c r="E183" s="3014" t="s">
        <v>913</v>
      </c>
      <c r="F183" s="3015" t="s">
        <v>912</v>
      </c>
      <c r="G183" s="4841" t="s">
        <v>911</v>
      </c>
      <c r="H183" s="4843" t="s">
        <v>910</v>
      </c>
      <c r="I183" s="4844"/>
      <c r="J183" s="4845"/>
      <c r="K183" s="4846" t="s">
        <v>909</v>
      </c>
      <c r="L183" s="4846"/>
      <c r="M183" s="4846"/>
      <c r="N183" s="4846"/>
      <c r="O183" s="4846"/>
      <c r="P183" s="4847"/>
      <c r="Q183" s="3017"/>
      <c r="R183" s="3018"/>
      <c r="S183" s="3018"/>
      <c r="V183" s="3020"/>
      <c r="W183" s="3020"/>
      <c r="AL183" s="3020"/>
      <c r="AM183" s="3020"/>
    </row>
    <row r="184" spans="1:39" ht="40.35" customHeight="1">
      <c r="A184" s="2948"/>
      <c r="B184" s="3021" t="s">
        <v>908</v>
      </c>
      <c r="C184" s="3022"/>
      <c r="D184" s="3023" t="s">
        <v>908</v>
      </c>
      <c r="E184" s="3023" t="s">
        <v>908</v>
      </c>
      <c r="F184" s="3023" t="s">
        <v>908</v>
      </c>
      <c r="G184" s="4842"/>
      <c r="H184" s="3023" t="s">
        <v>907</v>
      </c>
      <c r="I184" s="3023" t="s">
        <v>906</v>
      </c>
      <c r="J184" s="3023" t="s">
        <v>905</v>
      </c>
      <c r="K184" s="3024" t="s">
        <v>907</v>
      </c>
      <c r="L184" s="3025" t="s">
        <v>906</v>
      </c>
      <c r="M184" s="4848" t="s">
        <v>905</v>
      </c>
      <c r="N184" s="4848"/>
      <c r="O184" s="3027" t="s">
        <v>904</v>
      </c>
      <c r="P184" s="3027" t="s">
        <v>903</v>
      </c>
      <c r="Q184" s="2952"/>
      <c r="V184" s="2960"/>
      <c r="W184" s="2960"/>
      <c r="AL184" s="2960"/>
      <c r="AM184" s="2960"/>
    </row>
    <row r="185" spans="1:39" ht="15" customHeight="1">
      <c r="A185" s="2948"/>
      <c r="B185" s="2973"/>
      <c r="C185" s="2975"/>
      <c r="D185" s="3028"/>
      <c r="E185" s="3028"/>
      <c r="F185" s="3029"/>
      <c r="G185" s="3030"/>
      <c r="H185" s="3029"/>
      <c r="I185" s="3029"/>
      <c r="J185" s="3029"/>
      <c r="K185" s="3029"/>
      <c r="L185" s="3031"/>
      <c r="M185" s="3032"/>
      <c r="N185" s="3032"/>
      <c r="O185" s="3029"/>
      <c r="P185" s="3029"/>
      <c r="Q185" s="2952"/>
      <c r="T185" s="3033" t="s">
        <v>902</v>
      </c>
      <c r="V185" s="2960"/>
      <c r="W185" s="2960"/>
      <c r="AL185" s="2960"/>
      <c r="AM185" s="2960"/>
    </row>
    <row r="186" spans="1:39" ht="15" customHeight="1">
      <c r="A186" s="2948"/>
      <c r="B186" s="3052">
        <v>790</v>
      </c>
      <c r="C186" s="2993"/>
      <c r="D186" s="3053">
        <v>390</v>
      </c>
      <c r="E186" s="3053">
        <v>780</v>
      </c>
      <c r="F186" s="3036">
        <f>ABS(E186-D186)</f>
        <v>390</v>
      </c>
      <c r="G186" s="3041">
        <f>F186/(B186-B42)</f>
        <v>0.49367088607594939</v>
      </c>
      <c r="H186" s="3042"/>
      <c r="I186" s="3042"/>
      <c r="J186" s="3035"/>
      <c r="K186" s="3042"/>
      <c r="L186" s="3043"/>
      <c r="M186" s="3038"/>
      <c r="N186" s="3038"/>
      <c r="O186" s="3039"/>
      <c r="P186" s="3039"/>
      <c r="Q186" s="2952"/>
      <c r="T186" s="2947">
        <f>B186</f>
        <v>790</v>
      </c>
      <c r="V186" s="2960"/>
      <c r="W186" s="2960"/>
      <c r="AL186" s="2960"/>
      <c r="AM186" s="2960"/>
    </row>
    <row r="187" spans="1:39" ht="15" customHeight="1">
      <c r="A187" s="2948"/>
      <c r="B187" s="3052"/>
      <c r="C187" s="2993"/>
      <c r="D187" s="3053"/>
      <c r="E187" s="3053"/>
      <c r="F187" s="3035"/>
      <c r="G187" s="3041"/>
      <c r="H187" s="3042"/>
      <c r="I187" s="3042"/>
      <c r="J187" s="3035"/>
      <c r="K187" s="3042"/>
      <c r="L187" s="3043"/>
      <c r="M187" s="3038"/>
      <c r="N187" s="3038"/>
      <c r="O187" s="3039"/>
      <c r="P187" s="3039"/>
      <c r="Q187" s="2952"/>
      <c r="T187" s="2947">
        <f>B187</f>
        <v>0</v>
      </c>
      <c r="U187" s="3044">
        <f>G187</f>
        <v>0</v>
      </c>
      <c r="V187" s="2960"/>
      <c r="W187" s="2960"/>
      <c r="AL187" s="2960"/>
      <c r="AM187" s="2960"/>
    </row>
    <row r="188" spans="1:39" ht="15" customHeight="1">
      <c r="A188" s="2948"/>
      <c r="B188" s="3052"/>
      <c r="C188" s="2993"/>
      <c r="D188" s="3053"/>
      <c r="E188" s="3053"/>
      <c r="F188" s="3035"/>
      <c r="G188" s="3041"/>
      <c r="H188" s="3097"/>
      <c r="I188" s="3097"/>
      <c r="J188" s="3036"/>
      <c r="K188" s="3042"/>
      <c r="L188" s="3043"/>
      <c r="M188" s="3038"/>
      <c r="N188" s="3038"/>
      <c r="O188" s="3039"/>
      <c r="P188" s="3039"/>
      <c r="Q188" s="2952"/>
      <c r="T188" s="2947">
        <f>B189</f>
        <v>0</v>
      </c>
      <c r="U188" s="3044">
        <f>G189</f>
        <v>0</v>
      </c>
      <c r="V188" s="2960"/>
      <c r="W188" s="2960"/>
      <c r="AL188" s="2960"/>
      <c r="AM188" s="2960"/>
    </row>
    <row r="189" spans="1:39" ht="15" customHeight="1">
      <c r="A189" s="2948"/>
      <c r="B189" s="3052"/>
      <c r="C189" s="2993"/>
      <c r="D189" s="3053"/>
      <c r="E189" s="3053"/>
      <c r="F189" s="3035"/>
      <c r="G189" s="3041"/>
      <c r="H189" s="3097"/>
      <c r="I189" s="3097"/>
      <c r="J189" s="3036"/>
      <c r="K189" s="3042"/>
      <c r="L189" s="3043"/>
      <c r="M189" s="3038"/>
      <c r="N189" s="3038"/>
      <c r="O189" s="3039"/>
      <c r="P189" s="3039"/>
      <c r="Q189" s="2952"/>
      <c r="T189" s="2947">
        <f>B191</f>
        <v>0</v>
      </c>
      <c r="U189" s="3044">
        <f>G191</f>
        <v>0</v>
      </c>
      <c r="V189" s="2960"/>
      <c r="W189" s="2960"/>
      <c r="AL189" s="2960"/>
      <c r="AM189" s="2960"/>
    </row>
    <row r="190" spans="1:39" ht="15" customHeight="1">
      <c r="A190" s="2948"/>
      <c r="B190" s="3052"/>
      <c r="C190" s="2993"/>
      <c r="D190" s="3053"/>
      <c r="E190" s="3053"/>
      <c r="F190" s="3035"/>
      <c r="G190" s="3041"/>
      <c r="H190" s="3097"/>
      <c r="I190" s="3097"/>
      <c r="J190" s="3036"/>
      <c r="K190" s="3042"/>
      <c r="L190" s="3043"/>
      <c r="M190" s="3038"/>
      <c r="N190" s="3038"/>
      <c r="O190" s="3039"/>
      <c r="P190" s="3039"/>
      <c r="Q190" s="2952"/>
      <c r="T190" s="2947">
        <f>B193</f>
        <v>0</v>
      </c>
      <c r="U190" s="3044">
        <f>G193</f>
        <v>0</v>
      </c>
      <c r="V190" s="2960"/>
      <c r="W190" s="2960"/>
      <c r="AL190" s="2960"/>
      <c r="AM190" s="2960"/>
    </row>
    <row r="191" spans="1:39" ht="15" customHeight="1">
      <c r="A191" s="2948"/>
      <c r="B191" s="3052"/>
      <c r="C191" s="2993"/>
      <c r="D191" s="3053"/>
      <c r="E191" s="3053"/>
      <c r="F191" s="3035"/>
      <c r="G191" s="3041"/>
      <c r="H191" s="3097"/>
      <c r="I191" s="3097"/>
      <c r="J191" s="3036"/>
      <c r="K191" s="3042"/>
      <c r="L191" s="3043"/>
      <c r="M191" s="3038"/>
      <c r="N191" s="3038"/>
      <c r="O191" s="3039"/>
      <c r="P191" s="3039"/>
      <c r="Q191" s="2952"/>
      <c r="T191" s="2947">
        <f>B195</f>
        <v>0</v>
      </c>
      <c r="U191" s="3044">
        <f>G195</f>
        <v>0</v>
      </c>
      <c r="V191" s="2960"/>
      <c r="W191" s="2960"/>
      <c r="AL191" s="2960"/>
      <c r="AM191" s="2960"/>
    </row>
    <row r="192" spans="1:39" ht="15" customHeight="1">
      <c r="A192" s="2948"/>
      <c r="B192" s="3052"/>
      <c r="C192" s="2993"/>
      <c r="D192" s="3053"/>
      <c r="E192" s="3053"/>
      <c r="F192" s="3035"/>
      <c r="G192" s="3041"/>
      <c r="H192" s="3097"/>
      <c r="I192" s="3097"/>
      <c r="J192" s="3036"/>
      <c r="K192" s="3047"/>
      <c r="L192" s="3043"/>
      <c r="M192" s="3038"/>
      <c r="N192" s="3038"/>
      <c r="O192" s="3039"/>
      <c r="P192" s="3039"/>
      <c r="Q192" s="2952"/>
      <c r="U192" s="3044"/>
      <c r="V192" s="2960"/>
      <c r="W192" s="2960"/>
      <c r="AL192" s="2960"/>
      <c r="AM192" s="2960"/>
    </row>
    <row r="193" spans="1:42" ht="15" customHeight="1">
      <c r="A193" s="2948"/>
      <c r="B193" s="3052"/>
      <c r="C193" s="2993"/>
      <c r="D193" s="3053"/>
      <c r="E193" s="3053"/>
      <c r="F193" s="3035"/>
      <c r="G193" s="3041"/>
      <c r="H193" s="3097"/>
      <c r="I193" s="3097"/>
      <c r="J193" s="3054"/>
      <c r="K193" s="3047"/>
      <c r="L193" s="3048"/>
      <c r="M193" s="3038"/>
      <c r="N193" s="3038"/>
      <c r="O193" s="3039"/>
      <c r="P193" s="3039"/>
      <c r="Q193" s="2952"/>
      <c r="V193" s="2960"/>
      <c r="W193" s="2960"/>
      <c r="AL193" s="2960"/>
      <c r="AM193" s="2960"/>
    </row>
    <row r="194" spans="1:42" ht="15" customHeight="1">
      <c r="A194" s="2948"/>
      <c r="B194" s="3052"/>
      <c r="C194" s="2993"/>
      <c r="D194" s="3053"/>
      <c r="E194" s="3053"/>
      <c r="F194" s="3035"/>
      <c r="G194" s="3041"/>
      <c r="H194" s="3097"/>
      <c r="I194" s="3097"/>
      <c r="J194" s="3036"/>
      <c r="K194" s="3047"/>
      <c r="L194" s="3048"/>
      <c r="M194" s="3049"/>
      <c r="N194" s="2984"/>
      <c r="O194" s="3039"/>
      <c r="P194" s="3039"/>
      <c r="Q194" s="2952"/>
      <c r="V194" s="2960"/>
      <c r="W194" s="2960"/>
      <c r="AL194" s="2960"/>
      <c r="AM194" s="2960"/>
    </row>
    <row r="195" spans="1:42" ht="15" customHeight="1">
      <c r="A195" s="2948"/>
      <c r="B195" s="3052"/>
      <c r="C195" s="2993"/>
      <c r="D195" s="3053"/>
      <c r="E195" s="3053"/>
      <c r="F195" s="3035"/>
      <c r="G195" s="3041"/>
      <c r="H195" s="3097"/>
      <c r="I195" s="3097"/>
      <c r="J195" s="3054"/>
      <c r="K195" s="3047"/>
      <c r="L195" s="3048"/>
      <c r="M195" s="3049"/>
      <c r="N195" s="2984"/>
      <c r="O195" s="3039"/>
      <c r="P195" s="3039"/>
      <c r="Q195" s="2952"/>
      <c r="R195" s="3051"/>
      <c r="V195" s="2960"/>
      <c r="W195" s="2960"/>
      <c r="AL195" s="2960"/>
      <c r="AM195" s="2960"/>
    </row>
    <row r="196" spans="1:42" ht="15" customHeight="1">
      <c r="A196" s="2948"/>
      <c r="B196" s="3052"/>
      <c r="C196" s="2993"/>
      <c r="D196" s="3053"/>
      <c r="E196" s="3053"/>
      <c r="F196" s="3035"/>
      <c r="G196" s="3041"/>
      <c r="H196" s="3097"/>
      <c r="I196" s="3097"/>
      <c r="J196" s="3036"/>
      <c r="K196" s="3047"/>
      <c r="L196" s="3047"/>
      <c r="M196" s="2984"/>
      <c r="N196" s="2984"/>
      <c r="O196" s="3039"/>
      <c r="P196" s="3039"/>
      <c r="Q196" s="2952"/>
    </row>
    <row r="197" spans="1:42" ht="15" customHeight="1">
      <c r="A197" s="2948"/>
      <c r="B197" s="3052"/>
      <c r="C197" s="2993"/>
      <c r="D197" s="3053"/>
      <c r="E197" s="3053"/>
      <c r="F197" s="3035"/>
      <c r="G197" s="3041"/>
      <c r="H197" s="3097"/>
      <c r="I197" s="3097"/>
      <c r="J197" s="3054"/>
      <c r="K197" s="3047"/>
      <c r="L197" s="3047"/>
      <c r="M197" s="2984"/>
      <c r="N197" s="2984"/>
      <c r="O197" s="3039"/>
      <c r="P197" s="3039"/>
      <c r="Q197" s="2952"/>
    </row>
    <row r="198" spans="1:42" ht="15" customHeight="1">
      <c r="A198" s="2948"/>
      <c r="B198" s="3052"/>
      <c r="C198" s="2993"/>
      <c r="D198" s="3053"/>
      <c r="E198" s="3053"/>
      <c r="F198" s="3035"/>
      <c r="G198" s="3041"/>
      <c r="H198" s="3047"/>
      <c r="I198" s="3047"/>
      <c r="J198" s="3054"/>
      <c r="K198" s="3047"/>
      <c r="L198" s="3047"/>
      <c r="M198" s="2984"/>
      <c r="N198" s="2984"/>
      <c r="O198" s="3039"/>
      <c r="P198" s="3039"/>
      <c r="Q198" s="2952"/>
    </row>
    <row r="199" spans="1:42" ht="15" customHeight="1">
      <c r="A199" s="2948"/>
      <c r="B199" s="3055"/>
      <c r="C199" s="2993"/>
      <c r="D199" s="3047"/>
      <c r="E199" s="3047"/>
      <c r="F199" s="3039"/>
      <c r="G199" s="3041"/>
      <c r="H199" s="3047"/>
      <c r="I199" s="3047"/>
      <c r="J199" s="3054"/>
      <c r="K199" s="3047"/>
      <c r="L199" s="3047"/>
      <c r="M199" s="2984"/>
      <c r="N199" s="2984"/>
      <c r="O199" s="3039"/>
      <c r="P199" s="3039"/>
      <c r="Q199" s="2952"/>
    </row>
    <row r="200" spans="1:42" ht="15" customHeight="1">
      <c r="A200" s="2948"/>
      <c r="B200" s="3055"/>
      <c r="C200" s="2993"/>
      <c r="D200" s="3047"/>
      <c r="E200" s="3047"/>
      <c r="F200" s="3039"/>
      <c r="G200" s="3039"/>
      <c r="H200" s="3047"/>
      <c r="I200" s="3047"/>
      <c r="J200" s="3054"/>
      <c r="K200" s="3047"/>
      <c r="L200" s="3047"/>
      <c r="M200" s="2984"/>
      <c r="N200" s="2984"/>
      <c r="O200" s="3039"/>
      <c r="P200" s="3039"/>
      <c r="Q200" s="2952"/>
    </row>
    <row r="201" spans="1:42" ht="15" customHeight="1">
      <c r="A201" s="2959"/>
      <c r="B201" s="3056"/>
      <c r="C201" s="3057"/>
      <c r="D201" s="3048"/>
      <c r="E201" s="3048"/>
      <c r="F201" s="3058"/>
      <c r="G201" s="3058"/>
      <c r="H201" s="3048"/>
      <c r="I201" s="3048"/>
      <c r="J201" s="3037"/>
      <c r="K201" s="3048"/>
      <c r="L201" s="3048"/>
      <c r="M201" s="3049"/>
      <c r="N201" s="3049"/>
      <c r="O201" s="3058"/>
      <c r="P201" s="3058"/>
      <c r="Q201" s="2952"/>
      <c r="V201" s="2960"/>
      <c r="W201" s="2960"/>
      <c r="X201" s="2960"/>
      <c r="Y201" s="2960"/>
      <c r="Z201" s="2960"/>
      <c r="AB201" s="2961"/>
      <c r="AC201" s="2960"/>
      <c r="AD201" s="2960"/>
      <c r="AE201" s="2960"/>
      <c r="AF201" s="2960"/>
      <c r="AG201" s="2960"/>
      <c r="AH201" s="2960"/>
      <c r="AI201" s="2960"/>
      <c r="AJ201" s="2960"/>
      <c r="AK201" s="2960"/>
      <c r="AL201" s="2960"/>
      <c r="AM201" s="2960"/>
      <c r="AN201" s="2960"/>
      <c r="AO201" s="2960"/>
      <c r="AP201" s="2960"/>
    </row>
    <row r="202" spans="1:42" ht="15" customHeight="1">
      <c r="A202" s="2948"/>
      <c r="B202" s="4859"/>
      <c r="C202" s="4860"/>
      <c r="D202" s="4860"/>
      <c r="E202" s="4860"/>
      <c r="F202" s="4860"/>
      <c r="G202" s="4860"/>
      <c r="H202" s="4860"/>
      <c r="I202" s="4861"/>
      <c r="J202" s="3059"/>
      <c r="K202" s="3098"/>
      <c r="L202" s="3099"/>
      <c r="M202" s="3062"/>
      <c r="N202" s="3062"/>
      <c r="O202" s="3061"/>
      <c r="P202" s="3063"/>
      <c r="Q202" s="2952"/>
      <c r="V202" s="3064"/>
      <c r="W202" s="3064"/>
      <c r="X202" s="3064"/>
      <c r="Y202" s="3064"/>
      <c r="AE202" s="2945"/>
      <c r="AF202" s="2945"/>
      <c r="AI202" s="2978"/>
      <c r="AJ202" s="3065"/>
      <c r="AK202" s="3064"/>
      <c r="AL202" s="3064"/>
      <c r="AM202" s="3064"/>
      <c r="AN202" s="3064"/>
      <c r="AO202" s="3064"/>
    </row>
    <row r="203" spans="1:42" ht="15" customHeight="1">
      <c r="A203" s="2948"/>
      <c r="D203" s="2945"/>
      <c r="E203" s="2945"/>
      <c r="F203" s="2945"/>
      <c r="I203" s="2978"/>
      <c r="J203" s="3066"/>
      <c r="K203" s="3064"/>
      <c r="L203" s="3064"/>
      <c r="M203" s="3064"/>
      <c r="N203" s="3064"/>
      <c r="O203" s="3064"/>
      <c r="Q203" s="2952"/>
      <c r="V203" s="3064"/>
      <c r="W203" s="3064"/>
      <c r="X203" s="3064"/>
      <c r="Y203" s="3064"/>
      <c r="AE203" s="2945"/>
      <c r="AF203" s="2945"/>
      <c r="AI203" s="2978"/>
      <c r="AJ203" s="3066"/>
      <c r="AK203" s="3064"/>
      <c r="AL203" s="3064"/>
      <c r="AM203" s="3064"/>
      <c r="AN203" s="3064"/>
      <c r="AO203" s="3064"/>
    </row>
    <row r="204" spans="1:42" ht="15" customHeight="1">
      <c r="A204" s="2948"/>
      <c r="D204" s="2945"/>
      <c r="E204" s="2945"/>
      <c r="F204" s="2945"/>
      <c r="I204" s="2978"/>
      <c r="J204" s="3066"/>
      <c r="K204" s="3064"/>
      <c r="L204" s="3064"/>
      <c r="M204" s="3064"/>
      <c r="N204" s="3064"/>
      <c r="O204" s="3064"/>
      <c r="Q204" s="2952"/>
      <c r="V204" s="3064"/>
      <c r="W204" s="3064"/>
      <c r="X204" s="3064"/>
      <c r="Y204" s="3064"/>
      <c r="AE204" s="2945"/>
      <c r="AF204" s="2945"/>
      <c r="AI204" s="2978"/>
      <c r="AJ204" s="3066"/>
      <c r="AK204" s="3064"/>
      <c r="AL204" s="3064"/>
      <c r="AM204" s="3064"/>
      <c r="AN204" s="3064"/>
      <c r="AO204" s="3064"/>
    </row>
    <row r="205" spans="1:42" ht="15" customHeight="1">
      <c r="A205" s="2948"/>
      <c r="D205" s="2945"/>
      <c r="E205" s="2945"/>
      <c r="F205" s="2945"/>
      <c r="I205" s="2978"/>
      <c r="J205" s="3066"/>
      <c r="K205" s="3064"/>
      <c r="L205" s="3064"/>
      <c r="M205" s="3064"/>
      <c r="N205" s="3064"/>
      <c r="O205" s="3064"/>
      <c r="Q205" s="2952"/>
      <c r="V205" s="3064"/>
      <c r="W205" s="3064"/>
      <c r="X205" s="3064"/>
      <c r="Y205" s="3064"/>
      <c r="AE205" s="2945"/>
      <c r="AF205" s="2945"/>
      <c r="AI205" s="2978"/>
      <c r="AJ205" s="3066"/>
      <c r="AK205" s="3064"/>
      <c r="AL205" s="3064"/>
      <c r="AM205" s="3064"/>
      <c r="AN205" s="3064"/>
      <c r="AO205" s="3064"/>
    </row>
    <row r="206" spans="1:42" ht="15" customHeight="1">
      <c r="A206" s="2948"/>
      <c r="D206" s="2945"/>
      <c r="E206" s="2945"/>
      <c r="F206" s="2945"/>
      <c r="I206" s="2978"/>
      <c r="J206" s="3066"/>
      <c r="K206" s="3064"/>
      <c r="L206" s="3064"/>
      <c r="M206" s="3064"/>
      <c r="N206" s="3064"/>
      <c r="O206" s="3064"/>
      <c r="Q206" s="2952"/>
      <c r="V206" s="3064"/>
      <c r="W206" s="3064"/>
      <c r="X206" s="3064"/>
      <c r="Y206" s="3064"/>
      <c r="AE206" s="2945"/>
      <c r="AF206" s="2945"/>
      <c r="AI206" s="2978"/>
      <c r="AJ206" s="3066"/>
      <c r="AK206" s="3064"/>
      <c r="AL206" s="3064"/>
      <c r="AM206" s="3064"/>
      <c r="AN206" s="3064"/>
      <c r="AO206" s="3064"/>
    </row>
    <row r="207" spans="1:42" ht="15" customHeight="1">
      <c r="A207" s="2948"/>
      <c r="D207" s="2945"/>
      <c r="E207" s="2945"/>
      <c r="F207" s="2945"/>
      <c r="I207" s="2978"/>
      <c r="J207" s="3066"/>
      <c r="K207" s="3064"/>
      <c r="L207" s="3064"/>
      <c r="M207" s="3064"/>
      <c r="N207" s="3064"/>
      <c r="O207" s="3064"/>
      <c r="Q207" s="2952"/>
      <c r="V207" s="3064"/>
      <c r="W207" s="3064"/>
      <c r="X207" s="3064"/>
      <c r="Y207" s="3064"/>
      <c r="AE207" s="2945"/>
      <c r="AF207" s="2945"/>
      <c r="AI207" s="2978"/>
      <c r="AJ207" s="3066"/>
      <c r="AK207" s="3064"/>
      <c r="AL207" s="3064"/>
      <c r="AM207" s="3064"/>
      <c r="AN207" s="3064"/>
      <c r="AO207" s="3064"/>
    </row>
    <row r="208" spans="1:42" ht="15" customHeight="1">
      <c r="A208" s="2948"/>
      <c r="D208" s="2945"/>
      <c r="E208" s="2945"/>
      <c r="F208" s="2945"/>
      <c r="I208" s="2978"/>
      <c r="J208" s="3066"/>
      <c r="K208" s="3064"/>
      <c r="L208" s="3064"/>
      <c r="M208" s="3064"/>
      <c r="N208" s="3064"/>
      <c r="O208" s="3064"/>
      <c r="Q208" s="2952"/>
      <c r="V208" s="3064"/>
      <c r="W208" s="3064"/>
      <c r="X208" s="3064"/>
      <c r="Y208" s="3064"/>
      <c r="AE208" s="2945"/>
      <c r="AF208" s="2945"/>
      <c r="AI208" s="2978"/>
      <c r="AJ208" s="3066"/>
      <c r="AK208" s="3064"/>
      <c r="AL208" s="3064"/>
      <c r="AM208" s="3064"/>
      <c r="AN208" s="3064"/>
      <c r="AO208" s="3064"/>
    </row>
    <row r="209" spans="1:41" ht="15" customHeight="1">
      <c r="A209" s="2948"/>
      <c r="D209" s="2945"/>
      <c r="E209" s="2945"/>
      <c r="F209" s="2945"/>
      <c r="I209" s="2978"/>
      <c r="J209" s="3066"/>
      <c r="K209" s="3064"/>
      <c r="L209" s="3064"/>
      <c r="M209" s="3064"/>
      <c r="N209" s="3064"/>
      <c r="O209" s="3064"/>
      <c r="Q209" s="2952"/>
      <c r="V209" s="3064"/>
      <c r="W209" s="3064"/>
      <c r="X209" s="3064"/>
      <c r="Y209" s="3064"/>
      <c r="AE209" s="2945"/>
      <c r="AF209" s="2945"/>
      <c r="AI209" s="2978"/>
      <c r="AJ209" s="3066"/>
      <c r="AK209" s="3064"/>
      <c r="AL209" s="3064"/>
      <c r="AM209" s="3064"/>
      <c r="AN209" s="3064"/>
      <c r="AO209" s="3064"/>
    </row>
    <row r="210" spans="1:41" ht="15" customHeight="1">
      <c r="A210" s="2948"/>
      <c r="D210" s="2945"/>
      <c r="E210" s="2945"/>
      <c r="F210" s="2945"/>
      <c r="I210" s="2978"/>
      <c r="J210" s="3066"/>
      <c r="K210" s="3064"/>
      <c r="L210" s="3064"/>
      <c r="M210" s="3064"/>
      <c r="N210" s="3064"/>
      <c r="O210" s="3064"/>
      <c r="Q210" s="2952"/>
      <c r="V210" s="3064"/>
      <c r="W210" s="3064"/>
      <c r="X210" s="3064"/>
      <c r="Y210" s="3064"/>
      <c r="AE210" s="2945"/>
      <c r="AF210" s="2945"/>
      <c r="AI210" s="2978"/>
      <c r="AJ210" s="3066"/>
      <c r="AK210" s="3064"/>
      <c r="AL210" s="3064"/>
      <c r="AM210" s="3064"/>
      <c r="AN210" s="3064"/>
      <c r="AO210" s="3064"/>
    </row>
    <row r="211" spans="1:41" ht="15" customHeight="1">
      <c r="A211" s="2948"/>
      <c r="D211" s="2945"/>
      <c r="E211" s="2945"/>
      <c r="F211" s="2945"/>
      <c r="I211" s="2978"/>
      <c r="J211" s="3066"/>
      <c r="K211" s="3064"/>
      <c r="L211" s="3064"/>
      <c r="M211" s="3064"/>
      <c r="N211" s="3064"/>
      <c r="O211" s="3064"/>
      <c r="Q211" s="2952"/>
      <c r="V211" s="3064"/>
      <c r="W211" s="3064"/>
      <c r="X211" s="3064"/>
      <c r="Y211" s="3064"/>
      <c r="AE211" s="2945"/>
      <c r="AF211" s="2945"/>
      <c r="AI211" s="2978"/>
      <c r="AJ211" s="3066"/>
      <c r="AK211" s="3064"/>
      <c r="AL211" s="3064"/>
      <c r="AM211" s="3064"/>
      <c r="AN211" s="3064"/>
      <c r="AO211" s="3064"/>
    </row>
    <row r="212" spans="1:41" ht="15" customHeight="1">
      <c r="A212" s="2948"/>
      <c r="D212" s="2945"/>
      <c r="E212" s="2945"/>
      <c r="F212" s="2945"/>
      <c r="I212" s="2978"/>
      <c r="J212" s="3066"/>
      <c r="K212" s="3064"/>
      <c r="L212" s="3064"/>
      <c r="M212" s="3064"/>
      <c r="N212" s="3064"/>
      <c r="O212" s="3064"/>
      <c r="Q212" s="2952"/>
      <c r="V212" s="3064"/>
      <c r="W212" s="3064"/>
      <c r="X212" s="3064"/>
      <c r="Y212" s="3064"/>
      <c r="AE212" s="2945"/>
      <c r="AF212" s="2945"/>
      <c r="AI212" s="2978"/>
      <c r="AJ212" s="3066"/>
      <c r="AK212" s="3064"/>
      <c r="AL212" s="3064"/>
      <c r="AM212" s="3064"/>
      <c r="AN212" s="3064"/>
      <c r="AO212" s="3064"/>
    </row>
    <row r="213" spans="1:41" ht="15" customHeight="1">
      <c r="A213" s="2948"/>
      <c r="D213" s="2945"/>
      <c r="E213" s="2945"/>
      <c r="F213" s="2945"/>
      <c r="I213" s="2978"/>
      <c r="J213" s="3066"/>
      <c r="K213" s="3064"/>
      <c r="L213" s="3064"/>
      <c r="M213" s="3064"/>
      <c r="N213" s="3064"/>
      <c r="O213" s="3064"/>
      <c r="Q213" s="2952"/>
      <c r="V213" s="3064"/>
      <c r="W213" s="3064"/>
      <c r="X213" s="3064"/>
      <c r="Y213" s="3064"/>
      <c r="AE213" s="2945"/>
      <c r="AF213" s="2945"/>
      <c r="AI213" s="2978"/>
      <c r="AJ213" s="3066"/>
      <c r="AK213" s="3064"/>
      <c r="AL213" s="3064"/>
      <c r="AM213" s="3064"/>
      <c r="AN213" s="3064"/>
      <c r="AO213" s="3064"/>
    </row>
    <row r="214" spans="1:41" ht="15" customHeight="1">
      <c r="A214" s="2948"/>
      <c r="D214" s="2945"/>
      <c r="E214" s="2945"/>
      <c r="F214" s="2945"/>
      <c r="I214" s="2978"/>
      <c r="J214" s="3066"/>
      <c r="K214" s="3064"/>
      <c r="L214" s="3064"/>
      <c r="M214" s="3064"/>
      <c r="N214" s="3064"/>
      <c r="O214" s="3064"/>
      <c r="Q214" s="2952"/>
      <c r="V214" s="3064"/>
      <c r="W214" s="3064"/>
      <c r="X214" s="3064"/>
      <c r="Y214" s="3064"/>
      <c r="AE214" s="2945"/>
      <c r="AF214" s="2945"/>
      <c r="AI214" s="2978"/>
      <c r="AJ214" s="3066"/>
      <c r="AK214" s="3064"/>
      <c r="AL214" s="3064"/>
      <c r="AM214" s="3064"/>
      <c r="AN214" s="3064"/>
      <c r="AO214" s="3064"/>
    </row>
    <row r="215" spans="1:41" ht="15" customHeight="1">
      <c r="A215" s="2948"/>
      <c r="D215" s="2945"/>
      <c r="E215" s="2945"/>
      <c r="F215" s="2945"/>
      <c r="I215" s="2978"/>
      <c r="J215" s="3066"/>
      <c r="K215" s="3064"/>
      <c r="L215" s="3064"/>
      <c r="M215" s="3064"/>
      <c r="N215" s="3064"/>
      <c r="O215" s="3064"/>
      <c r="Q215" s="2952"/>
      <c r="V215" s="3064"/>
      <c r="W215" s="3064"/>
      <c r="X215" s="3064"/>
      <c r="Y215" s="3064"/>
      <c r="AE215" s="2945"/>
      <c r="AF215" s="2945"/>
      <c r="AI215" s="2978"/>
      <c r="AJ215" s="3066"/>
      <c r="AK215" s="3064"/>
      <c r="AL215" s="3064"/>
      <c r="AM215" s="3064"/>
      <c r="AN215" s="3064"/>
      <c r="AO215" s="3064"/>
    </row>
    <row r="216" spans="1:41" ht="15" customHeight="1">
      <c r="A216" s="2948"/>
      <c r="D216" s="2945"/>
      <c r="E216" s="2945"/>
      <c r="F216" s="2945"/>
      <c r="I216" s="2978"/>
      <c r="J216" s="3066"/>
      <c r="K216" s="3064"/>
      <c r="L216" s="3064"/>
      <c r="M216" s="3064"/>
      <c r="N216" s="3064"/>
      <c r="O216" s="3064"/>
      <c r="Q216" s="2952"/>
      <c r="V216" s="3064"/>
      <c r="W216" s="3064"/>
      <c r="X216" s="3064"/>
      <c r="Y216" s="3064"/>
      <c r="AE216" s="2945"/>
      <c r="AF216" s="2945"/>
      <c r="AI216" s="2978"/>
      <c r="AJ216" s="3066"/>
      <c r="AK216" s="3064"/>
      <c r="AL216" s="3064"/>
      <c r="AM216" s="3064"/>
      <c r="AN216" s="3064"/>
      <c r="AO216" s="3064"/>
    </row>
    <row r="217" spans="1:41" ht="15" customHeight="1">
      <c r="A217" s="2948"/>
      <c r="D217" s="2945"/>
      <c r="E217" s="2945"/>
      <c r="F217" s="2945"/>
      <c r="I217" s="2978"/>
      <c r="J217" s="3066"/>
      <c r="K217" s="3064"/>
      <c r="L217" s="3064"/>
      <c r="M217" s="3064"/>
      <c r="N217" s="3064"/>
      <c r="O217" s="3064"/>
      <c r="Q217" s="2952"/>
      <c r="V217" s="3064"/>
      <c r="W217" s="3064"/>
      <c r="X217" s="3064"/>
      <c r="Y217" s="3064"/>
      <c r="AE217" s="2945"/>
      <c r="AF217" s="2945"/>
      <c r="AI217" s="2978"/>
      <c r="AJ217" s="3066"/>
      <c r="AK217" s="3064"/>
      <c r="AL217" s="3064"/>
      <c r="AM217" s="3064"/>
      <c r="AN217" s="3064"/>
      <c r="AO217" s="3064"/>
    </row>
    <row r="218" spans="1:41" ht="15" customHeight="1">
      <c r="A218" s="2948"/>
      <c r="D218" s="2945"/>
      <c r="E218" s="2945"/>
      <c r="F218" s="2945"/>
      <c r="I218" s="2978"/>
      <c r="J218" s="3066"/>
      <c r="K218" s="3064"/>
      <c r="L218" s="3064"/>
      <c r="M218" s="3064"/>
      <c r="N218" s="3064"/>
      <c r="O218" s="3064"/>
      <c r="Q218" s="2952"/>
      <c r="V218" s="3064"/>
      <c r="W218" s="3064"/>
      <c r="X218" s="3064"/>
      <c r="Y218" s="3064"/>
      <c r="AE218" s="2945"/>
      <c r="AF218" s="2945"/>
      <c r="AI218" s="2978"/>
      <c r="AJ218" s="3066"/>
      <c r="AK218" s="3064"/>
      <c r="AL218" s="3064"/>
      <c r="AM218" s="3064"/>
      <c r="AN218" s="3064"/>
      <c r="AO218" s="3064"/>
    </row>
    <row r="219" spans="1:41" ht="15" customHeight="1">
      <c r="A219" s="2948"/>
      <c r="D219" s="2945"/>
      <c r="E219" s="2945"/>
      <c r="F219" s="2945"/>
      <c r="I219" s="2978"/>
      <c r="J219" s="3066"/>
      <c r="K219" s="3064"/>
      <c r="L219" s="3064"/>
      <c r="M219" s="3064"/>
      <c r="N219" s="3064"/>
      <c r="O219" s="3064"/>
      <c r="Q219" s="2952"/>
      <c r="V219" s="3064"/>
      <c r="W219" s="3064"/>
      <c r="X219" s="3064"/>
      <c r="Y219" s="3064"/>
      <c r="AE219" s="2945"/>
      <c r="AF219" s="2945"/>
      <c r="AI219" s="2978"/>
      <c r="AJ219" s="3066"/>
      <c r="AK219" s="3064"/>
      <c r="AL219" s="3064"/>
      <c r="AM219" s="3064"/>
      <c r="AN219" s="3064"/>
      <c r="AO219" s="3064"/>
    </row>
    <row r="220" spans="1:41" ht="15" customHeight="1">
      <c r="A220" s="2948"/>
      <c r="D220" s="2945"/>
      <c r="E220" s="2945"/>
      <c r="F220" s="2945"/>
      <c r="I220" s="2978"/>
      <c r="J220" s="3066"/>
      <c r="K220" s="3064"/>
      <c r="L220" s="3064"/>
      <c r="M220" s="3064"/>
      <c r="N220" s="3064"/>
      <c r="O220" s="3064"/>
      <c r="Q220" s="2952"/>
      <c r="V220" s="3064"/>
      <c r="W220" s="3064"/>
      <c r="X220" s="3064"/>
      <c r="Y220" s="3064"/>
      <c r="AE220" s="2945"/>
      <c r="AF220" s="2945"/>
      <c r="AI220" s="2978"/>
      <c r="AJ220" s="3066"/>
      <c r="AK220" s="3064"/>
      <c r="AL220" s="3064"/>
      <c r="AM220" s="3064"/>
      <c r="AN220" s="3064"/>
      <c r="AO220" s="3064"/>
    </row>
    <row r="221" spans="1:41" ht="15" customHeight="1">
      <c r="A221" s="2948"/>
      <c r="D221" s="2945"/>
      <c r="E221" s="2945"/>
      <c r="F221" s="2945"/>
      <c r="I221" s="2978"/>
      <c r="J221" s="3066"/>
      <c r="K221" s="3064"/>
      <c r="L221" s="3064"/>
      <c r="M221" s="3064"/>
      <c r="N221" s="3064"/>
      <c r="O221" s="3064"/>
      <c r="Q221" s="2952"/>
      <c r="V221" s="3064"/>
      <c r="W221" s="3064"/>
      <c r="X221" s="3064"/>
      <c r="Y221" s="3064"/>
      <c r="AE221" s="2945"/>
      <c r="AF221" s="2945"/>
      <c r="AI221" s="2978"/>
      <c r="AJ221" s="3066"/>
      <c r="AK221" s="3064"/>
      <c r="AL221" s="3064"/>
      <c r="AM221" s="3064"/>
      <c r="AN221" s="3064"/>
      <c r="AO221" s="3064"/>
    </row>
    <row r="222" spans="1:41" ht="15" customHeight="1">
      <c r="A222" s="2948"/>
      <c r="D222" s="2945"/>
      <c r="E222" s="2945"/>
      <c r="F222" s="2945"/>
      <c r="I222" s="2978"/>
      <c r="J222" s="3066"/>
      <c r="K222" s="3064"/>
      <c r="L222" s="3064"/>
      <c r="M222" s="3064"/>
      <c r="N222" s="3064"/>
      <c r="O222" s="3064"/>
      <c r="Q222" s="2952"/>
      <c r="V222" s="3064"/>
      <c r="W222" s="3064"/>
      <c r="X222" s="3064"/>
      <c r="Y222" s="3064"/>
      <c r="AE222" s="2945"/>
      <c r="AF222" s="2945"/>
      <c r="AI222" s="2978"/>
      <c r="AJ222" s="3066"/>
      <c r="AK222" s="3064"/>
      <c r="AL222" s="3064"/>
      <c r="AM222" s="3064"/>
      <c r="AN222" s="3064"/>
      <c r="AO222" s="3064"/>
    </row>
    <row r="223" spans="1:41" ht="15" customHeight="1">
      <c r="A223" s="2948"/>
      <c r="D223" s="2945"/>
      <c r="E223" s="2945"/>
      <c r="F223" s="2945"/>
      <c r="I223" s="2978"/>
      <c r="J223" s="3066"/>
      <c r="K223" s="3064"/>
      <c r="L223" s="3064"/>
      <c r="M223" s="3064"/>
      <c r="N223" s="3064"/>
      <c r="O223" s="3064"/>
      <c r="Q223" s="2952"/>
      <c r="V223" s="3064"/>
      <c r="W223" s="3064"/>
      <c r="X223" s="3064"/>
      <c r="Y223" s="3064"/>
      <c r="AE223" s="2945"/>
      <c r="AF223" s="2945"/>
      <c r="AI223" s="2978"/>
      <c r="AJ223" s="3066"/>
      <c r="AK223" s="3064"/>
      <c r="AL223" s="3064"/>
      <c r="AM223" s="3064"/>
      <c r="AN223" s="3064"/>
      <c r="AO223" s="3064"/>
    </row>
    <row r="224" spans="1:41" ht="15" customHeight="1">
      <c r="A224" s="2948"/>
      <c r="D224" s="2945"/>
      <c r="E224" s="2945"/>
      <c r="F224" s="2945"/>
      <c r="I224" s="2978"/>
      <c r="J224" s="3066"/>
      <c r="K224" s="3064"/>
      <c r="L224" s="3064"/>
      <c r="M224" s="3064"/>
      <c r="N224" s="3064"/>
      <c r="O224" s="3064"/>
      <c r="Q224" s="2952"/>
      <c r="V224" s="3064"/>
      <c r="W224" s="3064"/>
      <c r="X224" s="3064"/>
      <c r="Y224" s="3064"/>
      <c r="AE224" s="2945"/>
      <c r="AF224" s="2945"/>
      <c r="AI224" s="2978"/>
      <c r="AJ224" s="3066"/>
      <c r="AK224" s="3064"/>
      <c r="AL224" s="3064"/>
      <c r="AM224" s="3064"/>
      <c r="AN224" s="3064"/>
      <c r="AO224" s="3064"/>
    </row>
    <row r="225" spans="1:41" ht="15" customHeight="1">
      <c r="A225" s="2948"/>
      <c r="D225" s="2945"/>
      <c r="E225" s="2945"/>
      <c r="F225" s="2945"/>
      <c r="I225" s="2978"/>
      <c r="J225" s="3066"/>
      <c r="K225" s="3064"/>
      <c r="L225" s="3064"/>
      <c r="M225" s="3064"/>
      <c r="N225" s="3064"/>
      <c r="O225" s="3064"/>
      <c r="Q225" s="2952"/>
      <c r="V225" s="3064"/>
      <c r="W225" s="3064"/>
      <c r="X225" s="3064"/>
      <c r="Y225" s="3064"/>
      <c r="AE225" s="2945"/>
      <c r="AF225" s="2945"/>
      <c r="AI225" s="2978"/>
      <c r="AJ225" s="3066"/>
      <c r="AK225" s="3064"/>
      <c r="AL225" s="3064"/>
      <c r="AM225" s="3064"/>
      <c r="AN225" s="3064"/>
      <c r="AO225" s="3064"/>
    </row>
    <row r="226" spans="1:41" ht="15" customHeight="1">
      <c r="A226" s="2948"/>
      <c r="D226" s="2945"/>
      <c r="E226" s="2945"/>
      <c r="F226" s="2945"/>
      <c r="I226" s="2978"/>
      <c r="J226" s="3066"/>
      <c r="K226" s="3064"/>
      <c r="L226" s="3064"/>
      <c r="M226" s="3064"/>
      <c r="N226" s="3064"/>
      <c r="O226" s="3064"/>
      <c r="Q226" s="2952"/>
      <c r="V226" s="3064"/>
      <c r="W226" s="3064"/>
      <c r="X226" s="3064"/>
      <c r="Y226" s="3064"/>
      <c r="AE226" s="2945"/>
      <c r="AF226" s="2945"/>
      <c r="AI226" s="2978"/>
      <c r="AJ226" s="3066"/>
      <c r="AK226" s="3064"/>
      <c r="AL226" s="3064"/>
      <c r="AM226" s="3064"/>
      <c r="AN226" s="3064"/>
      <c r="AO226" s="3064"/>
    </row>
    <row r="227" spans="1:41" ht="15" customHeight="1">
      <c r="A227" s="2948"/>
      <c r="D227" s="2945"/>
      <c r="E227" s="2945"/>
      <c r="F227" s="2945"/>
      <c r="I227" s="2978"/>
      <c r="J227" s="3066"/>
      <c r="K227" s="3064"/>
      <c r="L227" s="3064"/>
      <c r="M227" s="3064"/>
      <c r="N227" s="3064"/>
      <c r="O227" s="3064"/>
      <c r="Q227" s="2952"/>
      <c r="V227" s="3064"/>
      <c r="W227" s="3064"/>
      <c r="X227" s="3064"/>
      <c r="Y227" s="3064"/>
      <c r="AE227" s="2945"/>
      <c r="AF227" s="2945"/>
      <c r="AI227" s="2978"/>
      <c r="AJ227" s="3066"/>
      <c r="AK227" s="3064"/>
      <c r="AL227" s="3064"/>
      <c r="AM227" s="3064"/>
      <c r="AN227" s="3064"/>
      <c r="AO227" s="3064"/>
    </row>
    <row r="228" spans="1:41" ht="15" customHeight="1">
      <c r="A228" s="2948"/>
      <c r="D228" s="2945"/>
      <c r="E228" s="2945"/>
      <c r="F228" s="2945"/>
      <c r="I228" s="2978"/>
      <c r="J228" s="3066"/>
      <c r="K228" s="3064"/>
      <c r="L228" s="3064"/>
      <c r="M228" s="3064"/>
      <c r="N228" s="3064"/>
      <c r="O228" s="3064"/>
      <c r="Q228" s="2952"/>
      <c r="V228" s="3064"/>
      <c r="W228" s="3064"/>
      <c r="X228" s="3064"/>
      <c r="Y228" s="3064"/>
      <c r="AE228" s="2945"/>
      <c r="AF228" s="2945"/>
      <c r="AI228" s="2978"/>
      <c r="AJ228" s="3066"/>
      <c r="AK228" s="3064"/>
      <c r="AL228" s="3064"/>
      <c r="AM228" s="3064"/>
      <c r="AN228" s="3064"/>
      <c r="AO228" s="3064"/>
    </row>
    <row r="229" spans="1:41" ht="15" customHeight="1">
      <c r="A229" s="2948"/>
      <c r="D229" s="2945"/>
      <c r="E229" s="2945"/>
      <c r="F229" s="2945"/>
      <c r="I229" s="2978"/>
      <c r="J229" s="3066"/>
      <c r="K229" s="3064"/>
      <c r="L229" s="3064"/>
      <c r="M229" s="3064"/>
      <c r="N229" s="3064"/>
      <c r="O229" s="3064"/>
      <c r="Q229" s="2952"/>
      <c r="V229" s="3064"/>
      <c r="W229" s="3064"/>
      <c r="X229" s="3064"/>
      <c r="Y229" s="3064"/>
      <c r="AE229" s="2945"/>
      <c r="AF229" s="2945"/>
      <c r="AI229" s="2978"/>
      <c r="AJ229" s="3066"/>
      <c r="AK229" s="3064"/>
      <c r="AL229" s="3064"/>
      <c r="AM229" s="3064"/>
      <c r="AN229" s="3064"/>
      <c r="AO229" s="3064"/>
    </row>
    <row r="230" spans="1:41" ht="15" customHeight="1">
      <c r="A230" s="2951"/>
      <c r="B230" s="2949"/>
      <c r="C230" s="2949"/>
      <c r="D230" s="3067"/>
      <c r="E230" s="3067"/>
      <c r="F230" s="3067"/>
      <c r="G230" s="2949"/>
      <c r="H230" s="2949"/>
      <c r="I230" s="3068"/>
      <c r="J230" s="3069"/>
      <c r="K230" s="3070"/>
      <c r="L230" s="3070"/>
      <c r="M230" s="3070"/>
      <c r="N230" s="3070"/>
      <c r="O230" s="3070"/>
      <c r="P230" s="2949"/>
      <c r="Q230" s="2969"/>
      <c r="V230" s="3064"/>
      <c r="W230" s="3064"/>
      <c r="X230" s="3064"/>
      <c r="Y230" s="3064"/>
      <c r="AE230" s="2945"/>
      <c r="AF230" s="2945"/>
      <c r="AI230" s="2978"/>
      <c r="AJ230" s="3066"/>
      <c r="AK230" s="3064"/>
      <c r="AL230" s="3064"/>
      <c r="AM230" s="3064"/>
      <c r="AN230" s="3064"/>
      <c r="AO230" s="3064"/>
    </row>
  </sheetData>
  <mergeCells count="56">
    <mergeCell ref="B202:I202"/>
    <mergeCell ref="J2:Q2"/>
    <mergeCell ref="J3:Q3"/>
    <mergeCell ref="J4:M4"/>
    <mergeCell ref="J5:M5"/>
    <mergeCell ref="B172:D172"/>
    <mergeCell ref="E172:F172"/>
    <mergeCell ref="G106:G107"/>
    <mergeCell ref="H106:J106"/>
    <mergeCell ref="K106:P106"/>
    <mergeCell ref="M107:N107"/>
    <mergeCell ref="B125:I125"/>
    <mergeCell ref="M168:O168"/>
    <mergeCell ref="B48:I48"/>
    <mergeCell ref="J81:K81"/>
    <mergeCell ref="M91:O91"/>
    <mergeCell ref="S177:U177"/>
    <mergeCell ref="V177:W177"/>
    <mergeCell ref="G183:G184"/>
    <mergeCell ref="H183:J183"/>
    <mergeCell ref="K183:P183"/>
    <mergeCell ref="M184:N184"/>
    <mergeCell ref="S174:U174"/>
    <mergeCell ref="V174:W174"/>
    <mergeCell ref="S176:U176"/>
    <mergeCell ref="V176:W176"/>
    <mergeCell ref="B169:D169"/>
    <mergeCell ref="E169:F169"/>
    <mergeCell ref="M169:N169"/>
    <mergeCell ref="B170:D170"/>
    <mergeCell ref="E170:F170"/>
    <mergeCell ref="B171:D171"/>
    <mergeCell ref="E171:F171"/>
    <mergeCell ref="S97:U97"/>
    <mergeCell ref="V97:W97"/>
    <mergeCell ref="S99:U99"/>
    <mergeCell ref="V99:W99"/>
    <mergeCell ref="S100:U100"/>
    <mergeCell ref="V100:W100"/>
    <mergeCell ref="B92:D92"/>
    <mergeCell ref="E92:F92"/>
    <mergeCell ref="M92:N92"/>
    <mergeCell ref="V20:W20"/>
    <mergeCell ref="S22:U22"/>
    <mergeCell ref="V22:W22"/>
    <mergeCell ref="S23:U23"/>
    <mergeCell ref="V23:W23"/>
    <mergeCell ref="G29:G30"/>
    <mergeCell ref="H29:J29"/>
    <mergeCell ref="K29:P29"/>
    <mergeCell ref="M30:N30"/>
    <mergeCell ref="M14:O14"/>
    <mergeCell ref="B15:D15"/>
    <mergeCell ref="E15:F15"/>
    <mergeCell ref="M15:N15"/>
    <mergeCell ref="S20:U20"/>
  </mergeCells>
  <printOptions horizontalCentered="1" verticalCentered="1"/>
  <pageMargins left="0.59055118110236227" right="0.35433070866141736" top="0.74803149606299213" bottom="0.74803149606299213" header="0.23622047244094491" footer="0.59055118110236227"/>
  <pageSetup paperSize="9" scale="61" fitToHeight="3" orientation="portrait" r:id="rId1"/>
  <headerFooter alignWithMargins="0">
    <oddHeader>&amp;R&amp;P of &amp;N</oddHeader>
    <oddFooter>&amp;LC/LAB DATA/2001/IMK001/BATCH240701/TRIAXIAL/&amp;F/&amp;A</oddFooter>
  </headerFooter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55BC7-4139-4017-A288-8992776111BD}">
  <sheetPr>
    <tabColor theme="1"/>
    <pageSetUpPr fitToPage="1"/>
  </sheetPr>
  <dimension ref="A2:AO192"/>
  <sheetViews>
    <sheetView showGridLines="0" topLeftCell="A62" zoomScale="89" zoomScaleNormal="89" workbookViewId="0">
      <selection activeCell="L190" sqref="L190"/>
    </sheetView>
  </sheetViews>
  <sheetFormatPr defaultColWidth="7.75" defaultRowHeight="13.5"/>
  <cols>
    <col min="1" max="1" width="7.875" style="2947" customWidth="1"/>
    <col min="2" max="2" width="9" style="2947" customWidth="1"/>
    <col min="3" max="3" width="0.875" style="2947" customWidth="1"/>
    <col min="4" max="4" width="11.125" style="2947" customWidth="1"/>
    <col min="5" max="5" width="1.25" style="2947" customWidth="1"/>
    <col min="6" max="6" width="12.125" style="2947" customWidth="1"/>
    <col min="7" max="7" width="8.125" style="2947" customWidth="1"/>
    <col min="8" max="8" width="9.125" style="2947" customWidth="1"/>
    <col min="9" max="9" width="9.625" style="2947" customWidth="1"/>
    <col min="10" max="11" width="10.75" style="2947" customWidth="1"/>
    <col min="12" max="12" width="1.25" style="2947" customWidth="1"/>
    <col min="13" max="13" width="11.75" style="2947" customWidth="1"/>
    <col min="14" max="14" width="1" style="2947" customWidth="1"/>
    <col min="15" max="15" width="9.375" style="2947" customWidth="1"/>
    <col min="16" max="16" width="7.75" style="2947"/>
    <col min="17" max="18" width="7.75" style="2945" customWidth="1"/>
    <col min="19" max="256" width="7.75" style="2947"/>
    <col min="257" max="257" width="7.875" style="2947" customWidth="1"/>
    <col min="258" max="258" width="9" style="2947" customWidth="1"/>
    <col min="259" max="259" width="0.875" style="2947" customWidth="1"/>
    <col min="260" max="260" width="11.125" style="2947" customWidth="1"/>
    <col min="261" max="261" width="1.25" style="2947" customWidth="1"/>
    <col min="262" max="262" width="12.125" style="2947" customWidth="1"/>
    <col min="263" max="263" width="8.125" style="2947" customWidth="1"/>
    <col min="264" max="264" width="9.125" style="2947" customWidth="1"/>
    <col min="265" max="265" width="9.625" style="2947" customWidth="1"/>
    <col min="266" max="267" width="10.75" style="2947" customWidth="1"/>
    <col min="268" max="268" width="1.25" style="2947" customWidth="1"/>
    <col min="269" max="269" width="11.75" style="2947" customWidth="1"/>
    <col min="270" max="270" width="1" style="2947" customWidth="1"/>
    <col min="271" max="271" width="9.375" style="2947" customWidth="1"/>
    <col min="272" max="512" width="7.75" style="2947"/>
    <col min="513" max="513" width="7.875" style="2947" customWidth="1"/>
    <col min="514" max="514" width="9" style="2947" customWidth="1"/>
    <col min="515" max="515" width="0.875" style="2947" customWidth="1"/>
    <col min="516" max="516" width="11.125" style="2947" customWidth="1"/>
    <col min="517" max="517" width="1.25" style="2947" customWidth="1"/>
    <col min="518" max="518" width="12.125" style="2947" customWidth="1"/>
    <col min="519" max="519" width="8.125" style="2947" customWidth="1"/>
    <col min="520" max="520" width="9.125" style="2947" customWidth="1"/>
    <col min="521" max="521" width="9.625" style="2947" customWidth="1"/>
    <col min="522" max="523" width="10.75" style="2947" customWidth="1"/>
    <col min="524" max="524" width="1.25" style="2947" customWidth="1"/>
    <col min="525" max="525" width="11.75" style="2947" customWidth="1"/>
    <col min="526" max="526" width="1" style="2947" customWidth="1"/>
    <col min="527" max="527" width="9.375" style="2947" customWidth="1"/>
    <col min="528" max="768" width="7.75" style="2947"/>
    <col min="769" max="769" width="7.875" style="2947" customWidth="1"/>
    <col min="770" max="770" width="9" style="2947" customWidth="1"/>
    <col min="771" max="771" width="0.875" style="2947" customWidth="1"/>
    <col min="772" max="772" width="11.125" style="2947" customWidth="1"/>
    <col min="773" max="773" width="1.25" style="2947" customWidth="1"/>
    <col min="774" max="774" width="12.125" style="2947" customWidth="1"/>
    <col min="775" max="775" width="8.125" style="2947" customWidth="1"/>
    <col min="776" max="776" width="9.125" style="2947" customWidth="1"/>
    <col min="777" max="777" width="9.625" style="2947" customWidth="1"/>
    <col min="778" max="779" width="10.75" style="2947" customWidth="1"/>
    <col min="780" max="780" width="1.25" style="2947" customWidth="1"/>
    <col min="781" max="781" width="11.75" style="2947" customWidth="1"/>
    <col min="782" max="782" width="1" style="2947" customWidth="1"/>
    <col min="783" max="783" width="9.375" style="2947" customWidth="1"/>
    <col min="784" max="1024" width="7.75" style="2947"/>
    <col min="1025" max="1025" width="7.875" style="2947" customWidth="1"/>
    <col min="1026" max="1026" width="9" style="2947" customWidth="1"/>
    <col min="1027" max="1027" width="0.875" style="2947" customWidth="1"/>
    <col min="1028" max="1028" width="11.125" style="2947" customWidth="1"/>
    <col min="1029" max="1029" width="1.25" style="2947" customWidth="1"/>
    <col min="1030" max="1030" width="12.125" style="2947" customWidth="1"/>
    <col min="1031" max="1031" width="8.125" style="2947" customWidth="1"/>
    <col min="1032" max="1032" width="9.125" style="2947" customWidth="1"/>
    <col min="1033" max="1033" width="9.625" style="2947" customWidth="1"/>
    <col min="1034" max="1035" width="10.75" style="2947" customWidth="1"/>
    <col min="1036" max="1036" width="1.25" style="2947" customWidth="1"/>
    <col min="1037" max="1037" width="11.75" style="2947" customWidth="1"/>
    <col min="1038" max="1038" width="1" style="2947" customWidth="1"/>
    <col min="1039" max="1039" width="9.375" style="2947" customWidth="1"/>
    <col min="1040" max="1280" width="7.75" style="2947"/>
    <col min="1281" max="1281" width="7.875" style="2947" customWidth="1"/>
    <col min="1282" max="1282" width="9" style="2947" customWidth="1"/>
    <col min="1283" max="1283" width="0.875" style="2947" customWidth="1"/>
    <col min="1284" max="1284" width="11.125" style="2947" customWidth="1"/>
    <col min="1285" max="1285" width="1.25" style="2947" customWidth="1"/>
    <col min="1286" max="1286" width="12.125" style="2947" customWidth="1"/>
    <col min="1287" max="1287" width="8.125" style="2947" customWidth="1"/>
    <col min="1288" max="1288" width="9.125" style="2947" customWidth="1"/>
    <col min="1289" max="1289" width="9.625" style="2947" customWidth="1"/>
    <col min="1290" max="1291" width="10.75" style="2947" customWidth="1"/>
    <col min="1292" max="1292" width="1.25" style="2947" customWidth="1"/>
    <col min="1293" max="1293" width="11.75" style="2947" customWidth="1"/>
    <col min="1294" max="1294" width="1" style="2947" customWidth="1"/>
    <col min="1295" max="1295" width="9.375" style="2947" customWidth="1"/>
    <col min="1296" max="1536" width="7.75" style="2947"/>
    <col min="1537" max="1537" width="7.875" style="2947" customWidth="1"/>
    <col min="1538" max="1538" width="9" style="2947" customWidth="1"/>
    <col min="1539" max="1539" width="0.875" style="2947" customWidth="1"/>
    <col min="1540" max="1540" width="11.125" style="2947" customWidth="1"/>
    <col min="1541" max="1541" width="1.25" style="2947" customWidth="1"/>
    <col min="1542" max="1542" width="12.125" style="2947" customWidth="1"/>
    <col min="1543" max="1543" width="8.125" style="2947" customWidth="1"/>
    <col min="1544" max="1544" width="9.125" style="2947" customWidth="1"/>
    <col min="1545" max="1545" width="9.625" style="2947" customWidth="1"/>
    <col min="1546" max="1547" width="10.75" style="2947" customWidth="1"/>
    <col min="1548" max="1548" width="1.25" style="2947" customWidth="1"/>
    <col min="1549" max="1549" width="11.75" style="2947" customWidth="1"/>
    <col min="1550" max="1550" width="1" style="2947" customWidth="1"/>
    <col min="1551" max="1551" width="9.375" style="2947" customWidth="1"/>
    <col min="1552" max="1792" width="7.75" style="2947"/>
    <col min="1793" max="1793" width="7.875" style="2947" customWidth="1"/>
    <col min="1794" max="1794" width="9" style="2947" customWidth="1"/>
    <col min="1795" max="1795" width="0.875" style="2947" customWidth="1"/>
    <col min="1796" max="1796" width="11.125" style="2947" customWidth="1"/>
    <col min="1797" max="1797" width="1.25" style="2947" customWidth="1"/>
    <col min="1798" max="1798" width="12.125" style="2947" customWidth="1"/>
    <col min="1799" max="1799" width="8.125" style="2947" customWidth="1"/>
    <col min="1800" max="1800" width="9.125" style="2947" customWidth="1"/>
    <col min="1801" max="1801" width="9.625" style="2947" customWidth="1"/>
    <col min="1802" max="1803" width="10.75" style="2947" customWidth="1"/>
    <col min="1804" max="1804" width="1.25" style="2947" customWidth="1"/>
    <col min="1805" max="1805" width="11.75" style="2947" customWidth="1"/>
    <col min="1806" max="1806" width="1" style="2947" customWidth="1"/>
    <col min="1807" max="1807" width="9.375" style="2947" customWidth="1"/>
    <col min="1808" max="2048" width="7.75" style="2947"/>
    <col min="2049" max="2049" width="7.875" style="2947" customWidth="1"/>
    <col min="2050" max="2050" width="9" style="2947" customWidth="1"/>
    <col min="2051" max="2051" width="0.875" style="2947" customWidth="1"/>
    <col min="2052" max="2052" width="11.125" style="2947" customWidth="1"/>
    <col min="2053" max="2053" width="1.25" style="2947" customWidth="1"/>
    <col min="2054" max="2054" width="12.125" style="2947" customWidth="1"/>
    <col min="2055" max="2055" width="8.125" style="2947" customWidth="1"/>
    <col min="2056" max="2056" width="9.125" style="2947" customWidth="1"/>
    <col min="2057" max="2057" width="9.625" style="2947" customWidth="1"/>
    <col min="2058" max="2059" width="10.75" style="2947" customWidth="1"/>
    <col min="2060" max="2060" width="1.25" style="2947" customWidth="1"/>
    <col min="2061" max="2061" width="11.75" style="2947" customWidth="1"/>
    <col min="2062" max="2062" width="1" style="2947" customWidth="1"/>
    <col min="2063" max="2063" width="9.375" style="2947" customWidth="1"/>
    <col min="2064" max="2304" width="7.75" style="2947"/>
    <col min="2305" max="2305" width="7.875" style="2947" customWidth="1"/>
    <col min="2306" max="2306" width="9" style="2947" customWidth="1"/>
    <col min="2307" max="2307" width="0.875" style="2947" customWidth="1"/>
    <col min="2308" max="2308" width="11.125" style="2947" customWidth="1"/>
    <col min="2309" max="2309" width="1.25" style="2947" customWidth="1"/>
    <col min="2310" max="2310" width="12.125" style="2947" customWidth="1"/>
    <col min="2311" max="2311" width="8.125" style="2947" customWidth="1"/>
    <col min="2312" max="2312" width="9.125" style="2947" customWidth="1"/>
    <col min="2313" max="2313" width="9.625" style="2947" customWidth="1"/>
    <col min="2314" max="2315" width="10.75" style="2947" customWidth="1"/>
    <col min="2316" max="2316" width="1.25" style="2947" customWidth="1"/>
    <col min="2317" max="2317" width="11.75" style="2947" customWidth="1"/>
    <col min="2318" max="2318" width="1" style="2947" customWidth="1"/>
    <col min="2319" max="2319" width="9.375" style="2947" customWidth="1"/>
    <col min="2320" max="2560" width="7.75" style="2947"/>
    <col min="2561" max="2561" width="7.875" style="2947" customWidth="1"/>
    <col min="2562" max="2562" width="9" style="2947" customWidth="1"/>
    <col min="2563" max="2563" width="0.875" style="2947" customWidth="1"/>
    <col min="2564" max="2564" width="11.125" style="2947" customWidth="1"/>
    <col min="2565" max="2565" width="1.25" style="2947" customWidth="1"/>
    <col min="2566" max="2566" width="12.125" style="2947" customWidth="1"/>
    <col min="2567" max="2567" width="8.125" style="2947" customWidth="1"/>
    <col min="2568" max="2568" width="9.125" style="2947" customWidth="1"/>
    <col min="2569" max="2569" width="9.625" style="2947" customWidth="1"/>
    <col min="2570" max="2571" width="10.75" style="2947" customWidth="1"/>
    <col min="2572" max="2572" width="1.25" style="2947" customWidth="1"/>
    <col min="2573" max="2573" width="11.75" style="2947" customWidth="1"/>
    <col min="2574" max="2574" width="1" style="2947" customWidth="1"/>
    <col min="2575" max="2575" width="9.375" style="2947" customWidth="1"/>
    <col min="2576" max="2816" width="7.75" style="2947"/>
    <col min="2817" max="2817" width="7.875" style="2947" customWidth="1"/>
    <col min="2818" max="2818" width="9" style="2947" customWidth="1"/>
    <col min="2819" max="2819" width="0.875" style="2947" customWidth="1"/>
    <col min="2820" max="2820" width="11.125" style="2947" customWidth="1"/>
    <col min="2821" max="2821" width="1.25" style="2947" customWidth="1"/>
    <col min="2822" max="2822" width="12.125" style="2947" customWidth="1"/>
    <col min="2823" max="2823" width="8.125" style="2947" customWidth="1"/>
    <col min="2824" max="2824" width="9.125" style="2947" customWidth="1"/>
    <col min="2825" max="2825" width="9.625" style="2947" customWidth="1"/>
    <col min="2826" max="2827" width="10.75" style="2947" customWidth="1"/>
    <col min="2828" max="2828" width="1.25" style="2947" customWidth="1"/>
    <col min="2829" max="2829" width="11.75" style="2947" customWidth="1"/>
    <col min="2830" max="2830" width="1" style="2947" customWidth="1"/>
    <col min="2831" max="2831" width="9.375" style="2947" customWidth="1"/>
    <col min="2832" max="3072" width="7.75" style="2947"/>
    <col min="3073" max="3073" width="7.875" style="2947" customWidth="1"/>
    <col min="3074" max="3074" width="9" style="2947" customWidth="1"/>
    <col min="3075" max="3075" width="0.875" style="2947" customWidth="1"/>
    <col min="3076" max="3076" width="11.125" style="2947" customWidth="1"/>
    <col min="3077" max="3077" width="1.25" style="2947" customWidth="1"/>
    <col min="3078" max="3078" width="12.125" style="2947" customWidth="1"/>
    <col min="3079" max="3079" width="8.125" style="2947" customWidth="1"/>
    <col min="3080" max="3080" width="9.125" style="2947" customWidth="1"/>
    <col min="3081" max="3081" width="9.625" style="2947" customWidth="1"/>
    <col min="3082" max="3083" width="10.75" style="2947" customWidth="1"/>
    <col min="3084" max="3084" width="1.25" style="2947" customWidth="1"/>
    <col min="3085" max="3085" width="11.75" style="2947" customWidth="1"/>
    <col min="3086" max="3086" width="1" style="2947" customWidth="1"/>
    <col min="3087" max="3087" width="9.375" style="2947" customWidth="1"/>
    <col min="3088" max="3328" width="7.75" style="2947"/>
    <col min="3329" max="3329" width="7.875" style="2947" customWidth="1"/>
    <col min="3330" max="3330" width="9" style="2947" customWidth="1"/>
    <col min="3331" max="3331" width="0.875" style="2947" customWidth="1"/>
    <col min="3332" max="3332" width="11.125" style="2947" customWidth="1"/>
    <col min="3333" max="3333" width="1.25" style="2947" customWidth="1"/>
    <col min="3334" max="3334" width="12.125" style="2947" customWidth="1"/>
    <col min="3335" max="3335" width="8.125" style="2947" customWidth="1"/>
    <col min="3336" max="3336" width="9.125" style="2947" customWidth="1"/>
    <col min="3337" max="3337" width="9.625" style="2947" customWidth="1"/>
    <col min="3338" max="3339" width="10.75" style="2947" customWidth="1"/>
    <col min="3340" max="3340" width="1.25" style="2947" customWidth="1"/>
    <col min="3341" max="3341" width="11.75" style="2947" customWidth="1"/>
    <col min="3342" max="3342" width="1" style="2947" customWidth="1"/>
    <col min="3343" max="3343" width="9.375" style="2947" customWidth="1"/>
    <col min="3344" max="3584" width="7.75" style="2947"/>
    <col min="3585" max="3585" width="7.875" style="2947" customWidth="1"/>
    <col min="3586" max="3586" width="9" style="2947" customWidth="1"/>
    <col min="3587" max="3587" width="0.875" style="2947" customWidth="1"/>
    <col min="3588" max="3588" width="11.125" style="2947" customWidth="1"/>
    <col min="3589" max="3589" width="1.25" style="2947" customWidth="1"/>
    <col min="3590" max="3590" width="12.125" style="2947" customWidth="1"/>
    <col min="3591" max="3591" width="8.125" style="2947" customWidth="1"/>
    <col min="3592" max="3592" width="9.125" style="2947" customWidth="1"/>
    <col min="3593" max="3593" width="9.625" style="2947" customWidth="1"/>
    <col min="3594" max="3595" width="10.75" style="2947" customWidth="1"/>
    <col min="3596" max="3596" width="1.25" style="2947" customWidth="1"/>
    <col min="3597" max="3597" width="11.75" style="2947" customWidth="1"/>
    <col min="3598" max="3598" width="1" style="2947" customWidth="1"/>
    <col min="3599" max="3599" width="9.375" style="2947" customWidth="1"/>
    <col min="3600" max="3840" width="7.75" style="2947"/>
    <col min="3841" max="3841" width="7.875" style="2947" customWidth="1"/>
    <col min="3842" max="3842" width="9" style="2947" customWidth="1"/>
    <col min="3843" max="3843" width="0.875" style="2947" customWidth="1"/>
    <col min="3844" max="3844" width="11.125" style="2947" customWidth="1"/>
    <col min="3845" max="3845" width="1.25" style="2947" customWidth="1"/>
    <col min="3846" max="3846" width="12.125" style="2947" customWidth="1"/>
    <col min="3847" max="3847" width="8.125" style="2947" customWidth="1"/>
    <col min="3848" max="3848" width="9.125" style="2947" customWidth="1"/>
    <col min="3849" max="3849" width="9.625" style="2947" customWidth="1"/>
    <col min="3850" max="3851" width="10.75" style="2947" customWidth="1"/>
    <col min="3852" max="3852" width="1.25" style="2947" customWidth="1"/>
    <col min="3853" max="3853" width="11.75" style="2947" customWidth="1"/>
    <col min="3854" max="3854" width="1" style="2947" customWidth="1"/>
    <col min="3855" max="3855" width="9.375" style="2947" customWidth="1"/>
    <col min="3856" max="4096" width="7.75" style="2947"/>
    <col min="4097" max="4097" width="7.875" style="2947" customWidth="1"/>
    <col min="4098" max="4098" width="9" style="2947" customWidth="1"/>
    <col min="4099" max="4099" width="0.875" style="2947" customWidth="1"/>
    <col min="4100" max="4100" width="11.125" style="2947" customWidth="1"/>
    <col min="4101" max="4101" width="1.25" style="2947" customWidth="1"/>
    <col min="4102" max="4102" width="12.125" style="2947" customWidth="1"/>
    <col min="4103" max="4103" width="8.125" style="2947" customWidth="1"/>
    <col min="4104" max="4104" width="9.125" style="2947" customWidth="1"/>
    <col min="4105" max="4105" width="9.625" style="2947" customWidth="1"/>
    <col min="4106" max="4107" width="10.75" style="2947" customWidth="1"/>
    <col min="4108" max="4108" width="1.25" style="2947" customWidth="1"/>
    <col min="4109" max="4109" width="11.75" style="2947" customWidth="1"/>
    <col min="4110" max="4110" width="1" style="2947" customWidth="1"/>
    <col min="4111" max="4111" width="9.375" style="2947" customWidth="1"/>
    <col min="4112" max="4352" width="7.75" style="2947"/>
    <col min="4353" max="4353" width="7.875" style="2947" customWidth="1"/>
    <col min="4354" max="4354" width="9" style="2947" customWidth="1"/>
    <col min="4355" max="4355" width="0.875" style="2947" customWidth="1"/>
    <col min="4356" max="4356" width="11.125" style="2947" customWidth="1"/>
    <col min="4357" max="4357" width="1.25" style="2947" customWidth="1"/>
    <col min="4358" max="4358" width="12.125" style="2947" customWidth="1"/>
    <col min="4359" max="4359" width="8.125" style="2947" customWidth="1"/>
    <col min="4360" max="4360" width="9.125" style="2947" customWidth="1"/>
    <col min="4361" max="4361" width="9.625" style="2947" customWidth="1"/>
    <col min="4362" max="4363" width="10.75" style="2947" customWidth="1"/>
    <col min="4364" max="4364" width="1.25" style="2947" customWidth="1"/>
    <col min="4365" max="4365" width="11.75" style="2947" customWidth="1"/>
    <col min="4366" max="4366" width="1" style="2947" customWidth="1"/>
    <col min="4367" max="4367" width="9.375" style="2947" customWidth="1"/>
    <col min="4368" max="4608" width="7.75" style="2947"/>
    <col min="4609" max="4609" width="7.875" style="2947" customWidth="1"/>
    <col min="4610" max="4610" width="9" style="2947" customWidth="1"/>
    <col min="4611" max="4611" width="0.875" style="2947" customWidth="1"/>
    <col min="4612" max="4612" width="11.125" style="2947" customWidth="1"/>
    <col min="4613" max="4613" width="1.25" style="2947" customWidth="1"/>
    <col min="4614" max="4614" width="12.125" style="2947" customWidth="1"/>
    <col min="4615" max="4615" width="8.125" style="2947" customWidth="1"/>
    <col min="4616" max="4616" width="9.125" style="2947" customWidth="1"/>
    <col min="4617" max="4617" width="9.625" style="2947" customWidth="1"/>
    <col min="4618" max="4619" width="10.75" style="2947" customWidth="1"/>
    <col min="4620" max="4620" width="1.25" style="2947" customWidth="1"/>
    <col min="4621" max="4621" width="11.75" style="2947" customWidth="1"/>
    <col min="4622" max="4622" width="1" style="2947" customWidth="1"/>
    <col min="4623" max="4623" width="9.375" style="2947" customWidth="1"/>
    <col min="4624" max="4864" width="7.75" style="2947"/>
    <col min="4865" max="4865" width="7.875" style="2947" customWidth="1"/>
    <col min="4866" max="4866" width="9" style="2947" customWidth="1"/>
    <col min="4867" max="4867" width="0.875" style="2947" customWidth="1"/>
    <col min="4868" max="4868" width="11.125" style="2947" customWidth="1"/>
    <col min="4869" max="4869" width="1.25" style="2947" customWidth="1"/>
    <col min="4870" max="4870" width="12.125" style="2947" customWidth="1"/>
    <col min="4871" max="4871" width="8.125" style="2947" customWidth="1"/>
    <col min="4872" max="4872" width="9.125" style="2947" customWidth="1"/>
    <col min="4873" max="4873" width="9.625" style="2947" customWidth="1"/>
    <col min="4874" max="4875" width="10.75" style="2947" customWidth="1"/>
    <col min="4876" max="4876" width="1.25" style="2947" customWidth="1"/>
    <col min="4877" max="4877" width="11.75" style="2947" customWidth="1"/>
    <col min="4878" max="4878" width="1" style="2947" customWidth="1"/>
    <col min="4879" max="4879" width="9.375" style="2947" customWidth="1"/>
    <col min="4880" max="5120" width="7.75" style="2947"/>
    <col min="5121" max="5121" width="7.875" style="2947" customWidth="1"/>
    <col min="5122" max="5122" width="9" style="2947" customWidth="1"/>
    <col min="5123" max="5123" width="0.875" style="2947" customWidth="1"/>
    <col min="5124" max="5124" width="11.125" style="2947" customWidth="1"/>
    <col min="5125" max="5125" width="1.25" style="2947" customWidth="1"/>
    <col min="5126" max="5126" width="12.125" style="2947" customWidth="1"/>
    <col min="5127" max="5127" width="8.125" style="2947" customWidth="1"/>
    <col min="5128" max="5128" width="9.125" style="2947" customWidth="1"/>
    <col min="5129" max="5129" width="9.625" style="2947" customWidth="1"/>
    <col min="5130" max="5131" width="10.75" style="2947" customWidth="1"/>
    <col min="5132" max="5132" width="1.25" style="2947" customWidth="1"/>
    <col min="5133" max="5133" width="11.75" style="2947" customWidth="1"/>
    <col min="5134" max="5134" width="1" style="2947" customWidth="1"/>
    <col min="5135" max="5135" width="9.375" style="2947" customWidth="1"/>
    <col min="5136" max="5376" width="7.75" style="2947"/>
    <col min="5377" max="5377" width="7.875" style="2947" customWidth="1"/>
    <col min="5378" max="5378" width="9" style="2947" customWidth="1"/>
    <col min="5379" max="5379" width="0.875" style="2947" customWidth="1"/>
    <col min="5380" max="5380" width="11.125" style="2947" customWidth="1"/>
    <col min="5381" max="5381" width="1.25" style="2947" customWidth="1"/>
    <col min="5382" max="5382" width="12.125" style="2947" customWidth="1"/>
    <col min="5383" max="5383" width="8.125" style="2947" customWidth="1"/>
    <col min="5384" max="5384" width="9.125" style="2947" customWidth="1"/>
    <col min="5385" max="5385" width="9.625" style="2947" customWidth="1"/>
    <col min="5386" max="5387" width="10.75" style="2947" customWidth="1"/>
    <col min="5388" max="5388" width="1.25" style="2947" customWidth="1"/>
    <col min="5389" max="5389" width="11.75" style="2947" customWidth="1"/>
    <col min="5390" max="5390" width="1" style="2947" customWidth="1"/>
    <col min="5391" max="5391" width="9.375" style="2947" customWidth="1"/>
    <col min="5392" max="5632" width="7.75" style="2947"/>
    <col min="5633" max="5633" width="7.875" style="2947" customWidth="1"/>
    <col min="5634" max="5634" width="9" style="2947" customWidth="1"/>
    <col min="5635" max="5635" width="0.875" style="2947" customWidth="1"/>
    <col min="5636" max="5636" width="11.125" style="2947" customWidth="1"/>
    <col min="5637" max="5637" width="1.25" style="2947" customWidth="1"/>
    <col min="5638" max="5638" width="12.125" style="2947" customWidth="1"/>
    <col min="5639" max="5639" width="8.125" style="2947" customWidth="1"/>
    <col min="5640" max="5640" width="9.125" style="2947" customWidth="1"/>
    <col min="5641" max="5641" width="9.625" style="2947" customWidth="1"/>
    <col min="5642" max="5643" width="10.75" style="2947" customWidth="1"/>
    <col min="5644" max="5644" width="1.25" style="2947" customWidth="1"/>
    <col min="5645" max="5645" width="11.75" style="2947" customWidth="1"/>
    <col min="5646" max="5646" width="1" style="2947" customWidth="1"/>
    <col min="5647" max="5647" width="9.375" style="2947" customWidth="1"/>
    <col min="5648" max="5888" width="7.75" style="2947"/>
    <col min="5889" max="5889" width="7.875" style="2947" customWidth="1"/>
    <col min="5890" max="5890" width="9" style="2947" customWidth="1"/>
    <col min="5891" max="5891" width="0.875" style="2947" customWidth="1"/>
    <col min="5892" max="5892" width="11.125" style="2947" customWidth="1"/>
    <col min="5893" max="5893" width="1.25" style="2947" customWidth="1"/>
    <col min="5894" max="5894" width="12.125" style="2947" customWidth="1"/>
    <col min="5895" max="5895" width="8.125" style="2947" customWidth="1"/>
    <col min="5896" max="5896" width="9.125" style="2947" customWidth="1"/>
    <col min="5897" max="5897" width="9.625" style="2947" customWidth="1"/>
    <col min="5898" max="5899" width="10.75" style="2947" customWidth="1"/>
    <col min="5900" max="5900" width="1.25" style="2947" customWidth="1"/>
    <col min="5901" max="5901" width="11.75" style="2947" customWidth="1"/>
    <col min="5902" max="5902" width="1" style="2947" customWidth="1"/>
    <col min="5903" max="5903" width="9.375" style="2947" customWidth="1"/>
    <col min="5904" max="6144" width="7.75" style="2947"/>
    <col min="6145" max="6145" width="7.875" style="2947" customWidth="1"/>
    <col min="6146" max="6146" width="9" style="2947" customWidth="1"/>
    <col min="6147" max="6147" width="0.875" style="2947" customWidth="1"/>
    <col min="6148" max="6148" width="11.125" style="2947" customWidth="1"/>
    <col min="6149" max="6149" width="1.25" style="2947" customWidth="1"/>
    <col min="6150" max="6150" width="12.125" style="2947" customWidth="1"/>
    <col min="6151" max="6151" width="8.125" style="2947" customWidth="1"/>
    <col min="6152" max="6152" width="9.125" style="2947" customWidth="1"/>
    <col min="6153" max="6153" width="9.625" style="2947" customWidth="1"/>
    <col min="6154" max="6155" width="10.75" style="2947" customWidth="1"/>
    <col min="6156" max="6156" width="1.25" style="2947" customWidth="1"/>
    <col min="6157" max="6157" width="11.75" style="2947" customWidth="1"/>
    <col min="6158" max="6158" width="1" style="2947" customWidth="1"/>
    <col min="6159" max="6159" width="9.375" style="2947" customWidth="1"/>
    <col min="6160" max="6400" width="7.75" style="2947"/>
    <col min="6401" max="6401" width="7.875" style="2947" customWidth="1"/>
    <col min="6402" max="6402" width="9" style="2947" customWidth="1"/>
    <col min="6403" max="6403" width="0.875" style="2947" customWidth="1"/>
    <col min="6404" max="6404" width="11.125" style="2947" customWidth="1"/>
    <col min="6405" max="6405" width="1.25" style="2947" customWidth="1"/>
    <col min="6406" max="6406" width="12.125" style="2947" customWidth="1"/>
    <col min="6407" max="6407" width="8.125" style="2947" customWidth="1"/>
    <col min="6408" max="6408" width="9.125" style="2947" customWidth="1"/>
    <col min="6409" max="6409" width="9.625" style="2947" customWidth="1"/>
    <col min="6410" max="6411" width="10.75" style="2947" customWidth="1"/>
    <col min="6412" max="6412" width="1.25" style="2947" customWidth="1"/>
    <col min="6413" max="6413" width="11.75" style="2947" customWidth="1"/>
    <col min="6414" max="6414" width="1" style="2947" customWidth="1"/>
    <col min="6415" max="6415" width="9.375" style="2947" customWidth="1"/>
    <col min="6416" max="6656" width="7.75" style="2947"/>
    <col min="6657" max="6657" width="7.875" style="2947" customWidth="1"/>
    <col min="6658" max="6658" width="9" style="2947" customWidth="1"/>
    <col min="6659" max="6659" width="0.875" style="2947" customWidth="1"/>
    <col min="6660" max="6660" width="11.125" style="2947" customWidth="1"/>
    <col min="6661" max="6661" width="1.25" style="2947" customWidth="1"/>
    <col min="6662" max="6662" width="12.125" style="2947" customWidth="1"/>
    <col min="6663" max="6663" width="8.125" style="2947" customWidth="1"/>
    <col min="6664" max="6664" width="9.125" style="2947" customWidth="1"/>
    <col min="6665" max="6665" width="9.625" style="2947" customWidth="1"/>
    <col min="6666" max="6667" width="10.75" style="2947" customWidth="1"/>
    <col min="6668" max="6668" width="1.25" style="2947" customWidth="1"/>
    <col min="6669" max="6669" width="11.75" style="2947" customWidth="1"/>
    <col min="6670" max="6670" width="1" style="2947" customWidth="1"/>
    <col min="6671" max="6671" width="9.375" style="2947" customWidth="1"/>
    <col min="6672" max="6912" width="7.75" style="2947"/>
    <col min="6913" max="6913" width="7.875" style="2947" customWidth="1"/>
    <col min="6914" max="6914" width="9" style="2947" customWidth="1"/>
    <col min="6915" max="6915" width="0.875" style="2947" customWidth="1"/>
    <col min="6916" max="6916" width="11.125" style="2947" customWidth="1"/>
    <col min="6917" max="6917" width="1.25" style="2947" customWidth="1"/>
    <col min="6918" max="6918" width="12.125" style="2947" customWidth="1"/>
    <col min="6919" max="6919" width="8.125" style="2947" customWidth="1"/>
    <col min="6920" max="6920" width="9.125" style="2947" customWidth="1"/>
    <col min="6921" max="6921" width="9.625" style="2947" customWidth="1"/>
    <col min="6922" max="6923" width="10.75" style="2947" customWidth="1"/>
    <col min="6924" max="6924" width="1.25" style="2947" customWidth="1"/>
    <col min="6925" max="6925" width="11.75" style="2947" customWidth="1"/>
    <col min="6926" max="6926" width="1" style="2947" customWidth="1"/>
    <col min="6927" max="6927" width="9.375" style="2947" customWidth="1"/>
    <col min="6928" max="7168" width="7.75" style="2947"/>
    <col min="7169" max="7169" width="7.875" style="2947" customWidth="1"/>
    <col min="7170" max="7170" width="9" style="2947" customWidth="1"/>
    <col min="7171" max="7171" width="0.875" style="2947" customWidth="1"/>
    <col min="7172" max="7172" width="11.125" style="2947" customWidth="1"/>
    <col min="7173" max="7173" width="1.25" style="2947" customWidth="1"/>
    <col min="7174" max="7174" width="12.125" style="2947" customWidth="1"/>
    <col min="7175" max="7175" width="8.125" style="2947" customWidth="1"/>
    <col min="7176" max="7176" width="9.125" style="2947" customWidth="1"/>
    <col min="7177" max="7177" width="9.625" style="2947" customWidth="1"/>
    <col min="7178" max="7179" width="10.75" style="2947" customWidth="1"/>
    <col min="7180" max="7180" width="1.25" style="2947" customWidth="1"/>
    <col min="7181" max="7181" width="11.75" style="2947" customWidth="1"/>
    <col min="7182" max="7182" width="1" style="2947" customWidth="1"/>
    <col min="7183" max="7183" width="9.375" style="2947" customWidth="1"/>
    <col min="7184" max="7424" width="7.75" style="2947"/>
    <col min="7425" max="7425" width="7.875" style="2947" customWidth="1"/>
    <col min="7426" max="7426" width="9" style="2947" customWidth="1"/>
    <col min="7427" max="7427" width="0.875" style="2947" customWidth="1"/>
    <col min="7428" max="7428" width="11.125" style="2947" customWidth="1"/>
    <col min="7429" max="7429" width="1.25" style="2947" customWidth="1"/>
    <col min="7430" max="7430" width="12.125" style="2947" customWidth="1"/>
    <col min="7431" max="7431" width="8.125" style="2947" customWidth="1"/>
    <col min="7432" max="7432" width="9.125" style="2947" customWidth="1"/>
    <col min="7433" max="7433" width="9.625" style="2947" customWidth="1"/>
    <col min="7434" max="7435" width="10.75" style="2947" customWidth="1"/>
    <col min="7436" max="7436" width="1.25" style="2947" customWidth="1"/>
    <col min="7437" max="7437" width="11.75" style="2947" customWidth="1"/>
    <col min="7438" max="7438" width="1" style="2947" customWidth="1"/>
    <col min="7439" max="7439" width="9.375" style="2947" customWidth="1"/>
    <col min="7440" max="7680" width="7.75" style="2947"/>
    <col min="7681" max="7681" width="7.875" style="2947" customWidth="1"/>
    <col min="7682" max="7682" width="9" style="2947" customWidth="1"/>
    <col min="7683" max="7683" width="0.875" style="2947" customWidth="1"/>
    <col min="7684" max="7684" width="11.125" style="2947" customWidth="1"/>
    <col min="7685" max="7685" width="1.25" style="2947" customWidth="1"/>
    <col min="7686" max="7686" width="12.125" style="2947" customWidth="1"/>
    <col min="7687" max="7687" width="8.125" style="2947" customWidth="1"/>
    <col min="7688" max="7688" width="9.125" style="2947" customWidth="1"/>
    <col min="7689" max="7689" width="9.625" style="2947" customWidth="1"/>
    <col min="7690" max="7691" width="10.75" style="2947" customWidth="1"/>
    <col min="7692" max="7692" width="1.25" style="2947" customWidth="1"/>
    <col min="7693" max="7693" width="11.75" style="2947" customWidth="1"/>
    <col min="7694" max="7694" width="1" style="2947" customWidth="1"/>
    <col min="7695" max="7695" width="9.375" style="2947" customWidth="1"/>
    <col min="7696" max="7936" width="7.75" style="2947"/>
    <col min="7937" max="7937" width="7.875" style="2947" customWidth="1"/>
    <col min="7938" max="7938" width="9" style="2947" customWidth="1"/>
    <col min="7939" max="7939" width="0.875" style="2947" customWidth="1"/>
    <col min="7940" max="7940" width="11.125" style="2947" customWidth="1"/>
    <col min="7941" max="7941" width="1.25" style="2947" customWidth="1"/>
    <col min="7942" max="7942" width="12.125" style="2947" customWidth="1"/>
    <col min="7943" max="7943" width="8.125" style="2947" customWidth="1"/>
    <col min="7944" max="7944" width="9.125" style="2947" customWidth="1"/>
    <col min="7945" max="7945" width="9.625" style="2947" customWidth="1"/>
    <col min="7946" max="7947" width="10.75" style="2947" customWidth="1"/>
    <col min="7948" max="7948" width="1.25" style="2947" customWidth="1"/>
    <col min="7949" max="7949" width="11.75" style="2947" customWidth="1"/>
    <col min="7950" max="7950" width="1" style="2947" customWidth="1"/>
    <col min="7951" max="7951" width="9.375" style="2947" customWidth="1"/>
    <col min="7952" max="8192" width="7.75" style="2947"/>
    <col min="8193" max="8193" width="7.875" style="2947" customWidth="1"/>
    <col min="8194" max="8194" width="9" style="2947" customWidth="1"/>
    <col min="8195" max="8195" width="0.875" style="2947" customWidth="1"/>
    <col min="8196" max="8196" width="11.125" style="2947" customWidth="1"/>
    <col min="8197" max="8197" width="1.25" style="2947" customWidth="1"/>
    <col min="8198" max="8198" width="12.125" style="2947" customWidth="1"/>
    <col min="8199" max="8199" width="8.125" style="2947" customWidth="1"/>
    <col min="8200" max="8200" width="9.125" style="2947" customWidth="1"/>
    <col min="8201" max="8201" width="9.625" style="2947" customWidth="1"/>
    <col min="8202" max="8203" width="10.75" style="2947" customWidth="1"/>
    <col min="8204" max="8204" width="1.25" style="2947" customWidth="1"/>
    <col min="8205" max="8205" width="11.75" style="2947" customWidth="1"/>
    <col min="8206" max="8206" width="1" style="2947" customWidth="1"/>
    <col min="8207" max="8207" width="9.375" style="2947" customWidth="1"/>
    <col min="8208" max="8448" width="7.75" style="2947"/>
    <col min="8449" max="8449" width="7.875" style="2947" customWidth="1"/>
    <col min="8450" max="8450" width="9" style="2947" customWidth="1"/>
    <col min="8451" max="8451" width="0.875" style="2947" customWidth="1"/>
    <col min="8452" max="8452" width="11.125" style="2947" customWidth="1"/>
    <col min="8453" max="8453" width="1.25" style="2947" customWidth="1"/>
    <col min="8454" max="8454" width="12.125" style="2947" customWidth="1"/>
    <col min="8455" max="8455" width="8.125" style="2947" customWidth="1"/>
    <col min="8456" max="8456" width="9.125" style="2947" customWidth="1"/>
    <col min="8457" max="8457" width="9.625" style="2947" customWidth="1"/>
    <col min="8458" max="8459" width="10.75" style="2947" customWidth="1"/>
    <col min="8460" max="8460" width="1.25" style="2947" customWidth="1"/>
    <col min="8461" max="8461" width="11.75" style="2947" customWidth="1"/>
    <col min="8462" max="8462" width="1" style="2947" customWidth="1"/>
    <col min="8463" max="8463" width="9.375" style="2947" customWidth="1"/>
    <col min="8464" max="8704" width="7.75" style="2947"/>
    <col min="8705" max="8705" width="7.875" style="2947" customWidth="1"/>
    <col min="8706" max="8706" width="9" style="2947" customWidth="1"/>
    <col min="8707" max="8707" width="0.875" style="2947" customWidth="1"/>
    <col min="8708" max="8708" width="11.125" style="2947" customWidth="1"/>
    <col min="8709" max="8709" width="1.25" style="2947" customWidth="1"/>
    <col min="8710" max="8710" width="12.125" style="2947" customWidth="1"/>
    <col min="8711" max="8711" width="8.125" style="2947" customWidth="1"/>
    <col min="8712" max="8712" width="9.125" style="2947" customWidth="1"/>
    <col min="8713" max="8713" width="9.625" style="2947" customWidth="1"/>
    <col min="8714" max="8715" width="10.75" style="2947" customWidth="1"/>
    <col min="8716" max="8716" width="1.25" style="2947" customWidth="1"/>
    <col min="8717" max="8717" width="11.75" style="2947" customWidth="1"/>
    <col min="8718" max="8718" width="1" style="2947" customWidth="1"/>
    <col min="8719" max="8719" width="9.375" style="2947" customWidth="1"/>
    <col min="8720" max="8960" width="7.75" style="2947"/>
    <col min="8961" max="8961" width="7.875" style="2947" customWidth="1"/>
    <col min="8962" max="8962" width="9" style="2947" customWidth="1"/>
    <col min="8963" max="8963" width="0.875" style="2947" customWidth="1"/>
    <col min="8964" max="8964" width="11.125" style="2947" customWidth="1"/>
    <col min="8965" max="8965" width="1.25" style="2947" customWidth="1"/>
    <col min="8966" max="8966" width="12.125" style="2947" customWidth="1"/>
    <col min="8967" max="8967" width="8.125" style="2947" customWidth="1"/>
    <col min="8968" max="8968" width="9.125" style="2947" customWidth="1"/>
    <col min="8969" max="8969" width="9.625" style="2947" customWidth="1"/>
    <col min="8970" max="8971" width="10.75" style="2947" customWidth="1"/>
    <col min="8972" max="8972" width="1.25" style="2947" customWidth="1"/>
    <col min="8973" max="8973" width="11.75" style="2947" customWidth="1"/>
    <col min="8974" max="8974" width="1" style="2947" customWidth="1"/>
    <col min="8975" max="8975" width="9.375" style="2947" customWidth="1"/>
    <col min="8976" max="9216" width="7.75" style="2947"/>
    <col min="9217" max="9217" width="7.875" style="2947" customWidth="1"/>
    <col min="9218" max="9218" width="9" style="2947" customWidth="1"/>
    <col min="9219" max="9219" width="0.875" style="2947" customWidth="1"/>
    <col min="9220" max="9220" width="11.125" style="2947" customWidth="1"/>
    <col min="9221" max="9221" width="1.25" style="2947" customWidth="1"/>
    <col min="9222" max="9222" width="12.125" style="2947" customWidth="1"/>
    <col min="9223" max="9223" width="8.125" style="2947" customWidth="1"/>
    <col min="9224" max="9224" width="9.125" style="2947" customWidth="1"/>
    <col min="9225" max="9225" width="9.625" style="2947" customWidth="1"/>
    <col min="9226" max="9227" width="10.75" style="2947" customWidth="1"/>
    <col min="9228" max="9228" width="1.25" style="2947" customWidth="1"/>
    <col min="9229" max="9229" width="11.75" style="2947" customWidth="1"/>
    <col min="9230" max="9230" width="1" style="2947" customWidth="1"/>
    <col min="9231" max="9231" width="9.375" style="2947" customWidth="1"/>
    <col min="9232" max="9472" width="7.75" style="2947"/>
    <col min="9473" max="9473" width="7.875" style="2947" customWidth="1"/>
    <col min="9474" max="9474" width="9" style="2947" customWidth="1"/>
    <col min="9475" max="9475" width="0.875" style="2947" customWidth="1"/>
    <col min="9476" max="9476" width="11.125" style="2947" customWidth="1"/>
    <col min="9477" max="9477" width="1.25" style="2947" customWidth="1"/>
    <col min="9478" max="9478" width="12.125" style="2947" customWidth="1"/>
    <col min="9479" max="9479" width="8.125" style="2947" customWidth="1"/>
    <col min="9480" max="9480" width="9.125" style="2947" customWidth="1"/>
    <col min="9481" max="9481" width="9.625" style="2947" customWidth="1"/>
    <col min="9482" max="9483" width="10.75" style="2947" customWidth="1"/>
    <col min="9484" max="9484" width="1.25" style="2947" customWidth="1"/>
    <col min="9485" max="9485" width="11.75" style="2947" customWidth="1"/>
    <col min="9486" max="9486" width="1" style="2947" customWidth="1"/>
    <col min="9487" max="9487" width="9.375" style="2947" customWidth="1"/>
    <col min="9488" max="9728" width="7.75" style="2947"/>
    <col min="9729" max="9729" width="7.875" style="2947" customWidth="1"/>
    <col min="9730" max="9730" width="9" style="2947" customWidth="1"/>
    <col min="9731" max="9731" width="0.875" style="2947" customWidth="1"/>
    <col min="9732" max="9732" width="11.125" style="2947" customWidth="1"/>
    <col min="9733" max="9733" width="1.25" style="2947" customWidth="1"/>
    <col min="9734" max="9734" width="12.125" style="2947" customWidth="1"/>
    <col min="9735" max="9735" width="8.125" style="2947" customWidth="1"/>
    <col min="9736" max="9736" width="9.125" style="2947" customWidth="1"/>
    <col min="9737" max="9737" width="9.625" style="2947" customWidth="1"/>
    <col min="9738" max="9739" width="10.75" style="2947" customWidth="1"/>
    <col min="9740" max="9740" width="1.25" style="2947" customWidth="1"/>
    <col min="9741" max="9741" width="11.75" style="2947" customWidth="1"/>
    <col min="9742" max="9742" width="1" style="2947" customWidth="1"/>
    <col min="9743" max="9743" width="9.375" style="2947" customWidth="1"/>
    <col min="9744" max="9984" width="7.75" style="2947"/>
    <col min="9985" max="9985" width="7.875" style="2947" customWidth="1"/>
    <col min="9986" max="9986" width="9" style="2947" customWidth="1"/>
    <col min="9987" max="9987" width="0.875" style="2947" customWidth="1"/>
    <col min="9988" max="9988" width="11.125" style="2947" customWidth="1"/>
    <col min="9989" max="9989" width="1.25" style="2947" customWidth="1"/>
    <col min="9990" max="9990" width="12.125" style="2947" customWidth="1"/>
    <col min="9991" max="9991" width="8.125" style="2947" customWidth="1"/>
    <col min="9992" max="9992" width="9.125" style="2947" customWidth="1"/>
    <col min="9993" max="9993" width="9.625" style="2947" customWidth="1"/>
    <col min="9994" max="9995" width="10.75" style="2947" customWidth="1"/>
    <col min="9996" max="9996" width="1.25" style="2947" customWidth="1"/>
    <col min="9997" max="9997" width="11.75" style="2947" customWidth="1"/>
    <col min="9998" max="9998" width="1" style="2947" customWidth="1"/>
    <col min="9999" max="9999" width="9.375" style="2947" customWidth="1"/>
    <col min="10000" max="10240" width="7.75" style="2947"/>
    <col min="10241" max="10241" width="7.875" style="2947" customWidth="1"/>
    <col min="10242" max="10242" width="9" style="2947" customWidth="1"/>
    <col min="10243" max="10243" width="0.875" style="2947" customWidth="1"/>
    <col min="10244" max="10244" width="11.125" style="2947" customWidth="1"/>
    <col min="10245" max="10245" width="1.25" style="2947" customWidth="1"/>
    <col min="10246" max="10246" width="12.125" style="2947" customWidth="1"/>
    <col min="10247" max="10247" width="8.125" style="2947" customWidth="1"/>
    <col min="10248" max="10248" width="9.125" style="2947" customWidth="1"/>
    <col min="10249" max="10249" width="9.625" style="2947" customWidth="1"/>
    <col min="10250" max="10251" width="10.75" style="2947" customWidth="1"/>
    <col min="10252" max="10252" width="1.25" style="2947" customWidth="1"/>
    <col min="10253" max="10253" width="11.75" style="2947" customWidth="1"/>
    <col min="10254" max="10254" width="1" style="2947" customWidth="1"/>
    <col min="10255" max="10255" width="9.375" style="2947" customWidth="1"/>
    <col min="10256" max="10496" width="7.75" style="2947"/>
    <col min="10497" max="10497" width="7.875" style="2947" customWidth="1"/>
    <col min="10498" max="10498" width="9" style="2947" customWidth="1"/>
    <col min="10499" max="10499" width="0.875" style="2947" customWidth="1"/>
    <col min="10500" max="10500" width="11.125" style="2947" customWidth="1"/>
    <col min="10501" max="10501" width="1.25" style="2947" customWidth="1"/>
    <col min="10502" max="10502" width="12.125" style="2947" customWidth="1"/>
    <col min="10503" max="10503" width="8.125" style="2947" customWidth="1"/>
    <col min="10504" max="10504" width="9.125" style="2947" customWidth="1"/>
    <col min="10505" max="10505" width="9.625" style="2947" customWidth="1"/>
    <col min="10506" max="10507" width="10.75" style="2947" customWidth="1"/>
    <col min="10508" max="10508" width="1.25" style="2947" customWidth="1"/>
    <col min="10509" max="10509" width="11.75" style="2947" customWidth="1"/>
    <col min="10510" max="10510" width="1" style="2947" customWidth="1"/>
    <col min="10511" max="10511" width="9.375" style="2947" customWidth="1"/>
    <col min="10512" max="10752" width="7.75" style="2947"/>
    <col min="10753" max="10753" width="7.875" style="2947" customWidth="1"/>
    <col min="10754" max="10754" width="9" style="2947" customWidth="1"/>
    <col min="10755" max="10755" width="0.875" style="2947" customWidth="1"/>
    <col min="10756" max="10756" width="11.125" style="2947" customWidth="1"/>
    <col min="10757" max="10757" width="1.25" style="2947" customWidth="1"/>
    <col min="10758" max="10758" width="12.125" style="2947" customWidth="1"/>
    <col min="10759" max="10759" width="8.125" style="2947" customWidth="1"/>
    <col min="10760" max="10760" width="9.125" style="2947" customWidth="1"/>
    <col min="10761" max="10761" width="9.625" style="2947" customWidth="1"/>
    <col min="10762" max="10763" width="10.75" style="2947" customWidth="1"/>
    <col min="10764" max="10764" width="1.25" style="2947" customWidth="1"/>
    <col min="10765" max="10765" width="11.75" style="2947" customWidth="1"/>
    <col min="10766" max="10766" width="1" style="2947" customWidth="1"/>
    <col min="10767" max="10767" width="9.375" style="2947" customWidth="1"/>
    <col min="10768" max="11008" width="7.75" style="2947"/>
    <col min="11009" max="11009" width="7.875" style="2947" customWidth="1"/>
    <col min="11010" max="11010" width="9" style="2947" customWidth="1"/>
    <col min="11011" max="11011" width="0.875" style="2947" customWidth="1"/>
    <col min="11012" max="11012" width="11.125" style="2947" customWidth="1"/>
    <col min="11013" max="11013" width="1.25" style="2947" customWidth="1"/>
    <col min="11014" max="11014" width="12.125" style="2947" customWidth="1"/>
    <col min="11015" max="11015" width="8.125" style="2947" customWidth="1"/>
    <col min="11016" max="11016" width="9.125" style="2947" customWidth="1"/>
    <col min="11017" max="11017" width="9.625" style="2947" customWidth="1"/>
    <col min="11018" max="11019" width="10.75" style="2947" customWidth="1"/>
    <col min="11020" max="11020" width="1.25" style="2947" customWidth="1"/>
    <col min="11021" max="11021" width="11.75" style="2947" customWidth="1"/>
    <col min="11022" max="11022" width="1" style="2947" customWidth="1"/>
    <col min="11023" max="11023" width="9.375" style="2947" customWidth="1"/>
    <col min="11024" max="11264" width="7.75" style="2947"/>
    <col min="11265" max="11265" width="7.875" style="2947" customWidth="1"/>
    <col min="11266" max="11266" width="9" style="2947" customWidth="1"/>
    <col min="11267" max="11267" width="0.875" style="2947" customWidth="1"/>
    <col min="11268" max="11268" width="11.125" style="2947" customWidth="1"/>
    <col min="11269" max="11269" width="1.25" style="2947" customWidth="1"/>
    <col min="11270" max="11270" width="12.125" style="2947" customWidth="1"/>
    <col min="11271" max="11271" width="8.125" style="2947" customWidth="1"/>
    <col min="11272" max="11272" width="9.125" style="2947" customWidth="1"/>
    <col min="11273" max="11273" width="9.625" style="2947" customWidth="1"/>
    <col min="11274" max="11275" width="10.75" style="2947" customWidth="1"/>
    <col min="11276" max="11276" width="1.25" style="2947" customWidth="1"/>
    <col min="11277" max="11277" width="11.75" style="2947" customWidth="1"/>
    <col min="11278" max="11278" width="1" style="2947" customWidth="1"/>
    <col min="11279" max="11279" width="9.375" style="2947" customWidth="1"/>
    <col min="11280" max="11520" width="7.75" style="2947"/>
    <col min="11521" max="11521" width="7.875" style="2947" customWidth="1"/>
    <col min="11522" max="11522" width="9" style="2947" customWidth="1"/>
    <col min="11523" max="11523" width="0.875" style="2947" customWidth="1"/>
    <col min="11524" max="11524" width="11.125" style="2947" customWidth="1"/>
    <col min="11525" max="11525" width="1.25" style="2947" customWidth="1"/>
    <col min="11526" max="11526" width="12.125" style="2947" customWidth="1"/>
    <col min="11527" max="11527" width="8.125" style="2947" customWidth="1"/>
    <col min="11528" max="11528" width="9.125" style="2947" customWidth="1"/>
    <col min="11529" max="11529" width="9.625" style="2947" customWidth="1"/>
    <col min="11530" max="11531" width="10.75" style="2947" customWidth="1"/>
    <col min="11532" max="11532" width="1.25" style="2947" customWidth="1"/>
    <col min="11533" max="11533" width="11.75" style="2947" customWidth="1"/>
    <col min="11534" max="11534" width="1" style="2947" customWidth="1"/>
    <col min="11535" max="11535" width="9.375" style="2947" customWidth="1"/>
    <col min="11536" max="11776" width="7.75" style="2947"/>
    <col min="11777" max="11777" width="7.875" style="2947" customWidth="1"/>
    <col min="11778" max="11778" width="9" style="2947" customWidth="1"/>
    <col min="11779" max="11779" width="0.875" style="2947" customWidth="1"/>
    <col min="11780" max="11780" width="11.125" style="2947" customWidth="1"/>
    <col min="11781" max="11781" width="1.25" style="2947" customWidth="1"/>
    <col min="11782" max="11782" width="12.125" style="2947" customWidth="1"/>
    <col min="11783" max="11783" width="8.125" style="2947" customWidth="1"/>
    <col min="11784" max="11784" width="9.125" style="2947" customWidth="1"/>
    <col min="11785" max="11785" width="9.625" style="2947" customWidth="1"/>
    <col min="11786" max="11787" width="10.75" style="2947" customWidth="1"/>
    <col min="11788" max="11788" width="1.25" style="2947" customWidth="1"/>
    <col min="11789" max="11789" width="11.75" style="2947" customWidth="1"/>
    <col min="11790" max="11790" width="1" style="2947" customWidth="1"/>
    <col min="11791" max="11791" width="9.375" style="2947" customWidth="1"/>
    <col min="11792" max="12032" width="7.75" style="2947"/>
    <col min="12033" max="12033" width="7.875" style="2947" customWidth="1"/>
    <col min="12034" max="12034" width="9" style="2947" customWidth="1"/>
    <col min="12035" max="12035" width="0.875" style="2947" customWidth="1"/>
    <col min="12036" max="12036" width="11.125" style="2947" customWidth="1"/>
    <col min="12037" max="12037" width="1.25" style="2947" customWidth="1"/>
    <col min="12038" max="12038" width="12.125" style="2947" customWidth="1"/>
    <col min="12039" max="12039" width="8.125" style="2947" customWidth="1"/>
    <col min="12040" max="12040" width="9.125" style="2947" customWidth="1"/>
    <col min="12041" max="12041" width="9.625" style="2947" customWidth="1"/>
    <col min="12042" max="12043" width="10.75" style="2947" customWidth="1"/>
    <col min="12044" max="12044" width="1.25" style="2947" customWidth="1"/>
    <col min="12045" max="12045" width="11.75" style="2947" customWidth="1"/>
    <col min="12046" max="12046" width="1" style="2947" customWidth="1"/>
    <col min="12047" max="12047" width="9.375" style="2947" customWidth="1"/>
    <col min="12048" max="12288" width="7.75" style="2947"/>
    <col min="12289" max="12289" width="7.875" style="2947" customWidth="1"/>
    <col min="12290" max="12290" width="9" style="2947" customWidth="1"/>
    <col min="12291" max="12291" width="0.875" style="2947" customWidth="1"/>
    <col min="12292" max="12292" width="11.125" style="2947" customWidth="1"/>
    <col min="12293" max="12293" width="1.25" style="2947" customWidth="1"/>
    <col min="12294" max="12294" width="12.125" style="2947" customWidth="1"/>
    <col min="12295" max="12295" width="8.125" style="2947" customWidth="1"/>
    <col min="12296" max="12296" width="9.125" style="2947" customWidth="1"/>
    <col min="12297" max="12297" width="9.625" style="2947" customWidth="1"/>
    <col min="12298" max="12299" width="10.75" style="2947" customWidth="1"/>
    <col min="12300" max="12300" width="1.25" style="2947" customWidth="1"/>
    <col min="12301" max="12301" width="11.75" style="2947" customWidth="1"/>
    <col min="12302" max="12302" width="1" style="2947" customWidth="1"/>
    <col min="12303" max="12303" width="9.375" style="2947" customWidth="1"/>
    <col min="12304" max="12544" width="7.75" style="2947"/>
    <col min="12545" max="12545" width="7.875" style="2947" customWidth="1"/>
    <col min="12546" max="12546" width="9" style="2947" customWidth="1"/>
    <col min="12547" max="12547" width="0.875" style="2947" customWidth="1"/>
    <col min="12548" max="12548" width="11.125" style="2947" customWidth="1"/>
    <col min="12549" max="12549" width="1.25" style="2947" customWidth="1"/>
    <col min="12550" max="12550" width="12.125" style="2947" customWidth="1"/>
    <col min="12551" max="12551" width="8.125" style="2947" customWidth="1"/>
    <col min="12552" max="12552" width="9.125" style="2947" customWidth="1"/>
    <col min="12553" max="12553" width="9.625" style="2947" customWidth="1"/>
    <col min="12554" max="12555" width="10.75" style="2947" customWidth="1"/>
    <col min="12556" max="12556" width="1.25" style="2947" customWidth="1"/>
    <col min="12557" max="12557" width="11.75" style="2947" customWidth="1"/>
    <col min="12558" max="12558" width="1" style="2947" customWidth="1"/>
    <col min="12559" max="12559" width="9.375" style="2947" customWidth="1"/>
    <col min="12560" max="12800" width="7.75" style="2947"/>
    <col min="12801" max="12801" width="7.875" style="2947" customWidth="1"/>
    <col min="12802" max="12802" width="9" style="2947" customWidth="1"/>
    <col min="12803" max="12803" width="0.875" style="2947" customWidth="1"/>
    <col min="12804" max="12804" width="11.125" style="2947" customWidth="1"/>
    <col min="12805" max="12805" width="1.25" style="2947" customWidth="1"/>
    <col min="12806" max="12806" width="12.125" style="2947" customWidth="1"/>
    <col min="12807" max="12807" width="8.125" style="2947" customWidth="1"/>
    <col min="12808" max="12808" width="9.125" style="2947" customWidth="1"/>
    <col min="12809" max="12809" width="9.625" style="2947" customWidth="1"/>
    <col min="12810" max="12811" width="10.75" style="2947" customWidth="1"/>
    <col min="12812" max="12812" width="1.25" style="2947" customWidth="1"/>
    <col min="12813" max="12813" width="11.75" style="2947" customWidth="1"/>
    <col min="12814" max="12814" width="1" style="2947" customWidth="1"/>
    <col min="12815" max="12815" width="9.375" style="2947" customWidth="1"/>
    <col min="12816" max="13056" width="7.75" style="2947"/>
    <col min="13057" max="13057" width="7.875" style="2947" customWidth="1"/>
    <col min="13058" max="13058" width="9" style="2947" customWidth="1"/>
    <col min="13059" max="13059" width="0.875" style="2947" customWidth="1"/>
    <col min="13060" max="13060" width="11.125" style="2947" customWidth="1"/>
    <col min="13061" max="13061" width="1.25" style="2947" customWidth="1"/>
    <col min="13062" max="13062" width="12.125" style="2947" customWidth="1"/>
    <col min="13063" max="13063" width="8.125" style="2947" customWidth="1"/>
    <col min="13064" max="13064" width="9.125" style="2947" customWidth="1"/>
    <col min="13065" max="13065" width="9.625" style="2947" customWidth="1"/>
    <col min="13066" max="13067" width="10.75" style="2947" customWidth="1"/>
    <col min="13068" max="13068" width="1.25" style="2947" customWidth="1"/>
    <col min="13069" max="13069" width="11.75" style="2947" customWidth="1"/>
    <col min="13070" max="13070" width="1" style="2947" customWidth="1"/>
    <col min="13071" max="13071" width="9.375" style="2947" customWidth="1"/>
    <col min="13072" max="13312" width="7.75" style="2947"/>
    <col min="13313" max="13313" width="7.875" style="2947" customWidth="1"/>
    <col min="13314" max="13314" width="9" style="2947" customWidth="1"/>
    <col min="13315" max="13315" width="0.875" style="2947" customWidth="1"/>
    <col min="13316" max="13316" width="11.125" style="2947" customWidth="1"/>
    <col min="13317" max="13317" width="1.25" style="2947" customWidth="1"/>
    <col min="13318" max="13318" width="12.125" style="2947" customWidth="1"/>
    <col min="13319" max="13319" width="8.125" style="2947" customWidth="1"/>
    <col min="13320" max="13320" width="9.125" style="2947" customWidth="1"/>
    <col min="13321" max="13321" width="9.625" style="2947" customWidth="1"/>
    <col min="13322" max="13323" width="10.75" style="2947" customWidth="1"/>
    <col min="13324" max="13324" width="1.25" style="2947" customWidth="1"/>
    <col min="13325" max="13325" width="11.75" style="2947" customWidth="1"/>
    <col min="13326" max="13326" width="1" style="2947" customWidth="1"/>
    <col min="13327" max="13327" width="9.375" style="2947" customWidth="1"/>
    <col min="13328" max="13568" width="7.75" style="2947"/>
    <col min="13569" max="13569" width="7.875" style="2947" customWidth="1"/>
    <col min="13570" max="13570" width="9" style="2947" customWidth="1"/>
    <col min="13571" max="13571" width="0.875" style="2947" customWidth="1"/>
    <col min="13572" max="13572" width="11.125" style="2947" customWidth="1"/>
    <col min="13573" max="13573" width="1.25" style="2947" customWidth="1"/>
    <col min="13574" max="13574" width="12.125" style="2947" customWidth="1"/>
    <col min="13575" max="13575" width="8.125" style="2947" customWidth="1"/>
    <col min="13576" max="13576" width="9.125" style="2947" customWidth="1"/>
    <col min="13577" max="13577" width="9.625" style="2947" customWidth="1"/>
    <col min="13578" max="13579" width="10.75" style="2947" customWidth="1"/>
    <col min="13580" max="13580" width="1.25" style="2947" customWidth="1"/>
    <col min="13581" max="13581" width="11.75" style="2947" customWidth="1"/>
    <col min="13582" max="13582" width="1" style="2947" customWidth="1"/>
    <col min="13583" max="13583" width="9.375" style="2947" customWidth="1"/>
    <col min="13584" max="13824" width="7.75" style="2947"/>
    <col min="13825" max="13825" width="7.875" style="2947" customWidth="1"/>
    <col min="13826" max="13826" width="9" style="2947" customWidth="1"/>
    <col min="13827" max="13827" width="0.875" style="2947" customWidth="1"/>
    <col min="13828" max="13828" width="11.125" style="2947" customWidth="1"/>
    <col min="13829" max="13829" width="1.25" style="2947" customWidth="1"/>
    <col min="13830" max="13830" width="12.125" style="2947" customWidth="1"/>
    <col min="13831" max="13831" width="8.125" style="2947" customWidth="1"/>
    <col min="13832" max="13832" width="9.125" style="2947" customWidth="1"/>
    <col min="13833" max="13833" width="9.625" style="2947" customWidth="1"/>
    <col min="13834" max="13835" width="10.75" style="2947" customWidth="1"/>
    <col min="13836" max="13836" width="1.25" style="2947" customWidth="1"/>
    <col min="13837" max="13837" width="11.75" style="2947" customWidth="1"/>
    <col min="13838" max="13838" width="1" style="2947" customWidth="1"/>
    <col min="13839" max="13839" width="9.375" style="2947" customWidth="1"/>
    <col min="13840" max="14080" width="7.75" style="2947"/>
    <col min="14081" max="14081" width="7.875" style="2947" customWidth="1"/>
    <col min="14082" max="14082" width="9" style="2947" customWidth="1"/>
    <col min="14083" max="14083" width="0.875" style="2947" customWidth="1"/>
    <col min="14084" max="14084" width="11.125" style="2947" customWidth="1"/>
    <col min="14085" max="14085" width="1.25" style="2947" customWidth="1"/>
    <col min="14086" max="14086" width="12.125" style="2947" customWidth="1"/>
    <col min="14087" max="14087" width="8.125" style="2947" customWidth="1"/>
    <col min="14088" max="14088" width="9.125" style="2947" customWidth="1"/>
    <col min="14089" max="14089" width="9.625" style="2947" customWidth="1"/>
    <col min="14090" max="14091" width="10.75" style="2947" customWidth="1"/>
    <col min="14092" max="14092" width="1.25" style="2947" customWidth="1"/>
    <col min="14093" max="14093" width="11.75" style="2947" customWidth="1"/>
    <col min="14094" max="14094" width="1" style="2947" customWidth="1"/>
    <col min="14095" max="14095" width="9.375" style="2947" customWidth="1"/>
    <col min="14096" max="14336" width="7.75" style="2947"/>
    <col min="14337" max="14337" width="7.875" style="2947" customWidth="1"/>
    <col min="14338" max="14338" width="9" style="2947" customWidth="1"/>
    <col min="14339" max="14339" width="0.875" style="2947" customWidth="1"/>
    <col min="14340" max="14340" width="11.125" style="2947" customWidth="1"/>
    <col min="14341" max="14341" width="1.25" style="2947" customWidth="1"/>
    <col min="14342" max="14342" width="12.125" style="2947" customWidth="1"/>
    <col min="14343" max="14343" width="8.125" style="2947" customWidth="1"/>
    <col min="14344" max="14344" width="9.125" style="2947" customWidth="1"/>
    <col min="14345" max="14345" width="9.625" style="2947" customWidth="1"/>
    <col min="14346" max="14347" width="10.75" style="2947" customWidth="1"/>
    <col min="14348" max="14348" width="1.25" style="2947" customWidth="1"/>
    <col min="14349" max="14349" width="11.75" style="2947" customWidth="1"/>
    <col min="14350" max="14350" width="1" style="2947" customWidth="1"/>
    <col min="14351" max="14351" width="9.375" style="2947" customWidth="1"/>
    <col min="14352" max="14592" width="7.75" style="2947"/>
    <col min="14593" max="14593" width="7.875" style="2947" customWidth="1"/>
    <col min="14594" max="14594" width="9" style="2947" customWidth="1"/>
    <col min="14595" max="14595" width="0.875" style="2947" customWidth="1"/>
    <col min="14596" max="14596" width="11.125" style="2947" customWidth="1"/>
    <col min="14597" max="14597" width="1.25" style="2947" customWidth="1"/>
    <col min="14598" max="14598" width="12.125" style="2947" customWidth="1"/>
    <col min="14599" max="14599" width="8.125" style="2947" customWidth="1"/>
    <col min="14600" max="14600" width="9.125" style="2947" customWidth="1"/>
    <col min="14601" max="14601" width="9.625" style="2947" customWidth="1"/>
    <col min="14602" max="14603" width="10.75" style="2947" customWidth="1"/>
    <col min="14604" max="14604" width="1.25" style="2947" customWidth="1"/>
    <col min="14605" max="14605" width="11.75" style="2947" customWidth="1"/>
    <col min="14606" max="14606" width="1" style="2947" customWidth="1"/>
    <col min="14607" max="14607" width="9.375" style="2947" customWidth="1"/>
    <col min="14608" max="14848" width="7.75" style="2947"/>
    <col min="14849" max="14849" width="7.875" style="2947" customWidth="1"/>
    <col min="14850" max="14850" width="9" style="2947" customWidth="1"/>
    <col min="14851" max="14851" width="0.875" style="2947" customWidth="1"/>
    <col min="14852" max="14852" width="11.125" style="2947" customWidth="1"/>
    <col min="14853" max="14853" width="1.25" style="2947" customWidth="1"/>
    <col min="14854" max="14854" width="12.125" style="2947" customWidth="1"/>
    <col min="14855" max="14855" width="8.125" style="2947" customWidth="1"/>
    <col min="14856" max="14856" width="9.125" style="2947" customWidth="1"/>
    <col min="14857" max="14857" width="9.625" style="2947" customWidth="1"/>
    <col min="14858" max="14859" width="10.75" style="2947" customWidth="1"/>
    <col min="14860" max="14860" width="1.25" style="2947" customWidth="1"/>
    <col min="14861" max="14861" width="11.75" style="2947" customWidth="1"/>
    <col min="14862" max="14862" width="1" style="2947" customWidth="1"/>
    <col min="14863" max="14863" width="9.375" style="2947" customWidth="1"/>
    <col min="14864" max="15104" width="7.75" style="2947"/>
    <col min="15105" max="15105" width="7.875" style="2947" customWidth="1"/>
    <col min="15106" max="15106" width="9" style="2947" customWidth="1"/>
    <col min="15107" max="15107" width="0.875" style="2947" customWidth="1"/>
    <col min="15108" max="15108" width="11.125" style="2947" customWidth="1"/>
    <col min="15109" max="15109" width="1.25" style="2947" customWidth="1"/>
    <col min="15110" max="15110" width="12.125" style="2947" customWidth="1"/>
    <col min="15111" max="15111" width="8.125" style="2947" customWidth="1"/>
    <col min="15112" max="15112" width="9.125" style="2947" customWidth="1"/>
    <col min="15113" max="15113" width="9.625" style="2947" customWidth="1"/>
    <col min="15114" max="15115" width="10.75" style="2947" customWidth="1"/>
    <col min="15116" max="15116" width="1.25" style="2947" customWidth="1"/>
    <col min="15117" max="15117" width="11.75" style="2947" customWidth="1"/>
    <col min="15118" max="15118" width="1" style="2947" customWidth="1"/>
    <col min="15119" max="15119" width="9.375" style="2947" customWidth="1"/>
    <col min="15120" max="15360" width="7.75" style="2947"/>
    <col min="15361" max="15361" width="7.875" style="2947" customWidth="1"/>
    <col min="15362" max="15362" width="9" style="2947" customWidth="1"/>
    <col min="15363" max="15363" width="0.875" style="2947" customWidth="1"/>
    <col min="15364" max="15364" width="11.125" style="2947" customWidth="1"/>
    <col min="15365" max="15365" width="1.25" style="2947" customWidth="1"/>
    <col min="15366" max="15366" width="12.125" style="2947" customWidth="1"/>
    <col min="15367" max="15367" width="8.125" style="2947" customWidth="1"/>
    <col min="15368" max="15368" width="9.125" style="2947" customWidth="1"/>
    <col min="15369" max="15369" width="9.625" style="2947" customWidth="1"/>
    <col min="15370" max="15371" width="10.75" style="2947" customWidth="1"/>
    <col min="15372" max="15372" width="1.25" style="2947" customWidth="1"/>
    <col min="15373" max="15373" width="11.75" style="2947" customWidth="1"/>
    <col min="15374" max="15374" width="1" style="2947" customWidth="1"/>
    <col min="15375" max="15375" width="9.375" style="2947" customWidth="1"/>
    <col min="15376" max="15616" width="7.75" style="2947"/>
    <col min="15617" max="15617" width="7.875" style="2947" customWidth="1"/>
    <col min="15618" max="15618" width="9" style="2947" customWidth="1"/>
    <col min="15619" max="15619" width="0.875" style="2947" customWidth="1"/>
    <col min="15620" max="15620" width="11.125" style="2947" customWidth="1"/>
    <col min="15621" max="15621" width="1.25" style="2947" customWidth="1"/>
    <col min="15622" max="15622" width="12.125" style="2947" customWidth="1"/>
    <col min="15623" max="15623" width="8.125" style="2947" customWidth="1"/>
    <col min="15624" max="15624" width="9.125" style="2947" customWidth="1"/>
    <col min="15625" max="15625" width="9.625" style="2947" customWidth="1"/>
    <col min="15626" max="15627" width="10.75" style="2947" customWidth="1"/>
    <col min="15628" max="15628" width="1.25" style="2947" customWidth="1"/>
    <col min="15629" max="15629" width="11.75" style="2947" customWidth="1"/>
    <col min="15630" max="15630" width="1" style="2947" customWidth="1"/>
    <col min="15631" max="15631" width="9.375" style="2947" customWidth="1"/>
    <col min="15632" max="15872" width="7.75" style="2947"/>
    <col min="15873" max="15873" width="7.875" style="2947" customWidth="1"/>
    <col min="15874" max="15874" width="9" style="2947" customWidth="1"/>
    <col min="15875" max="15875" width="0.875" style="2947" customWidth="1"/>
    <col min="15876" max="15876" width="11.125" style="2947" customWidth="1"/>
    <col min="15877" max="15877" width="1.25" style="2947" customWidth="1"/>
    <col min="15878" max="15878" width="12.125" style="2947" customWidth="1"/>
    <col min="15879" max="15879" width="8.125" style="2947" customWidth="1"/>
    <col min="15880" max="15880" width="9.125" style="2947" customWidth="1"/>
    <col min="15881" max="15881" width="9.625" style="2947" customWidth="1"/>
    <col min="15882" max="15883" width="10.75" style="2947" customWidth="1"/>
    <col min="15884" max="15884" width="1.25" style="2947" customWidth="1"/>
    <col min="15885" max="15885" width="11.75" style="2947" customWidth="1"/>
    <col min="15886" max="15886" width="1" style="2947" customWidth="1"/>
    <col min="15887" max="15887" width="9.375" style="2947" customWidth="1"/>
    <col min="15888" max="16128" width="7.75" style="2947"/>
    <col min="16129" max="16129" width="7.875" style="2947" customWidth="1"/>
    <col min="16130" max="16130" width="9" style="2947" customWidth="1"/>
    <col min="16131" max="16131" width="0.875" style="2947" customWidth="1"/>
    <col min="16132" max="16132" width="11.125" style="2947" customWidth="1"/>
    <col min="16133" max="16133" width="1.25" style="2947" customWidth="1"/>
    <col min="16134" max="16134" width="12.125" style="2947" customWidth="1"/>
    <col min="16135" max="16135" width="8.125" style="2947" customWidth="1"/>
    <col min="16136" max="16136" width="9.125" style="2947" customWidth="1"/>
    <col min="16137" max="16137" width="9.625" style="2947" customWidth="1"/>
    <col min="16138" max="16139" width="10.75" style="2947" customWidth="1"/>
    <col min="16140" max="16140" width="1.25" style="2947" customWidth="1"/>
    <col min="16141" max="16141" width="11.75" style="2947" customWidth="1"/>
    <col min="16142" max="16142" width="1" style="2947" customWidth="1"/>
    <col min="16143" max="16143" width="9.375" style="2947" customWidth="1"/>
    <col min="16144" max="16384" width="7.75" style="2947"/>
  </cols>
  <sheetData>
    <row r="2" spans="1:41" ht="16.5" customHeight="1">
      <c r="A2" s="2941"/>
      <c r="B2" s="2942"/>
      <c r="C2" s="2942"/>
      <c r="D2" s="2942"/>
      <c r="E2" s="2942"/>
      <c r="F2" s="2942"/>
      <c r="G2" s="2942"/>
      <c r="H2" s="2942"/>
      <c r="I2" s="3100" t="s">
        <v>206</v>
      </c>
      <c r="J2" s="3110"/>
      <c r="K2" s="3110"/>
      <c r="L2" s="2974"/>
      <c r="M2" s="2974"/>
      <c r="N2" s="2974"/>
      <c r="O2" s="2975"/>
      <c r="S2" s="2946"/>
      <c r="AI2" s="2946"/>
    </row>
    <row r="3" spans="1:41" ht="16.5" customHeight="1">
      <c r="A3" s="2948"/>
      <c r="I3" s="3102" t="s">
        <v>82</v>
      </c>
      <c r="J3" s="3111"/>
      <c r="K3" s="3112"/>
      <c r="L3" s="2984"/>
      <c r="M3" s="2984"/>
      <c r="N3" s="2984"/>
      <c r="O3" s="2993"/>
      <c r="S3" s="2946"/>
      <c r="AI3" s="2946"/>
    </row>
    <row r="4" spans="1:41" ht="16.5" customHeight="1">
      <c r="A4" s="2948"/>
      <c r="I4" s="3102" t="s">
        <v>77</v>
      </c>
      <c r="J4" s="3111"/>
      <c r="K4" s="3113"/>
      <c r="L4" s="2984"/>
      <c r="M4" s="3102" t="s">
        <v>76</v>
      </c>
      <c r="N4" s="3114"/>
      <c r="O4" s="3115"/>
      <c r="S4" s="2953"/>
      <c r="Y4" s="2954"/>
      <c r="AI4" s="2953"/>
      <c r="AO4" s="2954"/>
    </row>
    <row r="5" spans="1:41" ht="16.5" customHeight="1">
      <c r="A5" s="2948"/>
      <c r="I5" s="3105" t="s">
        <v>75</v>
      </c>
      <c r="J5" s="3111"/>
      <c r="K5" s="3116"/>
      <c r="L5" s="3003"/>
      <c r="M5" s="3105" t="s">
        <v>74</v>
      </c>
      <c r="N5" s="3003"/>
      <c r="O5" s="3117"/>
      <c r="S5" s="2953"/>
      <c r="Y5" s="2953"/>
      <c r="AI5" s="2953"/>
      <c r="AO5" s="2953"/>
    </row>
    <row r="6" spans="1:41" ht="16.5" customHeight="1">
      <c r="A6" s="2956"/>
      <c r="B6" s="2957"/>
      <c r="C6" s="2957"/>
      <c r="D6" s="2957"/>
      <c r="E6" s="2957"/>
      <c r="F6" s="2957"/>
      <c r="G6" s="2957"/>
      <c r="H6" s="2957"/>
      <c r="I6" s="2957"/>
      <c r="J6" s="2957"/>
      <c r="K6" s="2957"/>
      <c r="L6" s="2957"/>
      <c r="M6" s="2957"/>
      <c r="N6" s="2957"/>
      <c r="O6" s="3118"/>
      <c r="S6" s="2945"/>
      <c r="T6" s="2945"/>
      <c r="U6" s="2945"/>
      <c r="V6" s="2945"/>
      <c r="W6" s="2945"/>
      <c r="X6" s="2945"/>
      <c r="Y6" s="2945"/>
      <c r="AA6" s="2945"/>
      <c r="AB6" s="2945"/>
      <c r="AC6" s="2945"/>
      <c r="AD6" s="2945"/>
      <c r="AE6" s="2945"/>
      <c r="AF6" s="2945"/>
      <c r="AG6" s="2945"/>
      <c r="AH6" s="2945"/>
      <c r="AI6" s="2945"/>
      <c r="AJ6" s="2945"/>
      <c r="AK6" s="2945"/>
      <c r="AL6" s="2945"/>
      <c r="AM6" s="2945"/>
      <c r="AN6" s="2945"/>
      <c r="AO6" s="2945"/>
    </row>
    <row r="7" spans="1:41" ht="16.5" customHeight="1">
      <c r="A7" s="2959" t="s">
        <v>945</v>
      </c>
      <c r="B7" s="2960"/>
      <c r="C7" s="2960"/>
      <c r="D7" s="2960"/>
      <c r="E7" s="2960"/>
      <c r="F7" s="2960"/>
      <c r="G7" s="2961"/>
      <c r="H7" s="2961"/>
      <c r="I7" s="2960"/>
      <c r="J7" s="2960"/>
      <c r="K7" s="2960"/>
      <c r="L7" s="2960"/>
      <c r="M7" s="2960"/>
      <c r="N7" s="2960"/>
      <c r="O7" s="3119"/>
      <c r="Q7" s="2963"/>
      <c r="S7" s="2960"/>
      <c r="T7" s="2960"/>
      <c r="U7" s="2960"/>
      <c r="V7" s="2960"/>
      <c r="W7" s="2960"/>
      <c r="X7" s="2960"/>
      <c r="Y7" s="2960"/>
      <c r="AA7" s="2961"/>
      <c r="AB7" s="2960"/>
      <c r="AC7" s="2960"/>
      <c r="AD7" s="2960"/>
      <c r="AE7" s="2960"/>
      <c r="AF7" s="2961"/>
      <c r="AG7" s="2961"/>
      <c r="AH7" s="2960"/>
      <c r="AI7" s="2960"/>
      <c r="AJ7" s="2960"/>
      <c r="AK7" s="2960"/>
      <c r="AL7" s="2960"/>
      <c r="AM7" s="2960"/>
      <c r="AN7" s="2960"/>
      <c r="AO7" s="2960"/>
    </row>
    <row r="8" spans="1:41" ht="16.5" customHeight="1">
      <c r="A8" s="2964"/>
      <c r="B8" s="2960"/>
      <c r="C8" s="2960"/>
      <c r="D8" s="2960"/>
      <c r="E8" s="2960"/>
      <c r="F8" s="2960"/>
      <c r="G8" s="2960"/>
      <c r="H8" s="2960"/>
      <c r="I8" s="2960"/>
      <c r="J8" s="2960"/>
      <c r="K8" s="2960"/>
      <c r="L8" s="2960"/>
      <c r="M8" s="2960"/>
      <c r="N8" s="2960"/>
      <c r="O8" s="3119"/>
      <c r="S8" s="2960"/>
      <c r="T8" s="2960"/>
      <c r="U8" s="2960"/>
      <c r="V8" s="2960"/>
      <c r="W8" s="2960"/>
      <c r="X8" s="2960"/>
      <c r="Y8" s="2960"/>
      <c r="AA8" s="2965"/>
      <c r="AB8" s="2960"/>
      <c r="AC8" s="2960"/>
      <c r="AD8" s="2960"/>
      <c r="AE8" s="2960"/>
      <c r="AF8" s="2960"/>
      <c r="AG8" s="2960"/>
      <c r="AH8" s="2960"/>
      <c r="AI8" s="2960"/>
      <c r="AJ8" s="2960"/>
      <c r="AK8" s="2960"/>
      <c r="AL8" s="2960"/>
      <c r="AM8" s="2960"/>
      <c r="AN8" s="2960"/>
      <c r="AO8" s="2960"/>
    </row>
    <row r="9" spans="1:41" ht="16.5" customHeight="1">
      <c r="A9" s="2948"/>
      <c r="B9" s="2947" t="s">
        <v>208</v>
      </c>
      <c r="C9" s="2947" t="s">
        <v>27</v>
      </c>
      <c r="D9" s="3082"/>
      <c r="E9" s="2955"/>
      <c r="J9" s="2947" t="s">
        <v>944</v>
      </c>
      <c r="L9" s="2947" t="s">
        <v>27</v>
      </c>
      <c r="M9" s="3082"/>
      <c r="N9" s="2953"/>
      <c r="O9" s="2952"/>
      <c r="X9" s="2953"/>
      <c r="AN9" s="2953"/>
    </row>
    <row r="10" spans="1:41" ht="16.5" customHeight="1">
      <c r="A10" s="2948"/>
      <c r="B10" s="2947" t="s">
        <v>943</v>
      </c>
      <c r="C10" s="2947" t="s">
        <v>27</v>
      </c>
      <c r="D10" s="3082"/>
      <c r="E10" s="2955"/>
      <c r="F10" s="2953"/>
      <c r="J10" s="2947" t="s">
        <v>942</v>
      </c>
      <c r="L10" s="2947" t="s">
        <v>27</v>
      </c>
      <c r="M10" s="3082"/>
      <c r="O10" s="2952"/>
      <c r="AE10" s="2953"/>
    </row>
    <row r="11" spans="1:41" ht="16.5" customHeight="1">
      <c r="A11" s="2948"/>
      <c r="B11" s="2947" t="s">
        <v>210</v>
      </c>
      <c r="C11" s="2947" t="s">
        <v>27</v>
      </c>
      <c r="D11" s="3082"/>
      <c r="E11" s="2955"/>
      <c r="F11" s="2953" t="s">
        <v>68</v>
      </c>
      <c r="J11" s="2945" t="s">
        <v>941</v>
      </c>
      <c r="K11" s="2945"/>
      <c r="L11" s="2945" t="s">
        <v>27</v>
      </c>
      <c r="M11" s="3120"/>
      <c r="O11" s="2952"/>
      <c r="T11" s="2945"/>
      <c r="U11" s="2945"/>
      <c r="V11" s="2945"/>
      <c r="AE11" s="2953"/>
      <c r="AJ11" s="2945"/>
      <c r="AK11" s="2945"/>
      <c r="AL11" s="2945"/>
    </row>
    <row r="12" spans="1:41" ht="16.5" customHeight="1">
      <c r="A12" s="2948"/>
      <c r="M12" s="2960"/>
      <c r="N12" s="2960"/>
      <c r="O12" s="2952"/>
      <c r="U12" s="2960"/>
      <c r="V12" s="2960"/>
      <c r="AK12" s="2960"/>
      <c r="AL12" s="2960"/>
    </row>
    <row r="13" spans="1:41" ht="16.5" customHeight="1">
      <c r="A13" s="2948"/>
      <c r="B13" s="2966" t="s">
        <v>966</v>
      </c>
      <c r="M13" s="2960"/>
      <c r="N13" s="2960"/>
      <c r="O13" s="2952"/>
      <c r="U13" s="2960"/>
      <c r="V13" s="2960"/>
      <c r="AK13" s="2960"/>
      <c r="AL13" s="2960"/>
    </row>
    <row r="14" spans="1:41" ht="16.5" customHeight="1">
      <c r="A14" s="2948"/>
      <c r="M14" s="2960"/>
      <c r="N14" s="2960"/>
      <c r="O14" s="2952"/>
      <c r="U14" s="2960"/>
      <c r="V14" s="2960"/>
      <c r="AK14" s="2960"/>
      <c r="AL14" s="2960"/>
    </row>
    <row r="15" spans="1:41" ht="16.5" customHeight="1">
      <c r="A15" s="2948"/>
      <c r="B15" s="2947" t="s">
        <v>965</v>
      </c>
      <c r="E15" s="2947" t="s">
        <v>27</v>
      </c>
      <c r="F15" s="3121">
        <v>50</v>
      </c>
      <c r="G15" s="2947" t="s">
        <v>908</v>
      </c>
      <c r="M15" s="2960"/>
      <c r="N15" s="2960"/>
      <c r="O15" s="2952"/>
      <c r="U15" s="2960"/>
      <c r="V15" s="2960"/>
      <c r="AK15" s="2960"/>
      <c r="AL15" s="2960"/>
    </row>
    <row r="16" spans="1:41" ht="16.5" customHeight="1">
      <c r="A16" s="2948"/>
      <c r="B16" s="2947" t="s">
        <v>915</v>
      </c>
      <c r="E16" s="2947" t="s">
        <v>27</v>
      </c>
      <c r="F16" s="3121">
        <v>240</v>
      </c>
      <c r="G16" s="2947" t="s">
        <v>908</v>
      </c>
      <c r="M16" s="2960"/>
      <c r="N16" s="2960"/>
      <c r="O16" s="2952"/>
      <c r="U16" s="2960"/>
      <c r="V16" s="2960"/>
      <c r="AK16" s="2960"/>
      <c r="AL16" s="2960"/>
    </row>
    <row r="17" spans="1:38" ht="16.5" customHeight="1">
      <c r="A17" s="2948"/>
      <c r="B17" s="2947" t="s">
        <v>914</v>
      </c>
      <c r="E17" s="2947" t="s">
        <v>27</v>
      </c>
      <c r="F17" s="3121">
        <v>190</v>
      </c>
      <c r="G17" s="2947" t="s">
        <v>908</v>
      </c>
      <c r="M17" s="2960"/>
      <c r="N17" s="2960"/>
      <c r="O17" s="2952"/>
      <c r="U17" s="2960"/>
      <c r="V17" s="2960"/>
      <c r="AK17" s="2960"/>
      <c r="AL17" s="2960"/>
    </row>
    <row r="18" spans="1:38" ht="16.5" customHeight="1">
      <c r="A18" s="2948"/>
      <c r="B18" s="2947" t="s">
        <v>973</v>
      </c>
      <c r="E18" s="2947" t="s">
        <v>27</v>
      </c>
      <c r="F18" s="3121">
        <f>'CU_Multi Saturasi pmdtn'!E41</f>
        <v>229</v>
      </c>
      <c r="G18" s="2947" t="s">
        <v>908</v>
      </c>
      <c r="M18" s="2960"/>
      <c r="N18" s="2960"/>
      <c r="O18" s="2952"/>
      <c r="U18" s="2960"/>
      <c r="V18" s="2960"/>
      <c r="AK18" s="2960"/>
      <c r="AL18" s="2960"/>
    </row>
    <row r="19" spans="1:38" ht="16.5" customHeight="1">
      <c r="A19" s="2948"/>
      <c r="B19" s="2947" t="s">
        <v>963</v>
      </c>
      <c r="E19" s="2947" t="s">
        <v>27</v>
      </c>
      <c r="F19" s="3121">
        <v>39</v>
      </c>
      <c r="G19" s="2947" t="s">
        <v>908</v>
      </c>
      <c r="M19" s="2960"/>
      <c r="N19" s="2960"/>
      <c r="O19" s="2952"/>
      <c r="U19" s="2960"/>
      <c r="V19" s="2960"/>
      <c r="AK19" s="2960"/>
      <c r="AL19" s="2960"/>
    </row>
    <row r="20" spans="1:38" ht="16.5" customHeight="1">
      <c r="A20" s="2948"/>
      <c r="B20" s="2990" t="s">
        <v>970</v>
      </c>
      <c r="D20" s="2947" t="s">
        <v>972</v>
      </c>
      <c r="M20" s="2960"/>
      <c r="N20" s="2960"/>
      <c r="O20" s="2952"/>
      <c r="U20" s="2960"/>
      <c r="V20" s="2960"/>
      <c r="AK20" s="2960"/>
      <c r="AL20" s="2960"/>
    </row>
    <row r="21" spans="1:38" ht="16.5" customHeight="1">
      <c r="A21" s="2948"/>
      <c r="M21" s="2960"/>
      <c r="N21" s="2945"/>
      <c r="O21" s="3122"/>
      <c r="U21" s="2960"/>
      <c r="V21" s="2960"/>
      <c r="AK21" s="2960"/>
      <c r="AL21" s="2960"/>
    </row>
    <row r="22" spans="1:38" ht="16.5" customHeight="1">
      <c r="A22" s="2948"/>
      <c r="B22" s="3123" t="s">
        <v>76</v>
      </c>
      <c r="C22" s="2944"/>
      <c r="D22" s="3124" t="s">
        <v>962</v>
      </c>
      <c r="E22" s="2944"/>
      <c r="F22" s="3125" t="s">
        <v>16</v>
      </c>
      <c r="G22" s="3125"/>
      <c r="H22" s="4836" t="s">
        <v>961</v>
      </c>
      <c r="I22" s="4838"/>
      <c r="J22" s="4866" t="s">
        <v>913</v>
      </c>
      <c r="K22" s="4866"/>
      <c r="L22" s="4866"/>
      <c r="M22" s="4867"/>
      <c r="N22" s="2945"/>
      <c r="O22" s="3122"/>
      <c r="U22" s="2960"/>
      <c r="V22" s="2960"/>
      <c r="AK22" s="2960"/>
      <c r="AL22" s="2960"/>
    </row>
    <row r="23" spans="1:38" ht="16.5" customHeight="1">
      <c r="A23" s="2948"/>
      <c r="B23" s="3126"/>
      <c r="C23" s="2952"/>
      <c r="D23" s="2977"/>
      <c r="E23" s="2952"/>
      <c r="F23" s="3127" t="s">
        <v>10</v>
      </c>
      <c r="G23" s="3127" t="s">
        <v>10</v>
      </c>
      <c r="H23" s="3125" t="s">
        <v>960</v>
      </c>
      <c r="I23" s="3125" t="s">
        <v>905</v>
      </c>
      <c r="J23" s="3125" t="s">
        <v>15</v>
      </c>
      <c r="K23" s="3123" t="s">
        <v>905</v>
      </c>
      <c r="L23" s="2944"/>
      <c r="M23" s="3125" t="s">
        <v>959</v>
      </c>
      <c r="N23" s="2945"/>
      <c r="O23" s="3122"/>
      <c r="U23" s="2960"/>
      <c r="V23" s="2960"/>
      <c r="AK23" s="2960"/>
      <c r="AL23" s="2960"/>
    </row>
    <row r="24" spans="1:38" ht="16.5" customHeight="1">
      <c r="A24" s="2948"/>
      <c r="B24" s="3128"/>
      <c r="C24" s="2969"/>
      <c r="D24" s="3129"/>
      <c r="E24" s="2969"/>
      <c r="F24" s="3130" t="s">
        <v>958</v>
      </c>
      <c r="G24" s="3130"/>
      <c r="H24" s="3130"/>
      <c r="I24" s="3130" t="s">
        <v>563</v>
      </c>
      <c r="J24" s="3130" t="s">
        <v>908</v>
      </c>
      <c r="K24" s="3128" t="s">
        <v>908</v>
      </c>
      <c r="L24" s="2969"/>
      <c r="M24" s="3130" t="s">
        <v>1</v>
      </c>
      <c r="N24" s="2945"/>
      <c r="O24" s="3122"/>
      <c r="U24" s="2960"/>
      <c r="V24" s="2960"/>
      <c r="AK24" s="2960"/>
      <c r="AL24" s="2960"/>
    </row>
    <row r="25" spans="1:38" ht="16.5" customHeight="1">
      <c r="A25" s="2948"/>
      <c r="B25" s="3131">
        <v>46041</v>
      </c>
      <c r="C25" s="2975"/>
      <c r="D25" s="3132">
        <v>0.35763899999999998</v>
      </c>
      <c r="E25" s="2975"/>
      <c r="F25" s="3133">
        <v>0</v>
      </c>
      <c r="G25" s="3030">
        <f t="shared" ref="G25:G38" si="0">SQRT(F25)</f>
        <v>0</v>
      </c>
      <c r="H25" s="3134">
        <v>31.8</v>
      </c>
      <c r="I25" s="3135">
        <v>0</v>
      </c>
      <c r="J25" s="3136">
        <f>F18</f>
        <v>229</v>
      </c>
      <c r="K25" s="3137">
        <v>0</v>
      </c>
      <c r="L25" s="3138"/>
      <c r="M25" s="3031">
        <f t="shared" ref="M25:M38" si="1">(K25/$F$19)*100</f>
        <v>0</v>
      </c>
      <c r="N25" s="2945"/>
      <c r="O25" s="3122"/>
      <c r="U25" s="2960"/>
      <c r="V25" s="2960"/>
      <c r="AK25" s="2960"/>
      <c r="AL25" s="2960"/>
    </row>
    <row r="26" spans="1:38" ht="16.5" customHeight="1">
      <c r="A26" s="2948"/>
      <c r="B26" s="3139"/>
      <c r="C26" s="2993"/>
      <c r="D26" s="3140">
        <v>0.35781299999999999</v>
      </c>
      <c r="E26" s="2993"/>
      <c r="F26" s="3141">
        <v>0.25</v>
      </c>
      <c r="G26" s="3036">
        <f t="shared" si="0"/>
        <v>0.5</v>
      </c>
      <c r="H26" s="3142">
        <v>31.5</v>
      </c>
      <c r="I26" s="3041">
        <f t="shared" ref="I26:I38" si="2">$H$25-H26</f>
        <v>0.30000000000000071</v>
      </c>
      <c r="J26" s="3143">
        <v>227</v>
      </c>
      <c r="K26" s="3144">
        <f t="shared" ref="K26:K38" si="3">$J$25-J26</f>
        <v>2</v>
      </c>
      <c r="L26" s="3093"/>
      <c r="M26" s="3037">
        <f t="shared" si="1"/>
        <v>5.1282051282051277</v>
      </c>
      <c r="N26" s="2945"/>
      <c r="O26" s="3122"/>
      <c r="U26" s="2960"/>
      <c r="V26" s="2960"/>
      <c r="AK26" s="2960"/>
      <c r="AL26" s="2960"/>
    </row>
    <row r="27" spans="1:38" ht="16.5" customHeight="1">
      <c r="A27" s="2948"/>
      <c r="B27" s="3139"/>
      <c r="C27" s="2993"/>
      <c r="D27" s="3140">
        <v>0.35815999999999998</v>
      </c>
      <c r="E27" s="2993"/>
      <c r="F27" s="3141">
        <v>0.5</v>
      </c>
      <c r="G27" s="3036">
        <f t="shared" si="0"/>
        <v>0.70710678118654757</v>
      </c>
      <c r="H27" s="3142">
        <v>31.4</v>
      </c>
      <c r="I27" s="3041">
        <f t="shared" si="2"/>
        <v>0.40000000000000213</v>
      </c>
      <c r="J27" s="3143">
        <v>218</v>
      </c>
      <c r="K27" s="3144">
        <f t="shared" si="3"/>
        <v>11</v>
      </c>
      <c r="L27" s="3093"/>
      <c r="M27" s="3037">
        <f t="shared" si="1"/>
        <v>28.205128205128204</v>
      </c>
      <c r="N27" s="2945"/>
      <c r="O27" s="3122"/>
      <c r="U27" s="2960"/>
      <c r="V27" s="2960"/>
      <c r="AK27" s="2960"/>
      <c r="AL27" s="2960"/>
    </row>
    <row r="28" spans="1:38" ht="16.5" customHeight="1">
      <c r="A28" s="2948"/>
      <c r="B28" s="3139"/>
      <c r="C28" s="2993"/>
      <c r="D28" s="3140">
        <v>0.35885400000000001</v>
      </c>
      <c r="E28" s="2993"/>
      <c r="F28" s="3141">
        <v>1</v>
      </c>
      <c r="G28" s="3036">
        <f t="shared" si="0"/>
        <v>1</v>
      </c>
      <c r="H28" s="3142">
        <v>31.2</v>
      </c>
      <c r="I28" s="3041">
        <f t="shared" si="2"/>
        <v>0.60000000000000142</v>
      </c>
      <c r="J28" s="3143">
        <v>214</v>
      </c>
      <c r="K28" s="3144">
        <f t="shared" si="3"/>
        <v>15</v>
      </c>
      <c r="L28" s="3093"/>
      <c r="M28" s="3037">
        <f t="shared" si="1"/>
        <v>38.461538461538467</v>
      </c>
      <c r="N28" s="2945"/>
      <c r="O28" s="3122"/>
      <c r="R28" s="3145"/>
      <c r="U28" s="2960"/>
      <c r="V28" s="2960"/>
      <c r="AK28" s="2960"/>
      <c r="AL28" s="2960"/>
    </row>
    <row r="29" spans="1:38" ht="16.5" customHeight="1">
      <c r="A29" s="2948"/>
      <c r="B29" s="3139"/>
      <c r="C29" s="2993"/>
      <c r="D29" s="3140">
        <v>0.36041699999999999</v>
      </c>
      <c r="E29" s="2993"/>
      <c r="F29" s="3141">
        <v>2.25</v>
      </c>
      <c r="G29" s="3036">
        <f t="shared" si="0"/>
        <v>1.5</v>
      </c>
      <c r="H29" s="3142">
        <v>31</v>
      </c>
      <c r="I29" s="3041">
        <f t="shared" si="2"/>
        <v>0.80000000000000071</v>
      </c>
      <c r="J29" s="3143">
        <v>209</v>
      </c>
      <c r="K29" s="3144">
        <f t="shared" si="3"/>
        <v>20</v>
      </c>
      <c r="L29" s="3093"/>
      <c r="M29" s="3037">
        <f t="shared" si="1"/>
        <v>51.282051282051277</v>
      </c>
      <c r="N29" s="2945"/>
      <c r="O29" s="3122"/>
      <c r="U29" s="2960"/>
      <c r="V29" s="2960"/>
      <c r="AK29" s="2960"/>
      <c r="AL29" s="2960"/>
    </row>
    <row r="30" spans="1:38" ht="16.5" customHeight="1">
      <c r="A30" s="2948"/>
      <c r="B30" s="3139"/>
      <c r="C30" s="2993"/>
      <c r="D30" s="3140">
        <v>0.36319400000000002</v>
      </c>
      <c r="E30" s="2993"/>
      <c r="F30" s="3141">
        <v>4</v>
      </c>
      <c r="G30" s="3036">
        <f t="shared" si="0"/>
        <v>2</v>
      </c>
      <c r="H30" s="3142">
        <v>30.9</v>
      </c>
      <c r="I30" s="3041">
        <f t="shared" si="2"/>
        <v>0.90000000000000213</v>
      </c>
      <c r="J30" s="3143">
        <v>206</v>
      </c>
      <c r="K30" s="3144">
        <f t="shared" si="3"/>
        <v>23</v>
      </c>
      <c r="L30" s="3093"/>
      <c r="M30" s="3037">
        <f t="shared" si="1"/>
        <v>58.974358974358978</v>
      </c>
      <c r="N30" s="2945"/>
      <c r="O30" s="3122"/>
      <c r="U30" s="2960"/>
      <c r="V30" s="2960"/>
      <c r="AK30" s="2960"/>
      <c r="AL30" s="2960"/>
    </row>
    <row r="31" spans="1:38" ht="16.5" customHeight="1">
      <c r="A31" s="2948"/>
      <c r="B31" s="3139"/>
      <c r="C31" s="2993"/>
      <c r="D31" s="3140">
        <v>0.36944399999999999</v>
      </c>
      <c r="E31" s="2993"/>
      <c r="F31" s="3141">
        <v>9</v>
      </c>
      <c r="G31" s="3036">
        <f t="shared" si="0"/>
        <v>3</v>
      </c>
      <c r="H31" s="3142">
        <v>30.7</v>
      </c>
      <c r="I31" s="3041">
        <f t="shared" si="2"/>
        <v>1.1000000000000014</v>
      </c>
      <c r="J31" s="3143">
        <v>203</v>
      </c>
      <c r="K31" s="3144">
        <f t="shared" si="3"/>
        <v>26</v>
      </c>
      <c r="L31" s="3093"/>
      <c r="M31" s="3037">
        <f t="shared" si="1"/>
        <v>66.666666666666657</v>
      </c>
      <c r="N31" s="2945"/>
      <c r="O31" s="3122"/>
      <c r="U31" s="2960"/>
      <c r="V31" s="2960"/>
      <c r="AK31" s="2960"/>
      <c r="AL31" s="2960"/>
    </row>
    <row r="32" spans="1:38" ht="16.5" customHeight="1">
      <c r="A32" s="2948"/>
      <c r="B32" s="3139"/>
      <c r="C32" s="2993"/>
      <c r="D32" s="3140">
        <v>0.38055600000000001</v>
      </c>
      <c r="E32" s="2993"/>
      <c r="F32" s="3141">
        <v>16</v>
      </c>
      <c r="G32" s="3036">
        <f t="shared" si="0"/>
        <v>4</v>
      </c>
      <c r="H32" s="3142">
        <v>30.6</v>
      </c>
      <c r="I32" s="3041">
        <f t="shared" si="2"/>
        <v>1.1999999999999993</v>
      </c>
      <c r="J32" s="3143">
        <v>198</v>
      </c>
      <c r="K32" s="3144">
        <f t="shared" si="3"/>
        <v>31</v>
      </c>
      <c r="L32" s="3093"/>
      <c r="M32" s="3037">
        <f t="shared" si="1"/>
        <v>79.487179487179489</v>
      </c>
      <c r="N32" s="2945"/>
      <c r="O32" s="3122"/>
      <c r="U32" s="2960"/>
      <c r="V32" s="2960"/>
      <c r="AK32" s="2960"/>
      <c r="AL32" s="2960"/>
    </row>
    <row r="33" spans="1:41" ht="16.5" customHeight="1">
      <c r="A33" s="2948"/>
      <c r="B33" s="3139"/>
      <c r="C33" s="2993"/>
      <c r="D33" s="3140">
        <v>0.39791700000000002</v>
      </c>
      <c r="E33" s="2993"/>
      <c r="F33" s="3141">
        <v>25</v>
      </c>
      <c r="G33" s="3036">
        <f t="shared" si="0"/>
        <v>5</v>
      </c>
      <c r="H33" s="3142">
        <v>30.5</v>
      </c>
      <c r="I33" s="3041">
        <f t="shared" si="2"/>
        <v>1.3000000000000007</v>
      </c>
      <c r="J33" s="3143">
        <v>194</v>
      </c>
      <c r="K33" s="3144">
        <f t="shared" si="3"/>
        <v>35</v>
      </c>
      <c r="L33" s="3093"/>
      <c r="M33" s="3037">
        <f t="shared" si="1"/>
        <v>89.743589743589752</v>
      </c>
      <c r="N33" s="2945"/>
      <c r="O33" s="3122"/>
      <c r="U33" s="2960"/>
      <c r="V33" s="2960"/>
      <c r="AK33" s="2960"/>
      <c r="AL33" s="2960"/>
    </row>
    <row r="34" spans="1:41" ht="16.5" customHeight="1">
      <c r="A34" s="2948"/>
      <c r="B34" s="3139"/>
      <c r="C34" s="2993"/>
      <c r="D34" s="3140">
        <v>0.42291699999999999</v>
      </c>
      <c r="E34" s="2993"/>
      <c r="F34" s="3141">
        <v>36</v>
      </c>
      <c r="G34" s="3036">
        <f t="shared" si="0"/>
        <v>6</v>
      </c>
      <c r="H34" s="3142">
        <v>30.4</v>
      </c>
      <c r="I34" s="3041">
        <f t="shared" si="2"/>
        <v>1.4000000000000021</v>
      </c>
      <c r="J34" s="3143">
        <v>193</v>
      </c>
      <c r="K34" s="3144">
        <f t="shared" si="3"/>
        <v>36</v>
      </c>
      <c r="L34" s="3093"/>
      <c r="M34" s="3037">
        <f t="shared" si="1"/>
        <v>92.307692307692307</v>
      </c>
      <c r="N34" s="2945"/>
      <c r="O34" s="3122"/>
      <c r="U34" s="2960"/>
      <c r="V34" s="2960"/>
      <c r="AK34" s="2960"/>
      <c r="AL34" s="2960"/>
    </row>
    <row r="35" spans="1:41" ht="16.5" customHeight="1">
      <c r="A35" s="2948"/>
      <c r="B35" s="3139"/>
      <c r="C35" s="2993"/>
      <c r="D35" s="3140">
        <v>0.46736100000000003</v>
      </c>
      <c r="E35" s="2993"/>
      <c r="F35" s="3141">
        <v>64</v>
      </c>
      <c r="G35" s="3036">
        <f t="shared" si="0"/>
        <v>8</v>
      </c>
      <c r="H35" s="3142">
        <v>30.3</v>
      </c>
      <c r="I35" s="3041">
        <f t="shared" si="2"/>
        <v>1.5</v>
      </c>
      <c r="J35" s="3143">
        <v>191</v>
      </c>
      <c r="K35" s="3144">
        <f t="shared" si="3"/>
        <v>38</v>
      </c>
      <c r="L35" s="3093"/>
      <c r="M35" s="3037">
        <f t="shared" si="1"/>
        <v>97.435897435897431</v>
      </c>
      <c r="N35" s="2945"/>
      <c r="O35" s="3122"/>
      <c r="U35" s="2960"/>
      <c r="V35" s="2960"/>
      <c r="AK35" s="2960"/>
      <c r="AL35" s="2960"/>
    </row>
    <row r="36" spans="1:41" ht="16.5" customHeight="1">
      <c r="A36" s="2948"/>
      <c r="B36" s="3139"/>
      <c r="C36" s="2993"/>
      <c r="D36" s="3140">
        <v>0.55138900000000002</v>
      </c>
      <c r="E36" s="2993"/>
      <c r="F36" s="3141">
        <v>121</v>
      </c>
      <c r="G36" s="3036">
        <f t="shared" si="0"/>
        <v>11</v>
      </c>
      <c r="H36" s="3142">
        <v>30.3</v>
      </c>
      <c r="I36" s="3041">
        <f t="shared" si="2"/>
        <v>1.5</v>
      </c>
      <c r="J36" s="3143">
        <v>190</v>
      </c>
      <c r="K36" s="3144">
        <f t="shared" si="3"/>
        <v>39</v>
      </c>
      <c r="L36" s="3093"/>
      <c r="M36" s="3037">
        <f t="shared" si="1"/>
        <v>100</v>
      </c>
      <c r="N36" s="2945"/>
      <c r="O36" s="3122"/>
      <c r="U36" s="2960"/>
      <c r="V36" s="2960"/>
      <c r="AK36" s="2960"/>
      <c r="AL36" s="2960"/>
    </row>
    <row r="37" spans="1:41" ht="16.5" customHeight="1">
      <c r="A37" s="2948"/>
      <c r="B37" s="3139"/>
      <c r="C37" s="2993"/>
      <c r="D37" s="3140">
        <v>0.70763900000000002</v>
      </c>
      <c r="E37" s="2993"/>
      <c r="F37" s="3141">
        <v>225</v>
      </c>
      <c r="G37" s="3036">
        <f t="shared" si="0"/>
        <v>15</v>
      </c>
      <c r="H37" s="3142">
        <v>30.3</v>
      </c>
      <c r="I37" s="3041">
        <f t="shared" si="2"/>
        <v>1.5</v>
      </c>
      <c r="J37" s="3143">
        <v>190</v>
      </c>
      <c r="K37" s="3144">
        <f t="shared" si="3"/>
        <v>39</v>
      </c>
      <c r="L37" s="3093"/>
      <c r="M37" s="3037">
        <f t="shared" si="1"/>
        <v>100</v>
      </c>
      <c r="N37" s="2945"/>
      <c r="O37" s="3122"/>
      <c r="U37" s="2960"/>
      <c r="V37" s="2960"/>
      <c r="AK37" s="2960"/>
      <c r="AL37" s="2960"/>
    </row>
    <row r="38" spans="1:41" ht="16.5" customHeight="1">
      <c r="A38" s="2948"/>
      <c r="B38" s="3146">
        <v>46042</v>
      </c>
      <c r="C38" s="2993"/>
      <c r="D38" s="3140">
        <v>0.46458300000000002</v>
      </c>
      <c r="E38" s="2993"/>
      <c r="F38" s="3141">
        <v>1090</v>
      </c>
      <c r="G38" s="3036">
        <f t="shared" si="0"/>
        <v>33.015148038438355</v>
      </c>
      <c r="H38" s="3142">
        <v>30.3</v>
      </c>
      <c r="I38" s="3041">
        <f t="shared" si="2"/>
        <v>1.5</v>
      </c>
      <c r="J38" s="3143">
        <v>190</v>
      </c>
      <c r="K38" s="3144">
        <f t="shared" si="3"/>
        <v>39</v>
      </c>
      <c r="L38" s="3093"/>
      <c r="M38" s="3037">
        <f t="shared" si="1"/>
        <v>100</v>
      </c>
      <c r="N38" s="2945"/>
      <c r="O38" s="3122"/>
      <c r="U38" s="2960"/>
      <c r="V38" s="2960"/>
      <c r="AK38" s="2960"/>
      <c r="AL38" s="2960"/>
    </row>
    <row r="39" spans="1:41" ht="16.5" customHeight="1">
      <c r="A39" s="2948"/>
      <c r="B39" s="3007"/>
      <c r="C39" s="3078"/>
      <c r="D39" s="3003"/>
      <c r="E39" s="3078"/>
      <c r="F39" s="3147"/>
      <c r="G39" s="3063"/>
      <c r="H39" s="3063"/>
      <c r="I39" s="3063"/>
      <c r="J39" s="3148"/>
      <c r="K39" s="3007"/>
      <c r="L39" s="3078"/>
      <c r="M39" s="3149"/>
      <c r="N39" s="2945"/>
      <c r="O39" s="3122"/>
      <c r="U39" s="2960"/>
      <c r="V39" s="2960"/>
      <c r="AK39" s="2960"/>
      <c r="AL39" s="2960"/>
    </row>
    <row r="40" spans="1:41" ht="16.5" customHeight="1">
      <c r="A40" s="2948"/>
      <c r="F40" s="2977"/>
      <c r="M40" s="2960"/>
      <c r="N40" s="2945"/>
      <c r="O40" s="3122"/>
      <c r="U40" s="2960"/>
      <c r="V40" s="2960"/>
      <c r="AK40" s="2960"/>
      <c r="AL40" s="2960"/>
    </row>
    <row r="41" spans="1:41" ht="16.5" customHeight="1">
      <c r="A41" s="2948"/>
      <c r="F41" s="2977"/>
      <c r="M41" s="2960"/>
      <c r="N41" s="2960"/>
      <c r="O41" s="2952"/>
      <c r="Q41" s="2945" t="s">
        <v>1365</v>
      </c>
      <c r="U41" s="2960"/>
      <c r="V41" s="2960"/>
      <c r="AK41" s="2960"/>
      <c r="AL41" s="2960"/>
    </row>
    <row r="42" spans="1:41" ht="16.5" customHeight="1">
      <c r="A42" s="2948"/>
      <c r="F42" s="2977"/>
      <c r="M42" s="2960"/>
      <c r="N42" s="2960"/>
      <c r="O42" s="2952"/>
      <c r="Q42" s="3150">
        <v>2.5</v>
      </c>
      <c r="R42" s="2945">
        <v>0</v>
      </c>
      <c r="U42" s="2960"/>
      <c r="V42" s="2960"/>
      <c r="AK42" s="2960"/>
      <c r="AL42" s="2960"/>
    </row>
    <row r="43" spans="1:41" ht="16.5" customHeight="1">
      <c r="A43" s="2948"/>
      <c r="F43" s="2977"/>
      <c r="O43" s="2952"/>
      <c r="Q43" s="2945">
        <f>Q42</f>
        <v>2.5</v>
      </c>
      <c r="R43" s="3150">
        <v>3</v>
      </c>
    </row>
    <row r="44" spans="1:41" ht="16.5" customHeight="1">
      <c r="A44" s="2948"/>
      <c r="O44" s="2952"/>
    </row>
    <row r="45" spans="1:41" ht="16.5" customHeight="1">
      <c r="A45" s="2948"/>
      <c r="O45" s="2952"/>
    </row>
    <row r="46" spans="1:41" ht="16.5" customHeight="1">
      <c r="A46" s="2948"/>
      <c r="O46" s="2952"/>
    </row>
    <row r="47" spans="1:41" ht="16.5" customHeight="1">
      <c r="A47" s="2948"/>
      <c r="O47" s="2952"/>
      <c r="Q47" s="2945" t="s">
        <v>1366</v>
      </c>
    </row>
    <row r="48" spans="1:41" ht="16.5" customHeight="1">
      <c r="A48" s="2959"/>
      <c r="B48" s="2960"/>
      <c r="C48" s="2960"/>
      <c r="D48" s="2960"/>
      <c r="E48" s="2960"/>
      <c r="F48" s="2960"/>
      <c r="G48" s="2960"/>
      <c r="H48" s="2960"/>
      <c r="I48" s="2960"/>
      <c r="J48" s="2960"/>
      <c r="K48" s="2960"/>
      <c r="L48" s="2960"/>
      <c r="M48" s="2960"/>
      <c r="N48" s="2960"/>
      <c r="O48" s="3119"/>
      <c r="Q48" s="3151">
        <f>I38</f>
        <v>1.5</v>
      </c>
      <c r="R48" s="3152">
        <f>G38</f>
        <v>33.015148038438355</v>
      </c>
      <c r="U48" s="2960"/>
      <c r="V48" s="2960"/>
      <c r="W48" s="2960"/>
      <c r="X48" s="2960"/>
      <c r="Y48" s="2960"/>
      <c r="AB48" s="2960"/>
      <c r="AC48" s="2960"/>
      <c r="AD48" s="2960"/>
      <c r="AE48" s="2960"/>
      <c r="AF48" s="2960"/>
      <c r="AG48" s="2960"/>
      <c r="AH48" s="2960"/>
      <c r="AI48" s="2960"/>
      <c r="AJ48" s="2960"/>
      <c r="AK48" s="2960"/>
      <c r="AL48" s="2960"/>
      <c r="AM48" s="2960"/>
      <c r="AN48" s="2960"/>
      <c r="AO48" s="2960"/>
    </row>
    <row r="49" spans="1:41" ht="16.5" customHeight="1">
      <c r="A49" s="2948"/>
      <c r="D49" s="2945"/>
      <c r="E49" s="2945"/>
      <c r="F49" s="2945"/>
      <c r="I49" s="2978"/>
      <c r="J49" s="3065"/>
      <c r="K49" s="3065"/>
      <c r="L49" s="3064"/>
      <c r="M49" s="3064"/>
      <c r="N49" s="3064"/>
      <c r="O49" s="3153"/>
      <c r="Q49" s="3154">
        <f>Q48</f>
        <v>1.5</v>
      </c>
      <c r="R49" s="3155">
        <v>0</v>
      </c>
      <c r="U49" s="3064"/>
      <c r="V49" s="3064"/>
      <c r="W49" s="3064"/>
      <c r="X49" s="3064"/>
      <c r="AD49" s="2945"/>
      <c r="AE49" s="2945"/>
      <c r="AH49" s="2978"/>
      <c r="AI49" s="3065"/>
      <c r="AJ49" s="3064"/>
      <c r="AK49" s="3064"/>
      <c r="AL49" s="3064"/>
      <c r="AM49" s="3064"/>
      <c r="AN49" s="3064"/>
    </row>
    <row r="50" spans="1:41" ht="16.5" customHeight="1">
      <c r="A50" s="2948"/>
      <c r="D50" s="2945"/>
      <c r="E50" s="2945"/>
      <c r="F50" s="2945"/>
      <c r="I50" s="2978"/>
      <c r="J50" s="3066"/>
      <c r="K50" s="3066"/>
      <c r="L50" s="3156"/>
      <c r="M50" s="3156"/>
      <c r="N50" s="3156"/>
      <c r="O50" s="3153"/>
      <c r="U50" s="3156"/>
      <c r="V50" s="3156"/>
      <c r="W50" s="3064"/>
      <c r="X50" s="3064"/>
      <c r="AD50" s="2945"/>
      <c r="AE50" s="2945"/>
      <c r="AH50" s="2978"/>
      <c r="AI50" s="3066"/>
      <c r="AJ50" s="3156"/>
      <c r="AK50" s="3156"/>
      <c r="AL50" s="3156"/>
      <c r="AM50" s="3064"/>
      <c r="AN50" s="3064"/>
    </row>
    <row r="51" spans="1:41" ht="16.5" customHeight="1">
      <c r="A51" s="2948"/>
      <c r="D51" s="2945"/>
      <c r="E51" s="2945"/>
      <c r="F51" s="2945"/>
      <c r="I51" s="2978"/>
      <c r="J51" s="3066"/>
      <c r="K51" s="3066"/>
      <c r="L51" s="3064"/>
      <c r="M51" s="3064"/>
      <c r="N51" s="3064"/>
      <c r="O51" s="3153"/>
      <c r="U51" s="3064"/>
      <c r="V51" s="3064"/>
      <c r="W51" s="3064"/>
      <c r="X51" s="3064"/>
      <c r="AD51" s="2945"/>
      <c r="AE51" s="2945"/>
      <c r="AH51" s="2978"/>
      <c r="AI51" s="3066"/>
      <c r="AJ51" s="3064"/>
      <c r="AK51" s="3064"/>
      <c r="AL51" s="3064"/>
      <c r="AM51" s="3064"/>
      <c r="AN51" s="3064"/>
    </row>
    <row r="52" spans="1:41" ht="16.5" customHeight="1">
      <c r="A52" s="2948"/>
      <c r="D52" s="2945"/>
      <c r="E52" s="2945"/>
      <c r="F52" s="2945"/>
      <c r="I52" s="2978"/>
      <c r="J52" s="3066"/>
      <c r="K52" s="3066"/>
      <c r="L52" s="3064"/>
      <c r="M52" s="3064"/>
      <c r="N52" s="3064"/>
      <c r="O52" s="3153"/>
      <c r="U52" s="3064"/>
      <c r="V52" s="3064"/>
      <c r="W52" s="3064"/>
      <c r="X52" s="3064"/>
      <c r="AD52" s="2945"/>
      <c r="AE52" s="2945"/>
      <c r="AH52" s="2978"/>
      <c r="AI52" s="3066"/>
      <c r="AJ52" s="3064"/>
      <c r="AK52" s="3064"/>
      <c r="AL52" s="3064"/>
      <c r="AM52" s="3064"/>
      <c r="AN52" s="3064"/>
    </row>
    <row r="53" spans="1:41" ht="16.5" customHeight="1">
      <c r="A53" s="2948"/>
      <c r="D53" s="2945"/>
      <c r="E53" s="2945"/>
      <c r="F53" s="2945"/>
      <c r="I53" s="2978"/>
      <c r="J53" s="3066"/>
      <c r="K53" s="3066"/>
      <c r="L53" s="3064"/>
      <c r="M53" s="3064"/>
      <c r="N53" s="3064"/>
      <c r="O53" s="3153"/>
      <c r="U53" s="3064"/>
      <c r="V53" s="3064"/>
      <c r="W53" s="3064"/>
      <c r="X53" s="3064"/>
      <c r="AD53" s="2945"/>
      <c r="AE53" s="2945"/>
      <c r="AH53" s="2978"/>
      <c r="AI53" s="3066"/>
      <c r="AJ53" s="3064"/>
      <c r="AK53" s="3064"/>
      <c r="AL53" s="3064"/>
      <c r="AM53" s="3064"/>
      <c r="AN53" s="3064"/>
    </row>
    <row r="54" spans="1:41" ht="16.5" customHeight="1">
      <c r="A54" s="2948"/>
      <c r="D54" s="2945"/>
      <c r="E54" s="2945"/>
      <c r="F54" s="2945"/>
      <c r="I54" s="2978"/>
      <c r="J54" s="3066"/>
      <c r="K54" s="3066"/>
      <c r="L54" s="3064"/>
      <c r="M54" s="3064"/>
      <c r="N54" s="3064"/>
      <c r="O54" s="3153"/>
      <c r="U54" s="3064"/>
      <c r="V54" s="3064"/>
      <c r="W54" s="3064"/>
      <c r="X54" s="3064"/>
      <c r="AD54" s="2945"/>
      <c r="AE54" s="2945"/>
      <c r="AH54" s="2978"/>
      <c r="AI54" s="3066"/>
      <c r="AJ54" s="3064"/>
      <c r="AK54" s="3064"/>
      <c r="AL54" s="3064"/>
      <c r="AM54" s="3064"/>
      <c r="AN54" s="3064"/>
    </row>
    <row r="55" spans="1:41" ht="16.5" customHeight="1">
      <c r="A55" s="2948"/>
      <c r="D55" s="2945"/>
      <c r="E55" s="2945"/>
      <c r="F55" s="2945"/>
      <c r="I55" s="2978"/>
      <c r="J55" s="3066"/>
      <c r="K55" s="3066"/>
      <c r="L55" s="3064"/>
      <c r="M55" s="3064"/>
      <c r="N55" s="3064"/>
      <c r="O55" s="3153"/>
      <c r="Q55" s="3157">
        <f>I26</f>
        <v>0.30000000000000071</v>
      </c>
      <c r="R55" s="3158">
        <f>G26</f>
        <v>0.5</v>
      </c>
      <c r="U55" s="3064"/>
      <c r="V55" s="3064"/>
      <c r="W55" s="3064"/>
      <c r="X55" s="3064"/>
      <c r="AD55" s="2945"/>
      <c r="AE55" s="2945"/>
      <c r="AH55" s="2978"/>
      <c r="AI55" s="3066"/>
      <c r="AJ55" s="3064"/>
      <c r="AK55" s="3064"/>
      <c r="AL55" s="3064"/>
      <c r="AM55" s="3064"/>
      <c r="AN55" s="3064"/>
    </row>
    <row r="56" spans="1:41" ht="16.5" customHeight="1">
      <c r="A56" s="2948"/>
      <c r="D56" s="2945"/>
      <c r="E56" s="2945"/>
      <c r="F56" s="2945"/>
      <c r="I56" s="2978"/>
      <c r="J56" s="3066"/>
      <c r="K56" s="3066"/>
      <c r="L56" s="3064"/>
      <c r="M56" s="3064"/>
      <c r="N56" s="3064"/>
      <c r="O56" s="3153"/>
      <c r="Q56" s="3157">
        <f>I32</f>
        <v>1.1999999999999993</v>
      </c>
      <c r="R56" s="3158">
        <f>G32</f>
        <v>4</v>
      </c>
      <c r="U56" s="3064"/>
      <c r="V56" s="3064"/>
      <c r="W56" s="3064"/>
      <c r="X56" s="3064"/>
      <c r="AD56" s="2945"/>
      <c r="AE56" s="2945"/>
      <c r="AH56" s="2978"/>
      <c r="AI56" s="3066"/>
      <c r="AJ56" s="3064"/>
      <c r="AK56" s="3064"/>
      <c r="AL56" s="3064"/>
      <c r="AM56" s="3064"/>
      <c r="AN56" s="3064"/>
    </row>
    <row r="57" spans="1:41" ht="16.5" customHeight="1">
      <c r="A57" s="2948"/>
      <c r="D57" s="2945"/>
      <c r="E57" s="2945"/>
      <c r="F57" s="2945"/>
      <c r="I57" s="2978"/>
      <c r="J57" s="3066"/>
      <c r="K57" s="3066"/>
      <c r="L57" s="3064"/>
      <c r="M57" s="3064"/>
      <c r="N57" s="3064"/>
      <c r="O57" s="3153"/>
      <c r="R57" s="3159"/>
      <c r="U57" s="3064"/>
      <c r="V57" s="3064"/>
      <c r="W57" s="3064"/>
      <c r="X57" s="3064"/>
      <c r="AD57" s="2945"/>
      <c r="AE57" s="2945"/>
      <c r="AH57" s="2978"/>
      <c r="AI57" s="3066"/>
      <c r="AJ57" s="3064"/>
      <c r="AK57" s="3064"/>
      <c r="AL57" s="3064"/>
      <c r="AM57" s="3064"/>
      <c r="AN57" s="3064"/>
    </row>
    <row r="58" spans="1:41" ht="16.5" customHeight="1">
      <c r="A58" s="2948"/>
      <c r="D58" s="2947" t="s">
        <v>957</v>
      </c>
      <c r="E58" s="2945" t="s">
        <v>27</v>
      </c>
      <c r="F58" s="3160">
        <f>Q42</f>
        <v>2.5</v>
      </c>
      <c r="I58" s="2947" t="s">
        <v>956</v>
      </c>
      <c r="J58" s="2978"/>
      <c r="K58" s="3161">
        <v>5</v>
      </c>
      <c r="L58" s="3162">
        <v>5</v>
      </c>
      <c r="M58" s="3145" t="s">
        <v>1</v>
      </c>
      <c r="N58" s="3064"/>
      <c r="O58" s="3153"/>
      <c r="R58" s="3159"/>
      <c r="U58" s="3064"/>
      <c r="V58" s="3064"/>
      <c r="W58" s="3064"/>
      <c r="X58" s="3064"/>
      <c r="AD58" s="2945"/>
      <c r="AE58" s="2945"/>
      <c r="AH58" s="2978"/>
      <c r="AI58" s="3066"/>
      <c r="AJ58" s="3064"/>
      <c r="AK58" s="3064"/>
      <c r="AL58" s="3064"/>
      <c r="AM58" s="3064"/>
      <c r="AN58" s="3064"/>
    </row>
    <row r="59" spans="1:41" ht="16.5" customHeight="1">
      <c r="A59" s="2948"/>
      <c r="D59" s="2947" t="s">
        <v>955</v>
      </c>
      <c r="E59" s="2945" t="s">
        <v>27</v>
      </c>
      <c r="F59" s="3163">
        <f>F58^2</f>
        <v>6.25</v>
      </c>
      <c r="G59" s="2947" t="s">
        <v>3</v>
      </c>
      <c r="I59" s="2947" t="s">
        <v>954</v>
      </c>
      <c r="J59" s="2978"/>
      <c r="K59" s="2978">
        <v>2</v>
      </c>
      <c r="L59" s="3162">
        <v>2</v>
      </c>
      <c r="M59" s="3145" t="s">
        <v>953</v>
      </c>
      <c r="N59" s="3064"/>
      <c r="O59" s="3153"/>
      <c r="R59" s="3159" t="s">
        <v>243</v>
      </c>
      <c r="S59" s="2947">
        <v>0.51</v>
      </c>
      <c r="U59" s="3064"/>
      <c r="V59" s="3064"/>
      <c r="W59" s="3064"/>
      <c r="X59" s="3064"/>
      <c r="AD59" s="2945"/>
      <c r="AE59" s="2945"/>
      <c r="AH59" s="2978"/>
      <c r="AI59" s="3066"/>
      <c r="AJ59" s="3064"/>
      <c r="AK59" s="3064"/>
      <c r="AL59" s="3064"/>
      <c r="AM59" s="3064"/>
      <c r="AN59" s="3064"/>
    </row>
    <row r="60" spans="1:41" ht="16.5" customHeight="1">
      <c r="A60" s="2948"/>
      <c r="D60" s="2945" t="s">
        <v>1367</v>
      </c>
      <c r="E60" s="2945" t="s">
        <v>27</v>
      </c>
      <c r="F60" s="3160">
        <f>IF($B$20=$R$59,F59*$S$59,F59*$S$60)</f>
        <v>11.25</v>
      </c>
      <c r="G60" s="2947" t="s">
        <v>3</v>
      </c>
      <c r="I60" s="2947" t="s">
        <v>971</v>
      </c>
      <c r="J60" s="2978"/>
      <c r="K60" s="3164">
        <f>(K58/100)*'CU_Multi Saturasi pmdtn'!D19/('Cu_Multi Consol pmdtn'!K59*60)</f>
        <v>3.176388888888889E-2</v>
      </c>
      <c r="L60" s="3165">
        <f>(L58/100)*('CU_Multi Saturasi pmdtn'!D19/(L59*60))</f>
        <v>3.176388888888889E-2</v>
      </c>
      <c r="M60" s="3145" t="s">
        <v>556</v>
      </c>
      <c r="N60" s="3064"/>
      <c r="O60" s="3153"/>
      <c r="R60" s="3159" t="s">
        <v>970</v>
      </c>
      <c r="S60" s="2947">
        <v>1.8</v>
      </c>
      <c r="U60" s="3064"/>
      <c r="V60" s="3064"/>
      <c r="W60" s="3064"/>
      <c r="X60" s="3064"/>
      <c r="AD60" s="2945"/>
      <c r="AE60" s="2945"/>
      <c r="AH60" s="2978"/>
      <c r="AI60" s="3066"/>
      <c r="AJ60" s="3064"/>
      <c r="AK60" s="3064"/>
      <c r="AL60" s="3064"/>
      <c r="AM60" s="3064"/>
      <c r="AN60" s="3064"/>
    </row>
    <row r="61" spans="1:41" ht="16.5" customHeight="1">
      <c r="A61" s="2948"/>
      <c r="J61" s="2945" t="s">
        <v>969</v>
      </c>
      <c r="K61" s="3166">
        <f>(I36/'CU_Multi Saturasi pmdtn'!F22)*(1000/('Cu_Multi Consol pmdtn'!J25-'Cu_Multi Consol pmdtn'!J36))</f>
        <v>0.44474489432861308</v>
      </c>
      <c r="L61" s="3044">
        <f>(I38/'CU_Multi Saturasi pmdtn'!F22)*(1000/('Cu_Multi Consol pmdtn'!J25-'Cu_Multi Consol pmdtn'!J38))</f>
        <v>0.44474489432861308</v>
      </c>
      <c r="M61" s="2947" t="s">
        <v>950</v>
      </c>
      <c r="N61" s="3064"/>
      <c r="O61" s="3153"/>
      <c r="R61" s="3159"/>
      <c r="U61" s="3064"/>
      <c r="V61" s="3064"/>
      <c r="W61" s="3064"/>
      <c r="X61" s="3064"/>
      <c r="AD61" s="2945"/>
      <c r="AE61" s="2945"/>
      <c r="AH61" s="2978"/>
      <c r="AI61" s="3066"/>
      <c r="AJ61" s="3064"/>
      <c r="AK61" s="3064"/>
      <c r="AL61" s="3064"/>
      <c r="AM61" s="3064"/>
      <c r="AN61" s="3064"/>
    </row>
    <row r="62" spans="1:41" ht="16.5" customHeight="1">
      <c r="A62" s="2948"/>
      <c r="D62" s="2945"/>
      <c r="E62" s="2945"/>
      <c r="F62" s="2945"/>
      <c r="I62" s="2978"/>
      <c r="J62" s="2945" t="s">
        <v>967</v>
      </c>
      <c r="K62" s="3160">
        <f>2400/F59</f>
        <v>384</v>
      </c>
      <c r="L62" s="3160">
        <f>2400/'Cu_Multi Consol pmdtn'!F59</f>
        <v>384</v>
      </c>
      <c r="M62" s="3145" t="s">
        <v>948</v>
      </c>
      <c r="N62" s="3064"/>
      <c r="O62" s="3153"/>
      <c r="Q62" s="3051">
        <v>2.9000000000000001E-2</v>
      </c>
      <c r="R62" s="3159"/>
      <c r="U62" s="3064"/>
      <c r="V62" s="3064"/>
      <c r="W62" s="3064"/>
      <c r="X62" s="3064"/>
      <c r="AD62" s="2945"/>
      <c r="AE62" s="2945"/>
      <c r="AH62" s="2978"/>
      <c r="AI62" s="3066"/>
      <c r="AJ62" s="3064"/>
      <c r="AK62" s="3064"/>
      <c r="AL62" s="3064"/>
      <c r="AM62" s="3064"/>
      <c r="AN62" s="3064"/>
    </row>
    <row r="63" spans="1:41" ht="16.5" customHeight="1">
      <c r="A63" s="2948"/>
      <c r="D63" s="2945"/>
      <c r="E63" s="2945"/>
      <c r="F63" s="2945"/>
      <c r="I63" s="2978"/>
      <c r="J63" s="2977"/>
      <c r="K63" s="3160"/>
      <c r="L63" s="3160"/>
      <c r="M63" s="3145"/>
      <c r="N63" s="3064"/>
      <c r="O63" s="3153"/>
      <c r="R63" s="3159"/>
      <c r="U63" s="3064"/>
      <c r="V63" s="3064"/>
      <c r="W63" s="3064"/>
      <c r="X63" s="3064"/>
      <c r="AD63" s="2945"/>
      <c r="AE63" s="2945"/>
      <c r="AH63" s="2978"/>
      <c r="AI63" s="3066"/>
      <c r="AJ63" s="3064"/>
      <c r="AK63" s="3064"/>
      <c r="AL63" s="3064"/>
      <c r="AM63" s="3064"/>
      <c r="AN63" s="3064"/>
    </row>
    <row r="64" spans="1:41" ht="16.5" customHeight="1">
      <c r="A64" s="3167"/>
      <c r="B64" s="2949"/>
      <c r="C64" s="2949"/>
      <c r="D64" s="2949"/>
      <c r="E64" s="2949"/>
      <c r="F64" s="2949"/>
      <c r="G64" s="2949"/>
      <c r="H64" s="2949"/>
      <c r="I64" s="2949"/>
      <c r="J64" s="2949"/>
      <c r="K64" s="2949"/>
      <c r="L64" s="2949"/>
      <c r="M64" s="3168"/>
      <c r="N64" s="3168"/>
      <c r="O64" s="2969"/>
      <c r="U64" s="3169"/>
      <c r="V64" s="3169"/>
      <c r="Y64" s="3170"/>
      <c r="AA64" s="2966"/>
      <c r="AK64" s="3169"/>
      <c r="AL64" s="3169"/>
      <c r="AO64" s="3170"/>
    </row>
    <row r="66" spans="1:41" ht="16.5" customHeight="1">
      <c r="A66" s="2941"/>
      <c r="B66" s="2942"/>
      <c r="C66" s="2942"/>
      <c r="D66" s="2942"/>
      <c r="E66" s="2942"/>
      <c r="F66" s="2942"/>
      <c r="G66" s="2942"/>
      <c r="H66" s="2942"/>
      <c r="I66" s="3100" t="s">
        <v>206</v>
      </c>
      <c r="J66" s="3110">
        <f>J2</f>
        <v>0</v>
      </c>
      <c r="K66" s="3110"/>
      <c r="L66" s="2974"/>
      <c r="M66" s="2974"/>
      <c r="N66" s="2974"/>
      <c r="O66" s="2975"/>
      <c r="S66" s="2946"/>
      <c r="AI66" s="2946"/>
    </row>
    <row r="67" spans="1:41" ht="16.5" customHeight="1">
      <c r="A67" s="2948"/>
      <c r="I67" s="3102" t="s">
        <v>82</v>
      </c>
      <c r="J67" s="3110">
        <f>J3</f>
        <v>0</v>
      </c>
      <c r="K67" s="3112"/>
      <c r="L67" s="2984"/>
      <c r="M67" s="2984"/>
      <c r="N67" s="2984"/>
      <c r="O67" s="2993"/>
      <c r="S67" s="2946"/>
      <c r="AI67" s="2946"/>
    </row>
    <row r="68" spans="1:41" ht="16.5" customHeight="1">
      <c r="A68" s="2948"/>
      <c r="I68" s="3102" t="s">
        <v>77</v>
      </c>
      <c r="J68" s="3110">
        <f>J4</f>
        <v>0</v>
      </c>
      <c r="K68" s="3113"/>
      <c r="L68" s="2984"/>
      <c r="M68" s="3102" t="s">
        <v>76</v>
      </c>
      <c r="N68" s="3171"/>
      <c r="O68" s="3172"/>
      <c r="S68" s="2953"/>
      <c r="Y68" s="2954"/>
      <c r="AI68" s="2953"/>
      <c r="AO68" s="2954"/>
    </row>
    <row r="69" spans="1:41" ht="16.5" customHeight="1">
      <c r="A69" s="2948"/>
      <c r="I69" s="3105" t="s">
        <v>75</v>
      </c>
      <c r="J69" s="3110">
        <f>J5</f>
        <v>0</v>
      </c>
      <c r="K69" s="3116"/>
      <c r="L69" s="3003"/>
      <c r="M69" s="3105" t="s">
        <v>74</v>
      </c>
      <c r="N69" s="3003"/>
      <c r="O69" s="3117"/>
      <c r="S69" s="2953"/>
      <c r="Y69" s="2953"/>
      <c r="AI69" s="2953"/>
      <c r="AO69" s="2953"/>
    </row>
    <row r="70" spans="1:41" ht="16.5" customHeight="1">
      <c r="A70" s="2956"/>
      <c r="B70" s="2957"/>
      <c r="C70" s="2957"/>
      <c r="D70" s="2957"/>
      <c r="E70" s="2957"/>
      <c r="F70" s="2957"/>
      <c r="G70" s="2957"/>
      <c r="H70" s="2957"/>
      <c r="I70" s="2957"/>
      <c r="J70" s="2957"/>
      <c r="K70" s="2957"/>
      <c r="L70" s="2957"/>
      <c r="M70" s="2957"/>
      <c r="N70" s="2957"/>
      <c r="O70" s="3118"/>
      <c r="S70" s="2945"/>
      <c r="T70" s="2945"/>
      <c r="U70" s="2945"/>
      <c r="V70" s="2945"/>
      <c r="W70" s="2945"/>
      <c r="X70" s="2945"/>
      <c r="Y70" s="2945"/>
      <c r="AA70" s="2945"/>
      <c r="AB70" s="2945"/>
      <c r="AC70" s="2945"/>
      <c r="AD70" s="2945"/>
      <c r="AE70" s="2945"/>
      <c r="AF70" s="2945"/>
      <c r="AG70" s="2945"/>
      <c r="AH70" s="2945"/>
      <c r="AI70" s="2945"/>
      <c r="AJ70" s="2945"/>
      <c r="AK70" s="2945"/>
      <c r="AL70" s="2945"/>
      <c r="AM70" s="2945"/>
      <c r="AN70" s="2945"/>
      <c r="AO70" s="2945"/>
    </row>
    <row r="71" spans="1:41" ht="16.5" customHeight="1">
      <c r="A71" s="2959" t="s">
        <v>945</v>
      </c>
      <c r="B71" s="2960"/>
      <c r="C71" s="2960"/>
      <c r="D71" s="2960"/>
      <c r="E71" s="2960"/>
      <c r="F71" s="2960"/>
      <c r="G71" s="2961"/>
      <c r="H71" s="2961"/>
      <c r="I71" s="2960"/>
      <c r="J71" s="2960"/>
      <c r="K71" s="2960"/>
      <c r="L71" s="2960"/>
      <c r="M71" s="2960"/>
      <c r="N71" s="2960"/>
      <c r="O71" s="3119"/>
      <c r="Q71" s="2963"/>
      <c r="S71" s="2960"/>
      <c r="T71" s="2960"/>
      <c r="U71" s="2960"/>
      <c r="V71" s="2960"/>
      <c r="W71" s="2960"/>
      <c r="X71" s="2960"/>
      <c r="Y71" s="2960"/>
      <c r="AA71" s="2961"/>
      <c r="AB71" s="2960"/>
      <c r="AC71" s="2960"/>
      <c r="AD71" s="2960"/>
      <c r="AE71" s="2960"/>
      <c r="AF71" s="2961"/>
      <c r="AG71" s="2961"/>
      <c r="AH71" s="2960"/>
      <c r="AI71" s="2960"/>
      <c r="AJ71" s="2960"/>
      <c r="AK71" s="2960"/>
      <c r="AL71" s="2960"/>
      <c r="AM71" s="2960"/>
      <c r="AN71" s="2960"/>
      <c r="AO71" s="2960"/>
    </row>
    <row r="72" spans="1:41" ht="16.5" customHeight="1">
      <c r="A72" s="2964"/>
      <c r="B72" s="2960"/>
      <c r="C72" s="2960"/>
      <c r="D72" s="2960"/>
      <c r="E72" s="2960"/>
      <c r="F72" s="2960"/>
      <c r="G72" s="2960"/>
      <c r="H72" s="2960"/>
      <c r="I72" s="2960"/>
      <c r="J72" s="2960"/>
      <c r="K72" s="2960"/>
      <c r="L72" s="2960"/>
      <c r="M72" s="2960"/>
      <c r="N72" s="2960"/>
      <c r="O72" s="3119"/>
      <c r="S72" s="2960"/>
      <c r="T72" s="2960"/>
      <c r="U72" s="2960"/>
      <c r="V72" s="2960"/>
      <c r="W72" s="2960"/>
      <c r="X72" s="2960"/>
      <c r="Y72" s="2960"/>
      <c r="AA72" s="2965"/>
      <c r="AB72" s="2960"/>
      <c r="AC72" s="2960"/>
      <c r="AD72" s="2960"/>
      <c r="AE72" s="2960"/>
      <c r="AF72" s="2960"/>
      <c r="AG72" s="2960"/>
      <c r="AH72" s="2960"/>
      <c r="AI72" s="2960"/>
      <c r="AJ72" s="2960"/>
      <c r="AK72" s="2960"/>
      <c r="AL72" s="2960"/>
      <c r="AM72" s="2960"/>
      <c r="AN72" s="2960"/>
      <c r="AO72" s="2960"/>
    </row>
    <row r="73" spans="1:41" ht="16.5" customHeight="1">
      <c r="A73" s="2948"/>
      <c r="B73" s="2947" t="s">
        <v>208</v>
      </c>
      <c r="C73" s="2947" t="s">
        <v>27</v>
      </c>
      <c r="D73" s="3082">
        <f>D9</f>
        <v>0</v>
      </c>
      <c r="E73" s="2955"/>
      <c r="J73" s="2947" t="s">
        <v>944</v>
      </c>
      <c r="L73" s="2947" t="s">
        <v>27</v>
      </c>
      <c r="M73" s="3082">
        <f>M9</f>
        <v>0</v>
      </c>
      <c r="N73" s="2953"/>
      <c r="O73" s="2952"/>
      <c r="X73" s="2953"/>
      <c r="AN73" s="2953"/>
    </row>
    <row r="74" spans="1:41" ht="16.5" customHeight="1">
      <c r="A74" s="2948"/>
      <c r="B74" s="2947" t="s">
        <v>943</v>
      </c>
      <c r="C74" s="2947" t="s">
        <v>27</v>
      </c>
      <c r="D74" s="3082">
        <f>D10</f>
        <v>0</v>
      </c>
      <c r="E74" s="2955"/>
      <c r="F74" s="2953"/>
      <c r="J74" s="2947" t="s">
        <v>942</v>
      </c>
      <c r="L74" s="2947" t="s">
        <v>27</v>
      </c>
      <c r="M74" s="3082">
        <f>M10</f>
        <v>0</v>
      </c>
      <c r="O74" s="2952"/>
      <c r="AE74" s="2953"/>
    </row>
    <row r="75" spans="1:41" ht="16.5" customHeight="1">
      <c r="A75" s="2948"/>
      <c r="B75" s="2947" t="s">
        <v>210</v>
      </c>
      <c r="C75" s="2947" t="s">
        <v>27</v>
      </c>
      <c r="D75" s="3082">
        <f>D11</f>
        <v>0</v>
      </c>
      <c r="E75" s="2955"/>
      <c r="F75" s="2953" t="s">
        <v>68</v>
      </c>
      <c r="J75" s="2945" t="s">
        <v>941</v>
      </c>
      <c r="K75" s="2945"/>
      <c r="L75" s="2945" t="s">
        <v>27</v>
      </c>
      <c r="M75" s="3120"/>
      <c r="O75" s="2952"/>
      <c r="T75" s="2945"/>
      <c r="U75" s="2945"/>
      <c r="V75" s="2945"/>
      <c r="AE75" s="2953"/>
      <c r="AJ75" s="2945"/>
      <c r="AK75" s="2945"/>
      <c r="AL75" s="2945"/>
    </row>
    <row r="76" spans="1:41" ht="16.5" customHeight="1">
      <c r="A76" s="2948"/>
      <c r="M76" s="2960"/>
      <c r="N76" s="2960"/>
      <c r="O76" s="2952"/>
      <c r="U76" s="2960"/>
      <c r="V76" s="2960"/>
      <c r="AK76" s="2960"/>
      <c r="AL76" s="2960"/>
    </row>
    <row r="77" spans="1:41" ht="16.5" customHeight="1">
      <c r="A77" s="2948"/>
      <c r="B77" s="2966" t="s">
        <v>966</v>
      </c>
      <c r="M77" s="2960"/>
      <c r="N77" s="2960"/>
      <c r="O77" s="2952"/>
      <c r="U77" s="2960"/>
      <c r="V77" s="2960"/>
      <c r="AK77" s="2960"/>
      <c r="AL77" s="2960"/>
    </row>
    <row r="78" spans="1:41" ht="16.5" customHeight="1">
      <c r="A78" s="2948"/>
      <c r="M78" s="2960"/>
      <c r="N78" s="2960"/>
      <c r="O78" s="2952"/>
      <c r="U78" s="2960"/>
      <c r="V78" s="2960"/>
      <c r="AK78" s="2960"/>
      <c r="AL78" s="2960"/>
    </row>
    <row r="79" spans="1:41" ht="16.5" customHeight="1">
      <c r="A79" s="2948"/>
      <c r="B79" s="2947" t="s">
        <v>965</v>
      </c>
      <c r="E79" s="2947" t="s">
        <v>27</v>
      </c>
      <c r="F79" s="2947">
        <f>F80-F81</f>
        <v>50</v>
      </c>
      <c r="G79" s="2947" t="s">
        <v>908</v>
      </c>
      <c r="M79" s="2960"/>
      <c r="N79" s="2960"/>
      <c r="O79" s="2952"/>
      <c r="U79" s="2960"/>
      <c r="V79" s="2960"/>
      <c r="AK79" s="2960"/>
      <c r="AL79" s="2960"/>
    </row>
    <row r="80" spans="1:41" ht="16.5" customHeight="1">
      <c r="A80" s="2948"/>
      <c r="B80" s="2947" t="s">
        <v>915</v>
      </c>
      <c r="E80" s="2947" t="s">
        <v>27</v>
      </c>
      <c r="F80" s="2947">
        <f>MAX('CU_Multi Saturasi pmdtn'!B32:B42)</f>
        <v>240</v>
      </c>
      <c r="G80" s="2947" t="s">
        <v>908</v>
      </c>
      <c r="M80" s="2960"/>
      <c r="N80" s="2960"/>
      <c r="O80" s="2952"/>
      <c r="U80" s="2960"/>
      <c r="V80" s="2960"/>
      <c r="AK80" s="2960"/>
      <c r="AL80" s="2960"/>
    </row>
    <row r="81" spans="1:38" ht="16.5" customHeight="1">
      <c r="A81" s="2948"/>
      <c r="B81" s="2947" t="s">
        <v>914</v>
      </c>
      <c r="E81" s="2947" t="s">
        <v>27</v>
      </c>
      <c r="F81" s="2947">
        <f>MAX('CU_Multi Saturasi pmdtn'!D32:D42)</f>
        <v>190</v>
      </c>
      <c r="G81" s="2947" t="s">
        <v>908</v>
      </c>
      <c r="M81" s="2960"/>
      <c r="N81" s="2960"/>
      <c r="O81" s="2952"/>
      <c r="U81" s="2960"/>
      <c r="V81" s="2960"/>
      <c r="AK81" s="2960"/>
      <c r="AL81" s="2960"/>
    </row>
    <row r="82" spans="1:38" ht="16.5" customHeight="1">
      <c r="A82" s="2948"/>
      <c r="B82" s="2947" t="s">
        <v>964</v>
      </c>
      <c r="E82" s="2947" t="s">
        <v>27</v>
      </c>
      <c r="F82" s="3121">
        <v>276</v>
      </c>
      <c r="G82" s="2947" t="s">
        <v>908</v>
      </c>
      <c r="M82" s="2960"/>
      <c r="N82" s="2960"/>
      <c r="O82" s="2952"/>
      <c r="U82" s="2960"/>
      <c r="V82" s="2960"/>
      <c r="AK82" s="2960"/>
      <c r="AL82" s="2960"/>
    </row>
    <row r="83" spans="1:38" ht="16.5" customHeight="1">
      <c r="A83" s="2948"/>
      <c r="B83" s="2947" t="s">
        <v>963</v>
      </c>
      <c r="E83" s="2947" t="s">
        <v>27</v>
      </c>
      <c r="F83" s="3121">
        <v>86</v>
      </c>
      <c r="G83" s="2947" t="s">
        <v>908</v>
      </c>
      <c r="M83" s="2960"/>
      <c r="N83" s="2960"/>
      <c r="O83" s="2952"/>
      <c r="U83" s="2960"/>
      <c r="V83" s="2960"/>
      <c r="AK83" s="2960"/>
      <c r="AL83" s="2960"/>
    </row>
    <row r="84" spans="1:38" ht="16.5" customHeight="1">
      <c r="A84" s="2948"/>
      <c r="B84" s="2947" t="str">
        <f>B20</f>
        <v>With</v>
      </c>
      <c r="D84" s="2947" t="str">
        <f>D20</f>
        <v>Side drains</v>
      </c>
      <c r="M84" s="2960"/>
      <c r="N84" s="2960"/>
      <c r="O84" s="2952"/>
      <c r="U84" s="2960"/>
      <c r="V84" s="2960"/>
      <c r="AK84" s="2960"/>
      <c r="AL84" s="2960"/>
    </row>
    <row r="85" spans="1:38" ht="16.5" customHeight="1">
      <c r="A85" s="2948"/>
      <c r="M85" s="2960"/>
      <c r="N85" s="2945"/>
      <c r="O85" s="3122"/>
      <c r="U85" s="2960"/>
      <c r="V85" s="2960"/>
      <c r="AK85" s="2960"/>
      <c r="AL85" s="2960"/>
    </row>
    <row r="86" spans="1:38" ht="16.5" customHeight="1">
      <c r="A86" s="2948"/>
      <c r="B86" s="3123" t="s">
        <v>76</v>
      </c>
      <c r="C86" s="2944"/>
      <c r="D86" s="3124" t="s">
        <v>962</v>
      </c>
      <c r="E86" s="2944"/>
      <c r="F86" s="3125" t="s">
        <v>16</v>
      </c>
      <c r="G86" s="3125"/>
      <c r="H86" s="4836" t="s">
        <v>961</v>
      </c>
      <c r="I86" s="4838"/>
      <c r="J86" s="4866" t="s">
        <v>913</v>
      </c>
      <c r="K86" s="4866"/>
      <c r="L86" s="4866"/>
      <c r="M86" s="4867"/>
      <c r="N86" s="2945"/>
      <c r="O86" s="3122"/>
      <c r="U86" s="2960"/>
      <c r="V86" s="2960"/>
      <c r="AK86" s="2960"/>
      <c r="AL86" s="2960"/>
    </row>
    <row r="87" spans="1:38" ht="16.5" customHeight="1">
      <c r="A87" s="2948"/>
      <c r="B87" s="3126"/>
      <c r="C87" s="2952"/>
      <c r="D87" s="2977"/>
      <c r="E87" s="2952"/>
      <c r="F87" s="3127" t="s">
        <v>10</v>
      </c>
      <c r="G87" s="3127" t="s">
        <v>10</v>
      </c>
      <c r="H87" s="3125" t="s">
        <v>960</v>
      </c>
      <c r="I87" s="3125" t="s">
        <v>905</v>
      </c>
      <c r="J87" s="3125" t="s">
        <v>15</v>
      </c>
      <c r="K87" s="3123" t="s">
        <v>905</v>
      </c>
      <c r="L87" s="2944"/>
      <c r="M87" s="3125" t="s">
        <v>959</v>
      </c>
      <c r="N87" s="2945"/>
      <c r="O87" s="3122"/>
      <c r="U87" s="2960"/>
      <c r="V87" s="2960"/>
      <c r="AK87" s="2960"/>
      <c r="AL87" s="2960"/>
    </row>
    <row r="88" spans="1:38" ht="16.5" customHeight="1">
      <c r="A88" s="2948"/>
      <c r="B88" s="3128"/>
      <c r="C88" s="2969"/>
      <c r="D88" s="3129"/>
      <c r="E88" s="2969"/>
      <c r="F88" s="3130" t="s">
        <v>958</v>
      </c>
      <c r="G88" s="3130"/>
      <c r="H88" s="3130"/>
      <c r="I88" s="3130" t="s">
        <v>563</v>
      </c>
      <c r="J88" s="3130" t="s">
        <v>908</v>
      </c>
      <c r="K88" s="3128" t="s">
        <v>908</v>
      </c>
      <c r="L88" s="2969"/>
      <c r="M88" s="3130" t="s">
        <v>1</v>
      </c>
      <c r="N88" s="2945"/>
      <c r="O88" s="3122"/>
      <c r="U88" s="2960"/>
      <c r="V88" s="2960"/>
      <c r="AK88" s="2960"/>
      <c r="AL88" s="2960"/>
    </row>
    <row r="89" spans="1:38" ht="16.5" customHeight="1">
      <c r="A89" s="2948"/>
      <c r="B89" s="3173">
        <f>N68</f>
        <v>0</v>
      </c>
      <c r="C89" s="2975"/>
      <c r="D89" s="3174">
        <v>0.34027777777777773</v>
      </c>
      <c r="E89" s="2975"/>
      <c r="F89" s="3133">
        <v>0</v>
      </c>
      <c r="G89" s="3030">
        <f t="shared" ref="G89:G102" si="4">SQRT(F89)</f>
        <v>0</v>
      </c>
      <c r="H89" s="3134">
        <v>32.799999999999997</v>
      </c>
      <c r="I89" s="3135">
        <v>0</v>
      </c>
      <c r="J89" s="3142">
        <v>276</v>
      </c>
      <c r="K89" s="3137">
        <v>0</v>
      </c>
      <c r="L89" s="3138"/>
      <c r="M89" s="3031">
        <f>(K89/$F$19)*100</f>
        <v>0</v>
      </c>
      <c r="N89" s="2945"/>
      <c r="O89" s="3122"/>
      <c r="U89" s="2960"/>
      <c r="V89" s="2960"/>
      <c r="AK89" s="2960"/>
      <c r="AL89" s="2960"/>
    </row>
    <row r="90" spans="1:38" ht="16.5" customHeight="1">
      <c r="A90" s="2948"/>
      <c r="B90" s="2983"/>
      <c r="C90" s="2993"/>
      <c r="D90" s="3140">
        <v>0.34045138888888887</v>
      </c>
      <c r="E90" s="2993"/>
      <c r="F90" s="3141">
        <v>0.25</v>
      </c>
      <c r="G90" s="3036">
        <f t="shared" si="4"/>
        <v>0.5</v>
      </c>
      <c r="H90" s="3142">
        <v>32.4</v>
      </c>
      <c r="I90" s="3041">
        <f t="shared" ref="I90:I102" si="5">$H$89-H90</f>
        <v>0.39999999999999858</v>
      </c>
      <c r="J90" s="3142">
        <v>265</v>
      </c>
      <c r="K90" s="3144">
        <f t="shared" ref="K90:K102" si="6">$J$89-J90</f>
        <v>11</v>
      </c>
      <c r="L90" s="3093"/>
      <c r="M90" s="3037">
        <f t="shared" ref="M90:M102" si="7">(K90/$F$83)*100</f>
        <v>12.790697674418606</v>
      </c>
      <c r="N90" s="2945"/>
      <c r="O90" s="3122"/>
      <c r="U90" s="2960"/>
      <c r="V90" s="2960"/>
      <c r="AK90" s="2960"/>
      <c r="AL90" s="2960"/>
    </row>
    <row r="91" spans="1:38" ht="16.5" customHeight="1">
      <c r="A91" s="2948"/>
      <c r="B91" s="2983"/>
      <c r="C91" s="2993"/>
      <c r="D91" s="3140">
        <v>0.34062500000000001</v>
      </c>
      <c r="E91" s="2993"/>
      <c r="F91" s="3141">
        <v>0.5</v>
      </c>
      <c r="G91" s="3036">
        <f t="shared" si="4"/>
        <v>0.70710678118654757</v>
      </c>
      <c r="H91" s="3142">
        <v>32.200000000000003</v>
      </c>
      <c r="I91" s="3041">
        <f t="shared" si="5"/>
        <v>0.59999999999999432</v>
      </c>
      <c r="J91" s="3142">
        <v>247</v>
      </c>
      <c r="K91" s="3144">
        <f t="shared" si="6"/>
        <v>29</v>
      </c>
      <c r="L91" s="3093"/>
      <c r="M91" s="3037">
        <f t="shared" si="7"/>
        <v>33.720930232558139</v>
      </c>
      <c r="N91" s="2945"/>
      <c r="O91" s="3122"/>
      <c r="U91" s="2960"/>
      <c r="V91" s="2960"/>
      <c r="AK91" s="2960"/>
      <c r="AL91" s="2960"/>
    </row>
    <row r="92" spans="1:38" ht="16.5" customHeight="1">
      <c r="A92" s="2948"/>
      <c r="B92" s="2983"/>
      <c r="C92" s="2993"/>
      <c r="D92" s="3140">
        <v>0.34097222222222223</v>
      </c>
      <c r="E92" s="2993"/>
      <c r="F92" s="3141">
        <v>1</v>
      </c>
      <c r="G92" s="3036">
        <f t="shared" si="4"/>
        <v>1</v>
      </c>
      <c r="H92" s="3142">
        <v>32</v>
      </c>
      <c r="I92" s="3041">
        <f t="shared" si="5"/>
        <v>0.79999999999999716</v>
      </c>
      <c r="J92" s="3142">
        <v>242</v>
      </c>
      <c r="K92" s="3144">
        <f t="shared" si="6"/>
        <v>34</v>
      </c>
      <c r="L92" s="3093"/>
      <c r="M92" s="3037">
        <f t="shared" si="7"/>
        <v>39.534883720930232</v>
      </c>
      <c r="N92" s="2945"/>
      <c r="O92" s="3122"/>
      <c r="R92" s="3145"/>
      <c r="U92" s="2960"/>
      <c r="V92" s="2960"/>
      <c r="AK92" s="2960"/>
      <c r="AL92" s="2960"/>
    </row>
    <row r="93" spans="1:38" ht="16.5" customHeight="1">
      <c r="A93" s="2948"/>
      <c r="B93" s="2983"/>
      <c r="C93" s="2993"/>
      <c r="D93" s="3140">
        <f t="shared" ref="D93:D102" si="8">$D$89+F93/1440</f>
        <v>0.34184027777777776</v>
      </c>
      <c r="E93" s="2993"/>
      <c r="F93" s="3141">
        <v>2.25</v>
      </c>
      <c r="G93" s="3036">
        <f t="shared" si="4"/>
        <v>1.5</v>
      </c>
      <c r="H93" s="3142">
        <v>31.8</v>
      </c>
      <c r="I93" s="3041">
        <f t="shared" si="5"/>
        <v>0.99999999999999645</v>
      </c>
      <c r="J93" s="3142">
        <v>235</v>
      </c>
      <c r="K93" s="3144">
        <f t="shared" si="6"/>
        <v>41</v>
      </c>
      <c r="L93" s="3093"/>
      <c r="M93" s="3037">
        <f t="shared" si="7"/>
        <v>47.674418604651166</v>
      </c>
      <c r="N93" s="2945"/>
      <c r="O93" s="3122"/>
      <c r="U93" s="2960"/>
      <c r="V93" s="2960"/>
      <c r="AK93" s="2960"/>
      <c r="AL93" s="2960"/>
    </row>
    <row r="94" spans="1:38" ht="16.5" customHeight="1">
      <c r="A94" s="2948"/>
      <c r="B94" s="2983"/>
      <c r="C94" s="2993"/>
      <c r="D94" s="3140">
        <f t="shared" si="8"/>
        <v>0.3430555555555555</v>
      </c>
      <c r="E94" s="2993"/>
      <c r="F94" s="3141">
        <v>4</v>
      </c>
      <c r="G94" s="3036">
        <f t="shared" si="4"/>
        <v>2</v>
      </c>
      <c r="H94" s="3142">
        <v>31.6</v>
      </c>
      <c r="I94" s="3041">
        <f t="shared" si="5"/>
        <v>1.1999999999999957</v>
      </c>
      <c r="J94" s="3142">
        <v>227</v>
      </c>
      <c r="K94" s="3144">
        <f t="shared" si="6"/>
        <v>49</v>
      </c>
      <c r="L94" s="3093"/>
      <c r="M94" s="3037">
        <f t="shared" si="7"/>
        <v>56.97674418604651</v>
      </c>
      <c r="N94" s="2945"/>
      <c r="O94" s="3122"/>
      <c r="U94" s="2960"/>
      <c r="V94" s="2960"/>
      <c r="AK94" s="2960"/>
      <c r="AL94" s="2960"/>
    </row>
    <row r="95" spans="1:38" ht="16.5" customHeight="1">
      <c r="A95" s="2948"/>
      <c r="B95" s="2983"/>
      <c r="C95" s="2993"/>
      <c r="D95" s="3140">
        <f t="shared" si="8"/>
        <v>0.34652777777777771</v>
      </c>
      <c r="E95" s="2993"/>
      <c r="F95" s="3141">
        <v>9</v>
      </c>
      <c r="G95" s="3036">
        <f t="shared" si="4"/>
        <v>3</v>
      </c>
      <c r="H95" s="3142">
        <v>31.3</v>
      </c>
      <c r="I95" s="3041">
        <f t="shared" si="5"/>
        <v>1.4999999999999964</v>
      </c>
      <c r="J95" s="3142">
        <v>215</v>
      </c>
      <c r="K95" s="3144">
        <f t="shared" si="6"/>
        <v>61</v>
      </c>
      <c r="L95" s="3093"/>
      <c r="M95" s="3037">
        <f t="shared" si="7"/>
        <v>70.930232558139537</v>
      </c>
      <c r="N95" s="2945"/>
      <c r="O95" s="3122"/>
      <c r="U95" s="2960"/>
      <c r="V95" s="2960"/>
      <c r="AK95" s="2960"/>
      <c r="AL95" s="2960"/>
    </row>
    <row r="96" spans="1:38" ht="16.5" customHeight="1">
      <c r="A96" s="2948"/>
      <c r="B96" s="2983"/>
      <c r="C96" s="2993"/>
      <c r="D96" s="3140">
        <f t="shared" si="8"/>
        <v>0.35138888888888886</v>
      </c>
      <c r="E96" s="2993"/>
      <c r="F96" s="3141">
        <v>16</v>
      </c>
      <c r="G96" s="3036">
        <f t="shared" si="4"/>
        <v>4</v>
      </c>
      <c r="H96" s="3142">
        <v>31.2</v>
      </c>
      <c r="I96" s="3041">
        <f t="shared" si="5"/>
        <v>1.5999999999999979</v>
      </c>
      <c r="J96" s="3142">
        <v>205</v>
      </c>
      <c r="K96" s="3144">
        <f t="shared" si="6"/>
        <v>71</v>
      </c>
      <c r="L96" s="3093"/>
      <c r="M96" s="3037">
        <f t="shared" si="7"/>
        <v>82.558139534883722</v>
      </c>
      <c r="N96" s="2945"/>
      <c r="O96" s="3122"/>
      <c r="U96" s="2960"/>
      <c r="V96" s="2960"/>
      <c r="AK96" s="2960"/>
      <c r="AL96" s="2960"/>
    </row>
    <row r="97" spans="1:41" ht="16.5" customHeight="1">
      <c r="A97" s="2948"/>
      <c r="B97" s="2983"/>
      <c r="C97" s="2993"/>
      <c r="D97" s="3140">
        <f t="shared" si="8"/>
        <v>0.35763888888888884</v>
      </c>
      <c r="E97" s="2993"/>
      <c r="F97" s="3141">
        <v>25</v>
      </c>
      <c r="G97" s="3036">
        <f t="shared" si="4"/>
        <v>5</v>
      </c>
      <c r="H97" s="3142">
        <v>31.1</v>
      </c>
      <c r="I97" s="3041">
        <f t="shared" si="5"/>
        <v>1.6999999999999957</v>
      </c>
      <c r="J97" s="3142">
        <v>200</v>
      </c>
      <c r="K97" s="3144">
        <f t="shared" si="6"/>
        <v>76</v>
      </c>
      <c r="L97" s="3093"/>
      <c r="M97" s="3037">
        <f t="shared" si="7"/>
        <v>88.372093023255815</v>
      </c>
      <c r="N97" s="2945"/>
      <c r="O97" s="3122"/>
      <c r="U97" s="2960"/>
      <c r="V97" s="2960"/>
      <c r="AK97" s="2960"/>
      <c r="AL97" s="2960"/>
    </row>
    <row r="98" spans="1:41" ht="16.5" customHeight="1">
      <c r="A98" s="2948"/>
      <c r="B98" s="2983"/>
      <c r="C98" s="2993"/>
      <c r="D98" s="3140">
        <f t="shared" si="8"/>
        <v>0.36527777777777776</v>
      </c>
      <c r="E98" s="2993"/>
      <c r="F98" s="3141">
        <v>36</v>
      </c>
      <c r="G98" s="3036">
        <f t="shared" si="4"/>
        <v>6</v>
      </c>
      <c r="H98" s="3142">
        <v>31.1</v>
      </c>
      <c r="I98" s="3041">
        <f t="shared" si="5"/>
        <v>1.6999999999999957</v>
      </c>
      <c r="J98" s="3142">
        <v>197</v>
      </c>
      <c r="K98" s="3144">
        <f t="shared" si="6"/>
        <v>79</v>
      </c>
      <c r="L98" s="3093"/>
      <c r="M98" s="3037">
        <f t="shared" si="7"/>
        <v>91.860465116279073</v>
      </c>
      <c r="N98" s="2945"/>
      <c r="O98" s="3122"/>
      <c r="U98" s="2960"/>
      <c r="V98" s="2960"/>
      <c r="AK98" s="2960"/>
      <c r="AL98" s="2960"/>
    </row>
    <row r="99" spans="1:41" ht="16.5" customHeight="1">
      <c r="A99" s="2948"/>
      <c r="B99" s="2983"/>
      <c r="C99" s="2993"/>
      <c r="D99" s="3140">
        <f t="shared" si="8"/>
        <v>0.38472222222222219</v>
      </c>
      <c r="E99" s="2993"/>
      <c r="F99" s="3141">
        <v>64</v>
      </c>
      <c r="G99" s="3036">
        <f t="shared" si="4"/>
        <v>8</v>
      </c>
      <c r="H99" s="3142">
        <v>31.1</v>
      </c>
      <c r="I99" s="3041">
        <f t="shared" si="5"/>
        <v>1.6999999999999957</v>
      </c>
      <c r="J99" s="3142">
        <v>192</v>
      </c>
      <c r="K99" s="3144">
        <f t="shared" si="6"/>
        <v>84</v>
      </c>
      <c r="L99" s="3093"/>
      <c r="M99" s="3037">
        <f t="shared" si="7"/>
        <v>97.674418604651152</v>
      </c>
      <c r="N99" s="2945"/>
      <c r="O99" s="3122"/>
      <c r="U99" s="2960"/>
      <c r="V99" s="2960"/>
      <c r="AK99" s="2960"/>
      <c r="AL99" s="2960"/>
    </row>
    <row r="100" spans="1:41" ht="16.5" customHeight="1">
      <c r="A100" s="2948"/>
      <c r="B100" s="2983"/>
      <c r="C100" s="2993"/>
      <c r="D100" s="3140">
        <f t="shared" si="8"/>
        <v>0.42430555555555549</v>
      </c>
      <c r="E100" s="2993"/>
      <c r="F100" s="3141">
        <v>121</v>
      </c>
      <c r="G100" s="3036">
        <f t="shared" si="4"/>
        <v>11</v>
      </c>
      <c r="H100" s="3142">
        <v>31.1</v>
      </c>
      <c r="I100" s="3041">
        <f t="shared" si="5"/>
        <v>1.6999999999999957</v>
      </c>
      <c r="J100" s="3142">
        <v>190</v>
      </c>
      <c r="K100" s="3144">
        <f t="shared" si="6"/>
        <v>86</v>
      </c>
      <c r="L100" s="3093"/>
      <c r="M100" s="3037">
        <f t="shared" si="7"/>
        <v>100</v>
      </c>
      <c r="N100" s="2945"/>
      <c r="O100" s="3122"/>
      <c r="U100" s="2960"/>
      <c r="V100" s="2960"/>
      <c r="AK100" s="2960"/>
      <c r="AL100" s="2960"/>
    </row>
    <row r="101" spans="1:41" ht="16.5" customHeight="1">
      <c r="A101" s="2948"/>
      <c r="B101" s="2983"/>
      <c r="C101" s="2993"/>
      <c r="D101" s="3140">
        <f t="shared" si="8"/>
        <v>0.49652777777777773</v>
      </c>
      <c r="E101" s="2993"/>
      <c r="F101" s="3141">
        <v>225</v>
      </c>
      <c r="G101" s="3036">
        <f t="shared" si="4"/>
        <v>15</v>
      </c>
      <c r="H101" s="3142">
        <v>31.1</v>
      </c>
      <c r="I101" s="3041">
        <f t="shared" si="5"/>
        <v>1.6999999999999957</v>
      </c>
      <c r="J101" s="3142">
        <v>190</v>
      </c>
      <c r="K101" s="3144">
        <f t="shared" si="6"/>
        <v>86</v>
      </c>
      <c r="L101" s="3093"/>
      <c r="M101" s="3037">
        <f t="shared" si="7"/>
        <v>100</v>
      </c>
      <c r="N101" s="2945"/>
      <c r="O101" s="3122"/>
      <c r="U101" s="2960"/>
      <c r="V101" s="2960"/>
      <c r="AK101" s="2960"/>
      <c r="AL101" s="2960"/>
    </row>
    <row r="102" spans="1:41" ht="16.5" customHeight="1">
      <c r="A102" s="2948"/>
      <c r="B102" s="3175"/>
      <c r="C102" s="2993"/>
      <c r="D102" s="3140">
        <f t="shared" si="8"/>
        <v>1.0972222222222221</v>
      </c>
      <c r="E102" s="2993"/>
      <c r="F102" s="3141">
        <v>1090</v>
      </c>
      <c r="G102" s="3036">
        <f t="shared" si="4"/>
        <v>33.015148038438355</v>
      </c>
      <c r="H102" s="3142">
        <v>31.1</v>
      </c>
      <c r="I102" s="3041">
        <f t="shared" si="5"/>
        <v>1.6999999999999957</v>
      </c>
      <c r="J102" s="3142">
        <v>190</v>
      </c>
      <c r="K102" s="3144">
        <f t="shared" si="6"/>
        <v>86</v>
      </c>
      <c r="L102" s="3093"/>
      <c r="M102" s="3037">
        <f t="shared" si="7"/>
        <v>100</v>
      </c>
      <c r="N102" s="2945"/>
      <c r="O102" s="3122"/>
      <c r="U102" s="2960"/>
      <c r="V102" s="2960"/>
      <c r="AK102" s="2960"/>
      <c r="AL102" s="2960"/>
    </row>
    <row r="103" spans="1:41" ht="16.5" customHeight="1">
      <c r="A103" s="2948"/>
      <c r="B103" s="3007"/>
      <c r="C103" s="3078"/>
      <c r="D103" s="3003"/>
      <c r="E103" s="3078"/>
      <c r="F103" s="3176"/>
      <c r="G103" s="3063"/>
      <c r="H103" s="3063"/>
      <c r="I103" s="3176"/>
      <c r="J103" s="3063"/>
      <c r="K103" s="3007"/>
      <c r="L103" s="3078"/>
      <c r="M103" s="3149"/>
      <c r="N103" s="2945"/>
      <c r="O103" s="3122"/>
      <c r="U103" s="2960"/>
      <c r="V103" s="2960"/>
      <c r="AK103" s="2960"/>
      <c r="AL103" s="2960"/>
    </row>
    <row r="104" spans="1:41" ht="16.5" customHeight="1">
      <c r="A104" s="2948"/>
      <c r="F104" s="2977"/>
      <c r="M104" s="2960"/>
      <c r="N104" s="2945"/>
      <c r="O104" s="3122"/>
      <c r="U104" s="2960"/>
      <c r="V104" s="2960"/>
      <c r="AK104" s="2960"/>
      <c r="AL104" s="2960"/>
    </row>
    <row r="105" spans="1:41" ht="16.5" customHeight="1">
      <c r="A105" s="2948"/>
      <c r="F105" s="2977"/>
      <c r="M105" s="2960"/>
      <c r="N105" s="2960"/>
      <c r="O105" s="2952"/>
      <c r="Q105" s="2945" t="s">
        <v>1368</v>
      </c>
      <c r="U105" s="2960"/>
      <c r="V105" s="2960"/>
      <c r="AK105" s="2960"/>
      <c r="AL105" s="2960"/>
    </row>
    <row r="106" spans="1:41" ht="16.5" customHeight="1">
      <c r="A106" s="2948"/>
      <c r="F106" s="2977"/>
      <c r="M106" s="2960"/>
      <c r="N106" s="2960"/>
      <c r="O106" s="2952"/>
      <c r="Q106" s="3150">
        <v>2.2999999999999998</v>
      </c>
      <c r="R106" s="2945">
        <v>0</v>
      </c>
      <c r="U106" s="2960"/>
      <c r="V106" s="2960"/>
      <c r="AK106" s="2960"/>
      <c r="AL106" s="2960"/>
    </row>
    <row r="107" spans="1:41" ht="16.5" customHeight="1">
      <c r="A107" s="2948"/>
      <c r="F107" s="2977"/>
      <c r="O107" s="2952"/>
      <c r="Q107" s="2945">
        <f>Q106</f>
        <v>2.2999999999999998</v>
      </c>
      <c r="R107" s="3150">
        <v>4</v>
      </c>
    </row>
    <row r="108" spans="1:41" ht="16.5" customHeight="1">
      <c r="A108" s="2948"/>
      <c r="O108" s="2952"/>
    </row>
    <row r="109" spans="1:41" ht="16.5" customHeight="1">
      <c r="A109" s="2948"/>
      <c r="O109" s="2952"/>
    </row>
    <row r="110" spans="1:41" ht="16.5" customHeight="1">
      <c r="A110" s="2948"/>
      <c r="O110" s="2952"/>
    </row>
    <row r="111" spans="1:41" ht="16.5" customHeight="1">
      <c r="A111" s="2948"/>
      <c r="O111" s="2952"/>
      <c r="Q111" s="2945" t="s">
        <v>363</v>
      </c>
    </row>
    <row r="112" spans="1:41" ht="16.5" customHeight="1">
      <c r="A112" s="2959"/>
      <c r="B112" s="2960"/>
      <c r="C112" s="2960"/>
      <c r="D112" s="2960"/>
      <c r="E112" s="2960"/>
      <c r="F112" s="2960"/>
      <c r="G112" s="2960"/>
      <c r="H112" s="2960"/>
      <c r="I112" s="2960"/>
      <c r="J112" s="2960"/>
      <c r="K112" s="2960"/>
      <c r="L112" s="2960"/>
      <c r="M112" s="2960"/>
      <c r="N112" s="2960"/>
      <c r="O112" s="3119"/>
      <c r="Q112" s="3151">
        <f>I102</f>
        <v>1.6999999999999957</v>
      </c>
      <c r="R112" s="3152">
        <f>G102</f>
        <v>33.015148038438355</v>
      </c>
      <c r="U112" s="2960"/>
      <c r="V112" s="2960"/>
      <c r="W112" s="2960"/>
      <c r="X112" s="2960"/>
      <c r="Y112" s="2960"/>
      <c r="AA112" s="2961"/>
      <c r="AB112" s="2960"/>
      <c r="AC112" s="2960"/>
      <c r="AD112" s="2960"/>
      <c r="AE112" s="2960"/>
      <c r="AF112" s="2960"/>
      <c r="AG112" s="2960"/>
      <c r="AH112" s="2960"/>
      <c r="AI112" s="2960"/>
      <c r="AJ112" s="2960"/>
      <c r="AK112" s="2960"/>
      <c r="AL112" s="2960"/>
      <c r="AM112" s="2960"/>
      <c r="AN112" s="2960"/>
      <c r="AO112" s="2960"/>
    </row>
    <row r="113" spans="1:41" ht="16.5" customHeight="1">
      <c r="A113" s="2948"/>
      <c r="D113" s="2945"/>
      <c r="E113" s="2945"/>
      <c r="F113" s="2945"/>
      <c r="I113" s="2978"/>
      <c r="J113" s="3065"/>
      <c r="K113" s="3065"/>
      <c r="L113" s="3064"/>
      <c r="M113" s="3064"/>
      <c r="N113" s="3064"/>
      <c r="O113" s="3153"/>
      <c r="Q113" s="3151">
        <f>Q112</f>
        <v>1.6999999999999957</v>
      </c>
      <c r="R113" s="3155">
        <v>0</v>
      </c>
      <c r="U113" s="3064"/>
      <c r="V113" s="3064"/>
      <c r="W113" s="3064"/>
      <c r="X113" s="3064"/>
      <c r="AD113" s="2945"/>
      <c r="AE113" s="2945"/>
      <c r="AH113" s="2978"/>
      <c r="AI113" s="3065"/>
      <c r="AJ113" s="3064"/>
      <c r="AK113" s="3064"/>
      <c r="AL113" s="3064"/>
      <c r="AM113" s="3064"/>
      <c r="AN113" s="3064"/>
    </row>
    <row r="114" spans="1:41" ht="16.5" customHeight="1">
      <c r="A114" s="2948"/>
      <c r="D114" s="2945"/>
      <c r="E114" s="2945"/>
      <c r="F114" s="2945"/>
      <c r="I114" s="2978"/>
      <c r="J114" s="3066"/>
      <c r="K114" s="3066"/>
      <c r="L114" s="3156"/>
      <c r="M114" s="3156"/>
      <c r="N114" s="3156"/>
      <c r="O114" s="3153"/>
      <c r="U114" s="3156"/>
      <c r="V114" s="3156"/>
      <c r="W114" s="3064"/>
      <c r="X114" s="3064"/>
      <c r="AD114" s="2945"/>
      <c r="AE114" s="2945"/>
      <c r="AH114" s="2978"/>
      <c r="AI114" s="3066"/>
      <c r="AJ114" s="3156"/>
      <c r="AK114" s="3156"/>
      <c r="AL114" s="3156"/>
      <c r="AM114" s="3064"/>
      <c r="AN114" s="3064"/>
    </row>
    <row r="115" spans="1:41" ht="16.5" customHeight="1">
      <c r="A115" s="2948"/>
      <c r="D115" s="2945"/>
      <c r="E115" s="2945"/>
      <c r="F115" s="2945"/>
      <c r="I115" s="2978"/>
      <c r="J115" s="3066"/>
      <c r="K115" s="3066"/>
      <c r="L115" s="3064"/>
      <c r="M115" s="3064"/>
      <c r="N115" s="3064"/>
      <c r="O115" s="3153"/>
      <c r="U115" s="3064"/>
      <c r="V115" s="3064"/>
      <c r="W115" s="3064"/>
      <c r="X115" s="3064"/>
      <c r="AD115" s="2945"/>
      <c r="AE115" s="2945"/>
      <c r="AH115" s="2978"/>
      <c r="AI115" s="3066"/>
      <c r="AJ115" s="3064"/>
      <c r="AK115" s="3064"/>
      <c r="AL115" s="3064"/>
      <c r="AM115" s="3064"/>
      <c r="AN115" s="3064"/>
    </row>
    <row r="116" spans="1:41" ht="16.5" customHeight="1">
      <c r="A116" s="2948"/>
      <c r="D116" s="2945"/>
      <c r="E116" s="2945"/>
      <c r="F116" s="2945"/>
      <c r="I116" s="2978"/>
      <c r="J116" s="3066"/>
      <c r="K116" s="3066"/>
      <c r="L116" s="3064"/>
      <c r="M116" s="3064"/>
      <c r="N116" s="3064"/>
      <c r="O116" s="3153"/>
      <c r="U116" s="3064"/>
      <c r="V116" s="3064"/>
      <c r="W116" s="3064"/>
      <c r="X116" s="3064"/>
      <c r="AD116" s="2945"/>
      <c r="AE116" s="2945"/>
      <c r="AH116" s="2978"/>
      <c r="AI116" s="3066"/>
      <c r="AJ116" s="3064"/>
      <c r="AK116" s="3064"/>
      <c r="AL116" s="3064"/>
      <c r="AM116" s="3064"/>
      <c r="AN116" s="3064"/>
    </row>
    <row r="117" spans="1:41" ht="16.5" customHeight="1">
      <c r="A117" s="2948"/>
      <c r="D117" s="2945"/>
      <c r="E117" s="2945"/>
      <c r="F117" s="2945"/>
      <c r="I117" s="2978"/>
      <c r="J117" s="3066"/>
      <c r="K117" s="3066"/>
      <c r="L117" s="3064"/>
      <c r="M117" s="3064"/>
      <c r="N117" s="3064"/>
      <c r="O117" s="3153"/>
      <c r="U117" s="3064"/>
      <c r="V117" s="3064"/>
      <c r="W117" s="3064"/>
      <c r="X117" s="3064"/>
      <c r="AD117" s="2945"/>
      <c r="AE117" s="2945"/>
      <c r="AH117" s="2978"/>
      <c r="AI117" s="3066"/>
      <c r="AJ117" s="3064"/>
      <c r="AK117" s="3064"/>
      <c r="AL117" s="3064"/>
      <c r="AM117" s="3064"/>
      <c r="AN117" s="3064"/>
    </row>
    <row r="118" spans="1:41" ht="16.5" customHeight="1">
      <c r="A118" s="2948"/>
      <c r="D118" s="2945"/>
      <c r="E118" s="2945"/>
      <c r="F118" s="2945"/>
      <c r="I118" s="2978"/>
      <c r="J118" s="3066"/>
      <c r="K118" s="3066"/>
      <c r="L118" s="3064"/>
      <c r="M118" s="3064"/>
      <c r="N118" s="3064"/>
      <c r="O118" s="3153"/>
      <c r="U118" s="3064"/>
      <c r="V118" s="3064"/>
      <c r="W118" s="3064"/>
      <c r="X118" s="3064"/>
      <c r="AD118" s="2945"/>
      <c r="AE118" s="2945"/>
      <c r="AH118" s="2978"/>
      <c r="AI118" s="3066"/>
      <c r="AJ118" s="3064"/>
      <c r="AK118" s="3064"/>
      <c r="AL118" s="3064"/>
      <c r="AM118" s="3064"/>
      <c r="AN118" s="3064"/>
    </row>
    <row r="119" spans="1:41" ht="16.5" customHeight="1">
      <c r="A119" s="2948"/>
      <c r="D119" s="2945"/>
      <c r="E119" s="2945"/>
      <c r="F119" s="2945"/>
      <c r="I119" s="2978"/>
      <c r="J119" s="3066"/>
      <c r="K119" s="3066"/>
      <c r="L119" s="3064"/>
      <c r="M119" s="3064"/>
      <c r="N119" s="3064"/>
      <c r="O119" s="3153"/>
      <c r="Q119" s="3157">
        <f>I89</f>
        <v>0</v>
      </c>
      <c r="R119" s="3158">
        <f>G89</f>
        <v>0</v>
      </c>
      <c r="U119" s="3064"/>
      <c r="V119" s="3064"/>
      <c r="W119" s="3064"/>
      <c r="X119" s="3064"/>
      <c r="AD119" s="2945"/>
      <c r="AE119" s="2945"/>
      <c r="AH119" s="2978"/>
      <c r="AI119" s="3066"/>
      <c r="AJ119" s="3064"/>
      <c r="AK119" s="3064"/>
      <c r="AL119" s="3064"/>
      <c r="AM119" s="3064"/>
      <c r="AN119" s="3064"/>
    </row>
    <row r="120" spans="1:41" ht="16.5" customHeight="1">
      <c r="A120" s="2948"/>
      <c r="D120" s="2945"/>
      <c r="E120" s="2945"/>
      <c r="F120" s="2945"/>
      <c r="I120" s="2978"/>
      <c r="J120" s="3066"/>
      <c r="K120" s="3066"/>
      <c r="L120" s="3064"/>
      <c r="M120" s="3064"/>
      <c r="N120" s="3064"/>
      <c r="O120" s="3153"/>
      <c r="Q120" s="3157">
        <v>0.9</v>
      </c>
      <c r="R120" s="3158">
        <v>9</v>
      </c>
      <c r="U120" s="3064"/>
      <c r="V120" s="3064"/>
      <c r="W120" s="3064"/>
      <c r="X120" s="3064"/>
      <c r="AD120" s="2945"/>
      <c r="AE120" s="2945"/>
      <c r="AH120" s="2978"/>
      <c r="AI120" s="3066"/>
      <c r="AJ120" s="3064"/>
      <c r="AK120" s="3064"/>
      <c r="AL120" s="3064"/>
      <c r="AM120" s="3064"/>
      <c r="AN120" s="3064"/>
    </row>
    <row r="121" spans="1:41" ht="16.5" customHeight="1">
      <c r="A121" s="2948"/>
      <c r="D121" s="2945"/>
      <c r="E121" s="2945"/>
      <c r="F121" s="2945"/>
      <c r="I121" s="2978"/>
      <c r="J121" s="3066"/>
      <c r="K121" s="3066"/>
      <c r="L121" s="3064"/>
      <c r="M121" s="3064"/>
      <c r="N121" s="3064"/>
      <c r="O121" s="3153"/>
      <c r="Q121" s="3051"/>
      <c r="R121" s="3158"/>
      <c r="U121" s="3064"/>
      <c r="V121" s="3064"/>
      <c r="W121" s="3064"/>
      <c r="X121" s="3064"/>
      <c r="AD121" s="2945"/>
      <c r="AE121" s="2945"/>
      <c r="AH121" s="2978"/>
      <c r="AI121" s="3066"/>
      <c r="AJ121" s="3064"/>
      <c r="AK121" s="3064"/>
      <c r="AL121" s="3064"/>
      <c r="AM121" s="3064"/>
      <c r="AN121" s="3064"/>
    </row>
    <row r="122" spans="1:41" ht="16.5" customHeight="1">
      <c r="A122" s="2948"/>
      <c r="D122" s="2947" t="s">
        <v>968</v>
      </c>
      <c r="E122" s="2945" t="s">
        <v>27</v>
      </c>
      <c r="F122" s="3160">
        <f>Q106</f>
        <v>2.2999999999999998</v>
      </c>
      <c r="I122" s="2947" t="s">
        <v>956</v>
      </c>
      <c r="J122" s="2978"/>
      <c r="K122" s="3177">
        <v>5</v>
      </c>
      <c r="L122" s="3162">
        <v>5</v>
      </c>
      <c r="M122" s="3145" t="s">
        <v>1</v>
      </c>
      <c r="N122" s="3064"/>
      <c r="O122" s="3153"/>
      <c r="R122" s="3159"/>
      <c r="U122" s="3064"/>
      <c r="V122" s="3064"/>
      <c r="W122" s="3064"/>
      <c r="X122" s="3064"/>
      <c r="AD122" s="2945"/>
      <c r="AE122" s="2945"/>
      <c r="AH122" s="2978"/>
      <c r="AI122" s="3066"/>
      <c r="AJ122" s="3064"/>
      <c r="AK122" s="3064"/>
      <c r="AL122" s="3064"/>
      <c r="AM122" s="3064"/>
      <c r="AN122" s="3064"/>
    </row>
    <row r="123" spans="1:41" ht="16.5" customHeight="1">
      <c r="A123" s="2948"/>
      <c r="D123" s="2947" t="s">
        <v>955</v>
      </c>
      <c r="E123" s="2945" t="s">
        <v>27</v>
      </c>
      <c r="F123" s="3163">
        <f>F122^2</f>
        <v>5.2899999999999991</v>
      </c>
      <c r="G123" s="2947" t="s">
        <v>3</v>
      </c>
      <c r="I123" s="2947" t="s">
        <v>954</v>
      </c>
      <c r="J123" s="2978"/>
      <c r="K123" s="3160">
        <v>2</v>
      </c>
      <c r="L123" s="3162">
        <v>2</v>
      </c>
      <c r="M123" s="3145" t="s">
        <v>953</v>
      </c>
      <c r="N123" s="3064"/>
      <c r="O123" s="3153"/>
      <c r="R123" s="3159"/>
      <c r="U123" s="3064"/>
      <c r="V123" s="3064"/>
      <c r="W123" s="3064"/>
      <c r="X123" s="3064"/>
      <c r="AD123" s="2945"/>
      <c r="AE123" s="2945"/>
      <c r="AH123" s="2978"/>
      <c r="AI123" s="3066"/>
      <c r="AJ123" s="3064"/>
      <c r="AK123" s="3064"/>
      <c r="AL123" s="3064"/>
      <c r="AM123" s="3064"/>
      <c r="AN123" s="3064"/>
    </row>
    <row r="124" spans="1:41" ht="16.5" customHeight="1">
      <c r="A124" s="2948"/>
      <c r="D124" s="2945" t="s">
        <v>1367</v>
      </c>
      <c r="E124" s="2945" t="s">
        <v>27</v>
      </c>
      <c r="F124" s="3160">
        <f>IF($B$20=$R$59,F123*$S$59,F123*$S$60)</f>
        <v>9.5219999999999985</v>
      </c>
      <c r="G124" s="2947" t="s">
        <v>3</v>
      </c>
      <c r="I124" s="2947" t="s">
        <v>952</v>
      </c>
      <c r="J124" s="2978"/>
      <c r="K124" s="3164">
        <f>(K122/100)*('CU_Multi Saturasi pmdtn'!D96/('Cu_Multi Consol pmdtn'!K123*60))</f>
        <v>3.175E-2</v>
      </c>
      <c r="L124" s="3165">
        <f>(L122/100)*('CU_Multi Saturasi pmdtn'!D84/(L123*60))</f>
        <v>0</v>
      </c>
      <c r="M124" s="3145" t="s">
        <v>556</v>
      </c>
      <c r="N124" s="3064"/>
      <c r="O124" s="3153"/>
      <c r="R124" s="3159"/>
      <c r="U124" s="3064"/>
      <c r="V124" s="3064"/>
      <c r="W124" s="3064"/>
      <c r="X124" s="3064"/>
      <c r="AD124" s="2945"/>
      <c r="AE124" s="2945"/>
      <c r="AH124" s="2978"/>
      <c r="AI124" s="3066"/>
      <c r="AJ124" s="3064"/>
      <c r="AK124" s="3064"/>
      <c r="AL124" s="3064"/>
      <c r="AM124" s="3064"/>
      <c r="AN124" s="3064"/>
    </row>
    <row r="125" spans="1:41" ht="16.5" customHeight="1">
      <c r="A125" s="2948"/>
      <c r="J125" s="2945" t="s">
        <v>951</v>
      </c>
      <c r="K125" s="3166">
        <f>(I100/'CU_Multi Saturasi pmdtn'!F99)*(1000/('Cu_Multi Consol pmdtn'!J89-'Cu_Multi Consol pmdtn'!J100))</f>
        <v>0.228578189875868</v>
      </c>
      <c r="L125" s="3044" t="e">
        <f>(I102/'CU_Multi Saturasi pmdtn'!F87)*(1000/('Cu_Multi Consol pmdtn'!J89-'Cu_Multi Consol pmdtn'!J102))</f>
        <v>#DIV/0!</v>
      </c>
      <c r="M125" s="2947" t="s">
        <v>950</v>
      </c>
      <c r="N125" s="3064"/>
      <c r="O125" s="3153"/>
      <c r="R125" s="3159"/>
      <c r="U125" s="3064"/>
      <c r="V125" s="3064"/>
      <c r="W125" s="3064"/>
      <c r="X125" s="3064"/>
      <c r="AD125" s="2945"/>
      <c r="AE125" s="2945"/>
      <c r="AH125" s="2978"/>
      <c r="AI125" s="3066"/>
      <c r="AJ125" s="3064"/>
      <c r="AK125" s="3064"/>
      <c r="AL125" s="3064"/>
      <c r="AM125" s="3064"/>
      <c r="AN125" s="3064"/>
    </row>
    <row r="126" spans="1:41" ht="16.5" customHeight="1">
      <c r="A126" s="2948"/>
      <c r="D126" s="2945"/>
      <c r="E126" s="2945"/>
      <c r="F126" s="2945"/>
      <c r="I126" s="2978"/>
      <c r="J126" s="2945" t="s">
        <v>967</v>
      </c>
      <c r="K126" s="3160">
        <f>2400/F123</f>
        <v>453.68620037807193</v>
      </c>
      <c r="L126" s="3160">
        <f>2400/'Cu_Multi Consol pmdtn'!F123</f>
        <v>453.68620037807193</v>
      </c>
      <c r="M126" s="3145" t="s">
        <v>948</v>
      </c>
      <c r="N126" s="3064"/>
      <c r="O126" s="3153"/>
      <c r="R126" s="3159"/>
      <c r="U126" s="3064"/>
      <c r="V126" s="3064"/>
      <c r="W126" s="3064"/>
      <c r="X126" s="3064"/>
      <c r="AD126" s="2945"/>
      <c r="AE126" s="2945"/>
      <c r="AH126" s="2978"/>
      <c r="AI126" s="3066"/>
      <c r="AJ126" s="3064"/>
      <c r="AK126" s="3064"/>
      <c r="AL126" s="3064"/>
      <c r="AM126" s="3064"/>
      <c r="AN126" s="3064"/>
    </row>
    <row r="127" spans="1:41" ht="16.5" customHeight="1">
      <c r="A127" s="2948"/>
      <c r="D127" s="2945"/>
      <c r="E127" s="2945"/>
      <c r="F127" s="2945"/>
      <c r="I127" s="2978"/>
      <c r="J127" s="2977"/>
      <c r="K127" s="3160"/>
      <c r="L127" s="3160"/>
      <c r="M127" s="3145"/>
      <c r="N127" s="3064"/>
      <c r="O127" s="3153"/>
      <c r="R127" s="3159"/>
      <c r="U127" s="3064"/>
      <c r="V127" s="3064"/>
      <c r="W127" s="3064"/>
      <c r="X127" s="3064"/>
      <c r="AD127" s="2945"/>
      <c r="AE127" s="2945"/>
      <c r="AH127" s="2978"/>
      <c r="AI127" s="3066"/>
      <c r="AJ127" s="3064"/>
      <c r="AK127" s="3064"/>
      <c r="AL127" s="3064"/>
      <c r="AM127" s="3064"/>
      <c r="AN127" s="3064"/>
    </row>
    <row r="128" spans="1:41" ht="16.5" customHeight="1">
      <c r="A128" s="3167"/>
      <c r="B128" s="2949"/>
      <c r="C128" s="2949"/>
      <c r="D128" s="2949"/>
      <c r="E128" s="2949"/>
      <c r="F128" s="2949"/>
      <c r="G128" s="2949"/>
      <c r="H128" s="2949"/>
      <c r="I128" s="2949"/>
      <c r="J128" s="2949"/>
      <c r="K128" s="2949"/>
      <c r="L128" s="2949"/>
      <c r="M128" s="3168"/>
      <c r="N128" s="3168"/>
      <c r="O128" s="2969"/>
      <c r="U128" s="3169"/>
      <c r="V128" s="3169"/>
      <c r="Y128" s="3170"/>
      <c r="AA128" s="2966"/>
      <c r="AK128" s="3169"/>
      <c r="AL128" s="3169"/>
      <c r="AO128" s="3170"/>
    </row>
    <row r="130" spans="1:41" ht="16.5" customHeight="1">
      <c r="A130" s="2941"/>
      <c r="B130" s="2942"/>
      <c r="C130" s="2942"/>
      <c r="D130" s="2942"/>
      <c r="E130" s="2942"/>
      <c r="F130" s="2942"/>
      <c r="G130" s="2942"/>
      <c r="H130" s="2942"/>
      <c r="I130" s="3100" t="s">
        <v>206</v>
      </c>
      <c r="J130" s="3110">
        <f>J2</f>
        <v>0</v>
      </c>
      <c r="K130" s="3110"/>
      <c r="L130" s="2974"/>
      <c r="M130" s="2974"/>
      <c r="N130" s="2974"/>
      <c r="O130" s="2975"/>
      <c r="S130" s="2946"/>
      <c r="AI130" s="2946"/>
    </row>
    <row r="131" spans="1:41" ht="16.5" customHeight="1">
      <c r="A131" s="2948"/>
      <c r="I131" s="3102" t="s">
        <v>82</v>
      </c>
      <c r="J131" s="3110">
        <f>J3</f>
        <v>0</v>
      </c>
      <c r="K131" s="3112"/>
      <c r="L131" s="2984"/>
      <c r="M131" s="2984"/>
      <c r="N131" s="2984"/>
      <c r="O131" s="2993"/>
      <c r="S131" s="2946"/>
      <c r="AI131" s="2946"/>
    </row>
    <row r="132" spans="1:41" ht="16.5" customHeight="1">
      <c r="A132" s="2948"/>
      <c r="I132" s="3102" t="s">
        <v>77</v>
      </c>
      <c r="J132" s="3110">
        <f>J4</f>
        <v>0</v>
      </c>
      <c r="K132" s="3113"/>
      <c r="L132" s="2984"/>
      <c r="M132" s="3102" t="s">
        <v>76</v>
      </c>
      <c r="N132" s="3178"/>
      <c r="O132" s="3115"/>
      <c r="S132" s="2953"/>
      <c r="Y132" s="2954"/>
      <c r="AI132" s="2953"/>
      <c r="AO132" s="2954"/>
    </row>
    <row r="133" spans="1:41" ht="16.5" customHeight="1">
      <c r="A133" s="2948"/>
      <c r="I133" s="3105" t="s">
        <v>75</v>
      </c>
      <c r="J133" s="3110">
        <f>J5</f>
        <v>0</v>
      </c>
      <c r="K133" s="3116"/>
      <c r="L133" s="3003"/>
      <c r="M133" s="3105" t="s">
        <v>74</v>
      </c>
      <c r="N133" s="3003"/>
      <c r="O133" s="3117"/>
      <c r="S133" s="2953"/>
      <c r="Y133" s="2953"/>
      <c r="AI133" s="2953"/>
      <c r="AO133" s="2953"/>
    </row>
    <row r="134" spans="1:41" ht="16.5" customHeight="1">
      <c r="A134" s="2956"/>
      <c r="B134" s="2957"/>
      <c r="C134" s="2957"/>
      <c r="D134" s="2957"/>
      <c r="E134" s="2957"/>
      <c r="F134" s="2957"/>
      <c r="G134" s="2957"/>
      <c r="H134" s="2957"/>
      <c r="I134" s="2957"/>
      <c r="J134" s="2957"/>
      <c r="K134" s="2957"/>
      <c r="L134" s="2957"/>
      <c r="M134" s="2957"/>
      <c r="N134" s="2957"/>
      <c r="O134" s="3118"/>
      <c r="S134" s="2945"/>
      <c r="T134" s="2945"/>
      <c r="U134" s="2945"/>
      <c r="V134" s="2945"/>
      <c r="W134" s="2945"/>
      <c r="X134" s="2945"/>
      <c r="Y134" s="2945"/>
      <c r="AA134" s="2945"/>
      <c r="AB134" s="2945"/>
      <c r="AC134" s="2945"/>
      <c r="AD134" s="2945"/>
      <c r="AE134" s="2945"/>
      <c r="AF134" s="2945"/>
      <c r="AG134" s="2945"/>
      <c r="AH134" s="2945"/>
      <c r="AI134" s="2945"/>
      <c r="AJ134" s="2945"/>
      <c r="AK134" s="2945"/>
      <c r="AL134" s="2945"/>
      <c r="AM134" s="2945"/>
      <c r="AN134" s="2945"/>
      <c r="AO134" s="2945"/>
    </row>
    <row r="135" spans="1:41" ht="16.5" customHeight="1">
      <c r="A135" s="2959" t="s">
        <v>945</v>
      </c>
      <c r="B135" s="2960"/>
      <c r="C135" s="2960"/>
      <c r="D135" s="2960"/>
      <c r="E135" s="2960"/>
      <c r="F135" s="2960"/>
      <c r="G135" s="2961"/>
      <c r="H135" s="2961"/>
      <c r="I135" s="2960"/>
      <c r="J135" s="2960"/>
      <c r="K135" s="2960"/>
      <c r="L135" s="2960"/>
      <c r="M135" s="2960"/>
      <c r="N135" s="2960"/>
      <c r="O135" s="3119"/>
      <c r="Q135" s="2963"/>
      <c r="S135" s="2960"/>
      <c r="T135" s="2960"/>
      <c r="U135" s="2960"/>
      <c r="V135" s="2960"/>
      <c r="W135" s="2960"/>
      <c r="X135" s="2960"/>
      <c r="Y135" s="2960"/>
      <c r="AA135" s="2961"/>
      <c r="AB135" s="2960"/>
      <c r="AC135" s="2960"/>
      <c r="AD135" s="2960"/>
      <c r="AE135" s="2960"/>
      <c r="AF135" s="2961"/>
      <c r="AG135" s="2961"/>
      <c r="AH135" s="2960"/>
      <c r="AI135" s="2960"/>
      <c r="AJ135" s="2960"/>
      <c r="AK135" s="2960"/>
      <c r="AL135" s="2960"/>
      <c r="AM135" s="2960"/>
      <c r="AN135" s="2960"/>
      <c r="AO135" s="2960"/>
    </row>
    <row r="136" spans="1:41" ht="16.5" customHeight="1">
      <c r="A136" s="2964"/>
      <c r="B136" s="2960"/>
      <c r="C136" s="2960"/>
      <c r="D136" s="2960"/>
      <c r="E136" s="2960"/>
      <c r="F136" s="2960"/>
      <c r="G136" s="2960"/>
      <c r="H136" s="2960"/>
      <c r="I136" s="2960"/>
      <c r="J136" s="2960"/>
      <c r="K136" s="2960"/>
      <c r="L136" s="2960"/>
      <c r="M136" s="2960"/>
      <c r="N136" s="2960"/>
      <c r="O136" s="3119"/>
      <c r="S136" s="2960"/>
      <c r="T136" s="2960"/>
      <c r="U136" s="2960"/>
      <c r="V136" s="2960"/>
      <c r="W136" s="2960"/>
      <c r="X136" s="2960"/>
      <c r="Y136" s="2960"/>
      <c r="AA136" s="2965"/>
      <c r="AB136" s="2960"/>
      <c r="AC136" s="2960"/>
      <c r="AD136" s="2960"/>
      <c r="AE136" s="2960"/>
      <c r="AF136" s="2960"/>
      <c r="AG136" s="2960"/>
      <c r="AH136" s="2960"/>
      <c r="AI136" s="2960"/>
      <c r="AJ136" s="2960"/>
      <c r="AK136" s="2960"/>
      <c r="AL136" s="2960"/>
      <c r="AM136" s="2960"/>
      <c r="AN136" s="2960"/>
      <c r="AO136" s="2960"/>
    </row>
    <row r="137" spans="1:41" ht="16.5" customHeight="1">
      <c r="A137" s="2948"/>
      <c r="B137" s="2947" t="s">
        <v>208</v>
      </c>
      <c r="C137" s="2947" t="s">
        <v>27</v>
      </c>
      <c r="D137" s="3082">
        <f>D9</f>
        <v>0</v>
      </c>
      <c r="E137" s="2955"/>
      <c r="J137" s="2947" t="s">
        <v>944</v>
      </c>
      <c r="L137" s="2947" t="s">
        <v>27</v>
      </c>
      <c r="M137" s="3082">
        <f>M9</f>
        <v>0</v>
      </c>
      <c r="N137" s="2953"/>
      <c r="O137" s="2952"/>
      <c r="X137" s="2953"/>
      <c r="AN137" s="2953"/>
    </row>
    <row r="138" spans="1:41" ht="16.5" customHeight="1">
      <c r="A138" s="2948"/>
      <c r="B138" s="2947" t="s">
        <v>943</v>
      </c>
      <c r="C138" s="2947" t="s">
        <v>27</v>
      </c>
      <c r="D138" s="3082">
        <f>D10</f>
        <v>0</v>
      </c>
      <c r="E138" s="2955"/>
      <c r="F138" s="2953"/>
      <c r="J138" s="2947" t="s">
        <v>942</v>
      </c>
      <c r="L138" s="2947" t="s">
        <v>27</v>
      </c>
      <c r="M138" s="3082">
        <f>M10</f>
        <v>0</v>
      </c>
      <c r="O138" s="2952"/>
      <c r="AE138" s="2953"/>
    </row>
    <row r="139" spans="1:41" ht="16.5" customHeight="1">
      <c r="A139" s="2948"/>
      <c r="B139" s="2947" t="s">
        <v>210</v>
      </c>
      <c r="C139" s="2947" t="s">
        <v>27</v>
      </c>
      <c r="D139" s="3082">
        <f>D11</f>
        <v>0</v>
      </c>
      <c r="E139" s="2955"/>
      <c r="F139" s="2953" t="s">
        <v>68</v>
      </c>
      <c r="J139" s="2945" t="s">
        <v>941</v>
      </c>
      <c r="K139" s="2945"/>
      <c r="L139" s="2945" t="s">
        <v>27</v>
      </c>
      <c r="M139" s="3120"/>
      <c r="O139" s="2952"/>
      <c r="T139" s="2945"/>
      <c r="U139" s="2945"/>
      <c r="V139" s="2945"/>
      <c r="AE139" s="2953"/>
      <c r="AJ139" s="2945"/>
      <c r="AK139" s="2945"/>
      <c r="AL139" s="2945"/>
    </row>
    <row r="140" spans="1:41" ht="16.5" customHeight="1">
      <c r="A140" s="2948"/>
      <c r="M140" s="2960"/>
      <c r="N140" s="2960"/>
      <c r="O140" s="2952"/>
      <c r="U140" s="2960"/>
      <c r="V140" s="2960"/>
      <c r="AK140" s="2960"/>
      <c r="AL140" s="2960"/>
    </row>
    <row r="141" spans="1:41" ht="16.5" customHeight="1">
      <c r="A141" s="2948"/>
      <c r="B141" s="2966" t="s">
        <v>966</v>
      </c>
      <c r="M141" s="2960"/>
      <c r="N141" s="2960"/>
      <c r="O141" s="2952"/>
      <c r="U141" s="2960"/>
      <c r="V141" s="2960"/>
      <c r="AK141" s="2960"/>
      <c r="AL141" s="2960"/>
    </row>
    <row r="142" spans="1:41" ht="16.5" customHeight="1">
      <c r="A142" s="2948"/>
      <c r="M142" s="2960"/>
      <c r="N142" s="2960"/>
      <c r="O142" s="2952"/>
      <c r="U142" s="2960"/>
      <c r="V142" s="2960"/>
      <c r="AK142" s="2960"/>
      <c r="AL142" s="2960"/>
    </row>
    <row r="143" spans="1:41" ht="16.5" customHeight="1">
      <c r="A143" s="2948"/>
      <c r="B143" s="2947" t="s">
        <v>965</v>
      </c>
      <c r="E143" s="2947" t="s">
        <v>27</v>
      </c>
      <c r="F143" s="2947">
        <v>200</v>
      </c>
      <c r="G143" s="2947" t="s">
        <v>908</v>
      </c>
      <c r="M143" s="2960"/>
      <c r="N143" s="2960"/>
      <c r="O143" s="2952"/>
      <c r="U143" s="2960"/>
      <c r="V143" s="2960"/>
      <c r="AK143" s="2960"/>
      <c r="AL143" s="2960"/>
    </row>
    <row r="144" spans="1:41" ht="16.5" customHeight="1">
      <c r="A144" s="2948"/>
      <c r="B144" s="2947" t="s">
        <v>915</v>
      </c>
      <c r="E144" s="2947" t="s">
        <v>27</v>
      </c>
      <c r="F144" s="2947">
        <v>390</v>
      </c>
      <c r="G144" s="2947" t="s">
        <v>908</v>
      </c>
      <c r="M144" s="2960"/>
      <c r="N144" s="2960"/>
      <c r="O144" s="2952"/>
      <c r="U144" s="2960"/>
      <c r="V144" s="2960"/>
      <c r="AK144" s="2960"/>
      <c r="AL144" s="2960"/>
    </row>
    <row r="145" spans="1:38" ht="16.5" customHeight="1">
      <c r="A145" s="2948"/>
      <c r="B145" s="2947" t="s">
        <v>914</v>
      </c>
      <c r="E145" s="2947" t="s">
        <v>27</v>
      </c>
      <c r="F145" s="2947">
        <v>190</v>
      </c>
      <c r="G145" s="2947" t="s">
        <v>908</v>
      </c>
      <c r="M145" s="2960"/>
      <c r="N145" s="2960"/>
      <c r="O145" s="2952"/>
      <c r="U145" s="2960"/>
      <c r="V145" s="2960"/>
      <c r="AK145" s="2960"/>
      <c r="AL145" s="2960"/>
    </row>
    <row r="146" spans="1:38" ht="16.5" customHeight="1">
      <c r="A146" s="2948"/>
      <c r="B146" s="2947" t="s">
        <v>964</v>
      </c>
      <c r="E146" s="2947" t="s">
        <v>27</v>
      </c>
      <c r="F146" s="3121">
        <f>'CU_Multi Saturasi pmdtn'!E119</f>
        <v>373</v>
      </c>
      <c r="G146" s="2947" t="s">
        <v>908</v>
      </c>
      <c r="M146" s="2960"/>
      <c r="N146" s="2960"/>
      <c r="O146" s="2952"/>
      <c r="U146" s="2960"/>
      <c r="V146" s="2960"/>
      <c r="AK146" s="2960"/>
      <c r="AL146" s="2960"/>
    </row>
    <row r="147" spans="1:38" ht="16.5" customHeight="1">
      <c r="A147" s="2948"/>
      <c r="B147" s="2947" t="s">
        <v>963</v>
      </c>
      <c r="E147" s="2947" t="s">
        <v>27</v>
      </c>
      <c r="F147" s="3121">
        <v>183</v>
      </c>
      <c r="G147" s="2947" t="s">
        <v>908</v>
      </c>
      <c r="M147" s="2960"/>
      <c r="N147" s="2960"/>
      <c r="O147" s="2952"/>
      <c r="U147" s="2960"/>
      <c r="V147" s="2960"/>
      <c r="AK147" s="2960"/>
      <c r="AL147" s="2960"/>
    </row>
    <row r="148" spans="1:38" ht="16.5" customHeight="1">
      <c r="A148" s="2948"/>
      <c r="B148" s="2947" t="str">
        <f>B84</f>
        <v>With</v>
      </c>
      <c r="D148" s="2947" t="str">
        <f>D84</f>
        <v>Side drains</v>
      </c>
      <c r="M148" s="2960"/>
      <c r="N148" s="2960"/>
      <c r="O148" s="2952"/>
      <c r="U148" s="2960"/>
      <c r="V148" s="2960"/>
      <c r="AK148" s="2960"/>
      <c r="AL148" s="2960"/>
    </row>
    <row r="149" spans="1:38" ht="16.5" customHeight="1">
      <c r="A149" s="2948"/>
      <c r="M149" s="2960"/>
      <c r="N149" s="2945"/>
      <c r="O149" s="3122"/>
      <c r="U149" s="2960"/>
      <c r="V149" s="2960"/>
      <c r="AK149" s="2960"/>
      <c r="AL149" s="2960"/>
    </row>
    <row r="150" spans="1:38" ht="16.5" customHeight="1">
      <c r="A150" s="2948"/>
      <c r="B150" s="3123" t="s">
        <v>76</v>
      </c>
      <c r="C150" s="2944"/>
      <c r="D150" s="3124" t="s">
        <v>962</v>
      </c>
      <c r="E150" s="2944"/>
      <c r="F150" s="3125" t="s">
        <v>16</v>
      </c>
      <c r="G150" s="3125"/>
      <c r="H150" s="4836" t="s">
        <v>961</v>
      </c>
      <c r="I150" s="4838"/>
      <c r="J150" s="4866" t="s">
        <v>913</v>
      </c>
      <c r="K150" s="4866"/>
      <c r="L150" s="4866"/>
      <c r="M150" s="4867"/>
      <c r="N150" s="2945"/>
      <c r="O150" s="3122"/>
      <c r="U150" s="2960"/>
      <c r="V150" s="2960"/>
      <c r="AK150" s="2960"/>
      <c r="AL150" s="2960"/>
    </row>
    <row r="151" spans="1:38" ht="16.5" customHeight="1">
      <c r="A151" s="2948"/>
      <c r="B151" s="3126"/>
      <c r="C151" s="2952"/>
      <c r="D151" s="2977"/>
      <c r="E151" s="2952"/>
      <c r="F151" s="3127" t="s">
        <v>10</v>
      </c>
      <c r="G151" s="3127" t="s">
        <v>10</v>
      </c>
      <c r="H151" s="3125" t="s">
        <v>960</v>
      </c>
      <c r="I151" s="3125" t="s">
        <v>905</v>
      </c>
      <c r="J151" s="3125" t="s">
        <v>15</v>
      </c>
      <c r="K151" s="3123" t="s">
        <v>905</v>
      </c>
      <c r="L151" s="2944"/>
      <c r="M151" s="3125" t="s">
        <v>959</v>
      </c>
      <c r="N151" s="2945"/>
      <c r="O151" s="3122"/>
      <c r="U151" s="2960"/>
      <c r="V151" s="2960"/>
      <c r="AK151" s="2960"/>
      <c r="AL151" s="2960"/>
    </row>
    <row r="152" spans="1:38" ht="16.5" customHeight="1">
      <c r="A152" s="2948"/>
      <c r="B152" s="3128"/>
      <c r="C152" s="2969"/>
      <c r="D152" s="3129"/>
      <c r="E152" s="2969"/>
      <c r="F152" s="3130" t="s">
        <v>958</v>
      </c>
      <c r="G152" s="3130"/>
      <c r="H152" s="3130"/>
      <c r="I152" s="3130" t="s">
        <v>563</v>
      </c>
      <c r="J152" s="3130" t="s">
        <v>908</v>
      </c>
      <c r="K152" s="3128" t="s">
        <v>908</v>
      </c>
      <c r="L152" s="2969"/>
      <c r="M152" s="3130" t="s">
        <v>1</v>
      </c>
      <c r="N152" s="2945"/>
      <c r="O152" s="3122"/>
      <c r="U152" s="2960"/>
      <c r="V152" s="2960"/>
      <c r="AK152" s="2960"/>
      <c r="AL152" s="2960"/>
    </row>
    <row r="153" spans="1:38" ht="16.5" customHeight="1">
      <c r="A153" s="2948"/>
      <c r="B153" s="3131">
        <v>2</v>
      </c>
      <c r="C153" s="2975"/>
      <c r="D153" s="3174">
        <v>3.4719999999999998E-3</v>
      </c>
      <c r="E153" s="2975"/>
      <c r="F153" s="3133">
        <v>0</v>
      </c>
      <c r="G153" s="3030">
        <f t="shared" ref="G153:G166" si="9">SQRT(F153)</f>
        <v>0</v>
      </c>
      <c r="H153" s="3134">
        <v>41.2</v>
      </c>
      <c r="I153" s="3030">
        <v>0</v>
      </c>
      <c r="J153" s="3136">
        <f>F146</f>
        <v>373</v>
      </c>
      <c r="K153" s="3179">
        <v>0</v>
      </c>
      <c r="L153" s="2975"/>
      <c r="M153" s="3031">
        <f t="shared" ref="M153:M166" si="10">(K153/$F$147)*100</f>
        <v>0</v>
      </c>
      <c r="N153" s="2945"/>
      <c r="O153" s="3122"/>
      <c r="U153" s="2960"/>
      <c r="V153" s="2960"/>
      <c r="AK153" s="2960"/>
      <c r="AL153" s="2960"/>
    </row>
    <row r="154" spans="1:38" ht="16.5" customHeight="1">
      <c r="A154" s="2948"/>
      <c r="B154" s="3139"/>
      <c r="C154" s="2993"/>
      <c r="D154" s="3140">
        <v>3.6459999999999999E-3</v>
      </c>
      <c r="E154" s="2993"/>
      <c r="F154" s="3141">
        <v>0.25</v>
      </c>
      <c r="G154" s="3036">
        <f t="shared" si="9"/>
        <v>0.5</v>
      </c>
      <c r="H154" s="3142">
        <v>40.799999999999997</v>
      </c>
      <c r="I154" s="3036">
        <f t="shared" ref="I154:I166" si="11">$H$153-H154</f>
        <v>0.40000000000000568</v>
      </c>
      <c r="J154" s="3143">
        <v>355</v>
      </c>
      <c r="K154" s="3180">
        <f t="shared" ref="K154:K166" si="12">$J$153-J154</f>
        <v>18</v>
      </c>
      <c r="L154" s="2993"/>
      <c r="M154" s="3037">
        <f t="shared" si="10"/>
        <v>9.8360655737704921</v>
      </c>
      <c r="N154" s="2945"/>
      <c r="O154" s="3122"/>
      <c r="U154" s="2960"/>
      <c r="V154" s="2960"/>
      <c r="AK154" s="2960"/>
      <c r="AL154" s="2960"/>
    </row>
    <row r="155" spans="1:38" ht="16.5" customHeight="1">
      <c r="A155" s="2948"/>
      <c r="B155" s="3139"/>
      <c r="C155" s="2993"/>
      <c r="D155" s="3140">
        <v>3.993E-3</v>
      </c>
      <c r="E155" s="2993"/>
      <c r="F155" s="3141">
        <v>0.5</v>
      </c>
      <c r="G155" s="3036">
        <f t="shared" si="9"/>
        <v>0.70710678118654757</v>
      </c>
      <c r="H155" s="3142">
        <v>40.6</v>
      </c>
      <c r="I155" s="3036">
        <f t="shared" si="11"/>
        <v>0.60000000000000142</v>
      </c>
      <c r="J155" s="3143">
        <v>340</v>
      </c>
      <c r="K155" s="3180">
        <f t="shared" si="12"/>
        <v>33</v>
      </c>
      <c r="L155" s="2993"/>
      <c r="M155" s="3037">
        <f t="shared" si="10"/>
        <v>18.032786885245901</v>
      </c>
      <c r="N155" s="2945"/>
      <c r="O155" s="3122"/>
      <c r="U155" s="2960"/>
      <c r="V155" s="2960"/>
      <c r="AK155" s="2960"/>
      <c r="AL155" s="2960"/>
    </row>
    <row r="156" spans="1:38" ht="16.5" customHeight="1">
      <c r="A156" s="2948"/>
      <c r="B156" s="3139"/>
      <c r="C156" s="2993"/>
      <c r="D156" s="3140">
        <v>4.6870000000000002E-3</v>
      </c>
      <c r="E156" s="2993"/>
      <c r="F156" s="3141">
        <v>1</v>
      </c>
      <c r="G156" s="3036">
        <f t="shared" si="9"/>
        <v>1</v>
      </c>
      <c r="H156" s="3142">
        <v>40.299999999999997</v>
      </c>
      <c r="I156" s="3036">
        <f t="shared" si="11"/>
        <v>0.90000000000000568</v>
      </c>
      <c r="J156" s="3143">
        <v>311</v>
      </c>
      <c r="K156" s="3180">
        <f t="shared" si="12"/>
        <v>62</v>
      </c>
      <c r="L156" s="2993"/>
      <c r="M156" s="3037">
        <f t="shared" si="10"/>
        <v>33.879781420765028</v>
      </c>
      <c r="N156" s="2945"/>
      <c r="O156" s="3122"/>
      <c r="R156" s="3145"/>
      <c r="U156" s="2960"/>
      <c r="V156" s="2960"/>
      <c r="AK156" s="2960"/>
      <c r="AL156" s="2960"/>
    </row>
    <row r="157" spans="1:38" ht="16.5" customHeight="1">
      <c r="A157" s="2948"/>
      <c r="B157" s="3139"/>
      <c r="C157" s="2993"/>
      <c r="D157" s="3140">
        <v>6.2500000000000003E-3</v>
      </c>
      <c r="E157" s="2993"/>
      <c r="F157" s="3141">
        <v>2.25</v>
      </c>
      <c r="G157" s="3036">
        <f t="shared" si="9"/>
        <v>1.5</v>
      </c>
      <c r="H157" s="3142">
        <v>40.1</v>
      </c>
      <c r="I157" s="3036">
        <f t="shared" si="11"/>
        <v>1.1000000000000014</v>
      </c>
      <c r="J157" s="3143">
        <v>294</v>
      </c>
      <c r="K157" s="3180">
        <f t="shared" si="12"/>
        <v>79</v>
      </c>
      <c r="L157" s="2993"/>
      <c r="M157" s="3037">
        <f t="shared" si="10"/>
        <v>43.169398907103826</v>
      </c>
      <c r="N157" s="2945"/>
      <c r="O157" s="3122"/>
      <c r="U157" s="2960"/>
      <c r="V157" s="2960"/>
      <c r="AK157" s="2960"/>
      <c r="AL157" s="2960"/>
    </row>
    <row r="158" spans="1:38" ht="16.5" customHeight="1">
      <c r="A158" s="2948"/>
      <c r="B158" s="3139"/>
      <c r="C158" s="2993"/>
      <c r="D158" s="3140">
        <v>9.0279999999999996E-3</v>
      </c>
      <c r="E158" s="2993"/>
      <c r="F158" s="3141">
        <v>4</v>
      </c>
      <c r="G158" s="3036">
        <f t="shared" si="9"/>
        <v>2</v>
      </c>
      <c r="H158" s="3142">
        <v>39.9</v>
      </c>
      <c r="I158" s="3036">
        <f t="shared" si="11"/>
        <v>1.3000000000000043</v>
      </c>
      <c r="J158" s="3143">
        <v>278</v>
      </c>
      <c r="K158" s="3180">
        <f t="shared" si="12"/>
        <v>95</v>
      </c>
      <c r="L158" s="2993"/>
      <c r="M158" s="3037">
        <f t="shared" si="10"/>
        <v>51.912568306010932</v>
      </c>
      <c r="N158" s="2945"/>
      <c r="O158" s="3122"/>
      <c r="U158" s="2960"/>
      <c r="V158" s="2960"/>
      <c r="AK158" s="2960"/>
      <c r="AL158" s="2960"/>
    </row>
    <row r="159" spans="1:38" ht="16.5" customHeight="1">
      <c r="A159" s="2948"/>
      <c r="B159" s="3139"/>
      <c r="C159" s="2993"/>
      <c r="D159" s="3140">
        <v>1.5278E-2</v>
      </c>
      <c r="E159" s="2993"/>
      <c r="F159" s="3141">
        <v>9</v>
      </c>
      <c r="G159" s="3036">
        <f t="shared" si="9"/>
        <v>3</v>
      </c>
      <c r="H159" s="3142">
        <v>39.700000000000003</v>
      </c>
      <c r="I159" s="3036">
        <f t="shared" si="11"/>
        <v>1.5</v>
      </c>
      <c r="J159" s="3143">
        <v>263</v>
      </c>
      <c r="K159" s="3180">
        <f t="shared" si="12"/>
        <v>110</v>
      </c>
      <c r="L159" s="2993"/>
      <c r="M159" s="3037">
        <f t="shared" si="10"/>
        <v>60.10928961748634</v>
      </c>
      <c r="N159" s="2945"/>
      <c r="O159" s="3122"/>
      <c r="U159" s="2960"/>
      <c r="V159" s="2960"/>
      <c r="AK159" s="2960"/>
      <c r="AL159" s="2960"/>
    </row>
    <row r="160" spans="1:38" ht="16.5" customHeight="1">
      <c r="A160" s="2948"/>
      <c r="B160" s="3139"/>
      <c r="C160" s="2993"/>
      <c r="D160" s="3140">
        <v>2.6388999999999999E-2</v>
      </c>
      <c r="E160" s="2993"/>
      <c r="F160" s="3141">
        <v>16</v>
      </c>
      <c r="G160" s="3036">
        <f t="shared" si="9"/>
        <v>4</v>
      </c>
      <c r="H160" s="3142">
        <v>39.4</v>
      </c>
      <c r="I160" s="3036">
        <f t="shared" si="11"/>
        <v>1.8000000000000043</v>
      </c>
      <c r="J160" s="3143">
        <v>238</v>
      </c>
      <c r="K160" s="3180">
        <f t="shared" si="12"/>
        <v>135</v>
      </c>
      <c r="L160" s="2993"/>
      <c r="M160" s="3037">
        <f t="shared" si="10"/>
        <v>73.770491803278688</v>
      </c>
      <c r="N160" s="2945"/>
      <c r="O160" s="3122"/>
      <c r="U160" s="2960"/>
      <c r="V160" s="2960"/>
      <c r="AK160" s="2960"/>
      <c r="AL160" s="2960"/>
    </row>
    <row r="161" spans="1:41" ht="16.5" customHeight="1">
      <c r="A161" s="2948"/>
      <c r="B161" s="3139"/>
      <c r="C161" s="2993"/>
      <c r="D161" s="3140">
        <v>4.3749999999999997E-2</v>
      </c>
      <c r="E161" s="2993"/>
      <c r="F161" s="3141">
        <v>25</v>
      </c>
      <c r="G161" s="3036">
        <f t="shared" si="9"/>
        <v>5</v>
      </c>
      <c r="H161" s="3142">
        <v>39.200000000000003</v>
      </c>
      <c r="I161" s="3036">
        <f t="shared" si="11"/>
        <v>2</v>
      </c>
      <c r="J161" s="3143">
        <v>221</v>
      </c>
      <c r="K161" s="3180">
        <f t="shared" si="12"/>
        <v>152</v>
      </c>
      <c r="L161" s="2993"/>
      <c r="M161" s="3037">
        <f t="shared" si="10"/>
        <v>83.060109289617486</v>
      </c>
      <c r="N161" s="2945"/>
      <c r="O161" s="3122"/>
      <c r="U161" s="2960"/>
      <c r="V161" s="2960"/>
      <c r="AK161" s="2960"/>
      <c r="AL161" s="2960"/>
    </row>
    <row r="162" spans="1:41" ht="16.5" customHeight="1">
      <c r="A162" s="2948"/>
      <c r="B162" s="3139"/>
      <c r="C162" s="2993"/>
      <c r="D162" s="3140">
        <v>6.8750000000000006E-2</v>
      </c>
      <c r="E162" s="2993"/>
      <c r="F162" s="3141">
        <v>36</v>
      </c>
      <c r="G162" s="3036">
        <f t="shared" si="9"/>
        <v>6</v>
      </c>
      <c r="H162" s="3142">
        <v>39</v>
      </c>
      <c r="I162" s="3036">
        <f t="shared" si="11"/>
        <v>2.2000000000000028</v>
      </c>
      <c r="J162" s="3143">
        <v>210</v>
      </c>
      <c r="K162" s="3180">
        <f t="shared" si="12"/>
        <v>163</v>
      </c>
      <c r="L162" s="2993"/>
      <c r="M162" s="3037">
        <f t="shared" si="10"/>
        <v>89.071038251366119</v>
      </c>
      <c r="N162" s="2945"/>
      <c r="O162" s="3122"/>
      <c r="U162" s="2960"/>
      <c r="V162" s="2960"/>
      <c r="AK162" s="2960"/>
      <c r="AL162" s="2960"/>
    </row>
    <row r="163" spans="1:41" ht="16.5" customHeight="1">
      <c r="A163" s="2948"/>
      <c r="B163" s="3139"/>
      <c r="C163" s="2993"/>
      <c r="D163" s="3140">
        <v>0.113194</v>
      </c>
      <c r="E163" s="2993"/>
      <c r="F163" s="3141">
        <v>64</v>
      </c>
      <c r="G163" s="3036">
        <f t="shared" si="9"/>
        <v>8</v>
      </c>
      <c r="H163" s="3142">
        <v>38.700000000000003</v>
      </c>
      <c r="I163" s="3036">
        <f t="shared" si="11"/>
        <v>2.5</v>
      </c>
      <c r="J163" s="3143">
        <v>204</v>
      </c>
      <c r="K163" s="3180">
        <f t="shared" si="12"/>
        <v>169</v>
      </c>
      <c r="L163" s="2993"/>
      <c r="M163" s="3037">
        <f t="shared" si="10"/>
        <v>92.349726775956285</v>
      </c>
      <c r="N163" s="2945"/>
      <c r="O163" s="3122"/>
      <c r="U163" s="2960"/>
      <c r="V163" s="2960"/>
      <c r="AK163" s="2960"/>
      <c r="AL163" s="2960"/>
    </row>
    <row r="164" spans="1:41" ht="16.5" customHeight="1">
      <c r="A164" s="2948"/>
      <c r="B164" s="3139"/>
      <c r="C164" s="2993"/>
      <c r="D164" s="3140">
        <v>0.19722200000000001</v>
      </c>
      <c r="E164" s="2993"/>
      <c r="F164" s="3141">
        <v>121</v>
      </c>
      <c r="G164" s="3036">
        <f t="shared" si="9"/>
        <v>11</v>
      </c>
      <c r="H164" s="3142">
        <v>38.700000000000003</v>
      </c>
      <c r="I164" s="3036">
        <f t="shared" si="11"/>
        <v>2.5</v>
      </c>
      <c r="J164" s="3143">
        <v>192</v>
      </c>
      <c r="K164" s="3180">
        <f t="shared" si="12"/>
        <v>181</v>
      </c>
      <c r="L164" s="2993"/>
      <c r="M164" s="3037">
        <f t="shared" si="10"/>
        <v>98.907103825136616</v>
      </c>
      <c r="N164" s="2945"/>
      <c r="O164" s="3122"/>
      <c r="U164" s="2960"/>
      <c r="V164" s="2960"/>
      <c r="AK164" s="2960"/>
      <c r="AL164" s="2960"/>
    </row>
    <row r="165" spans="1:41" ht="16.5" customHeight="1">
      <c r="A165" s="2948"/>
      <c r="B165" s="3139"/>
      <c r="C165" s="2993"/>
      <c r="D165" s="3140">
        <v>0.35347200000000001</v>
      </c>
      <c r="E165" s="2993"/>
      <c r="F165" s="3141">
        <v>225</v>
      </c>
      <c r="G165" s="3036">
        <f t="shared" si="9"/>
        <v>15</v>
      </c>
      <c r="H165" s="3142">
        <v>38.700000000000003</v>
      </c>
      <c r="I165" s="3036">
        <f t="shared" si="11"/>
        <v>2.5</v>
      </c>
      <c r="J165" s="3143">
        <v>190</v>
      </c>
      <c r="K165" s="3180">
        <f t="shared" si="12"/>
        <v>183</v>
      </c>
      <c r="L165" s="2993"/>
      <c r="M165" s="3037">
        <f t="shared" si="10"/>
        <v>100</v>
      </c>
      <c r="N165" s="2945"/>
      <c r="O165" s="3122"/>
      <c r="U165" s="2960"/>
      <c r="V165" s="2960"/>
      <c r="AK165" s="2960"/>
      <c r="AL165" s="2960"/>
    </row>
    <row r="166" spans="1:41" ht="16.5" customHeight="1">
      <c r="A166" s="2948"/>
      <c r="B166" s="3146">
        <v>3</v>
      </c>
      <c r="C166" s="2993"/>
      <c r="D166" s="3140">
        <v>0.110417</v>
      </c>
      <c r="E166" s="2993"/>
      <c r="F166" s="3141">
        <v>1090</v>
      </c>
      <c r="G166" s="3036">
        <f t="shared" si="9"/>
        <v>33.015148038438355</v>
      </c>
      <c r="H166" s="3142">
        <v>38.700000000000003</v>
      </c>
      <c r="I166" s="3036">
        <f t="shared" si="11"/>
        <v>2.5</v>
      </c>
      <c r="J166" s="3143">
        <v>190</v>
      </c>
      <c r="K166" s="3180">
        <f t="shared" si="12"/>
        <v>183</v>
      </c>
      <c r="L166" s="2993"/>
      <c r="M166" s="3037">
        <f t="shared" si="10"/>
        <v>100</v>
      </c>
      <c r="N166" s="2945"/>
      <c r="O166" s="3122"/>
      <c r="U166" s="2960"/>
      <c r="V166" s="2960"/>
      <c r="AK166" s="2960"/>
      <c r="AL166" s="2960"/>
    </row>
    <row r="167" spans="1:41" ht="16.5" customHeight="1">
      <c r="A167" s="2948"/>
      <c r="B167" s="3007"/>
      <c r="C167" s="3078"/>
      <c r="D167" s="3003"/>
      <c r="E167" s="3078"/>
      <c r="F167" s="3176"/>
      <c r="G167" s="3063"/>
      <c r="H167" s="3063"/>
      <c r="I167" s="3063"/>
      <c r="J167" s="3181"/>
      <c r="K167" s="3007"/>
      <c r="L167" s="3078"/>
      <c r="M167" s="3149"/>
      <c r="N167" s="2945"/>
      <c r="O167" s="3122"/>
      <c r="U167" s="2960"/>
      <c r="V167" s="2960"/>
      <c r="AK167" s="2960"/>
      <c r="AL167" s="2960"/>
    </row>
    <row r="168" spans="1:41" ht="16.5" customHeight="1">
      <c r="A168" s="2948"/>
      <c r="F168" s="2977"/>
      <c r="J168" s="2953"/>
      <c r="M168" s="2960"/>
      <c r="N168" s="2945"/>
      <c r="O168" s="3122"/>
      <c r="U168" s="2960"/>
      <c r="V168" s="2960"/>
      <c r="AK168" s="2960"/>
      <c r="AL168" s="2960"/>
    </row>
    <row r="169" spans="1:41" ht="16.5" customHeight="1">
      <c r="A169" s="2948"/>
      <c r="F169" s="2977"/>
      <c r="M169" s="2960"/>
      <c r="N169" s="2960"/>
      <c r="O169" s="2952"/>
      <c r="Q169" s="2945" t="s">
        <v>1368</v>
      </c>
      <c r="U169" s="2960"/>
      <c r="V169" s="2960"/>
      <c r="AK169" s="2960"/>
      <c r="AL169" s="2960"/>
    </row>
    <row r="170" spans="1:41" ht="16.5" customHeight="1">
      <c r="A170" s="2948"/>
      <c r="F170" s="2977"/>
      <c r="M170" s="2960"/>
      <c r="N170" s="2960"/>
      <c r="O170" s="2952"/>
      <c r="Q170" s="3150">
        <v>2.6</v>
      </c>
      <c r="R170" s="2945">
        <v>0</v>
      </c>
      <c r="U170" s="2960"/>
      <c r="V170" s="2960"/>
      <c r="AK170" s="2960"/>
      <c r="AL170" s="2960"/>
    </row>
    <row r="171" spans="1:41" ht="16.5" customHeight="1">
      <c r="A171" s="2948"/>
      <c r="F171" s="2977"/>
      <c r="O171" s="2952"/>
      <c r="Q171" s="2945">
        <f>Q170</f>
        <v>2.6</v>
      </c>
      <c r="R171" s="3051">
        <v>3</v>
      </c>
    </row>
    <row r="172" spans="1:41" ht="16.5" customHeight="1">
      <c r="A172" s="2948"/>
      <c r="O172" s="2952"/>
    </row>
    <row r="173" spans="1:41" ht="16.5" customHeight="1">
      <c r="A173" s="2948"/>
      <c r="O173" s="2952"/>
    </row>
    <row r="174" spans="1:41" ht="16.5" customHeight="1">
      <c r="A174" s="2948"/>
      <c r="O174" s="2952"/>
    </row>
    <row r="175" spans="1:41" ht="16.5" customHeight="1">
      <c r="A175" s="2948"/>
      <c r="O175" s="2952"/>
      <c r="Q175" s="2945" t="s">
        <v>363</v>
      </c>
    </row>
    <row r="176" spans="1:41" ht="16.5" customHeight="1">
      <c r="A176" s="2959"/>
      <c r="B176" s="2960"/>
      <c r="C176" s="2960"/>
      <c r="D176" s="2960"/>
      <c r="E176" s="2960"/>
      <c r="F176" s="2960"/>
      <c r="G176" s="2960"/>
      <c r="H176" s="2960"/>
      <c r="I176" s="2960"/>
      <c r="J176" s="2960"/>
      <c r="K176" s="2960"/>
      <c r="L176" s="2960"/>
      <c r="M176" s="2960"/>
      <c r="N176" s="2960"/>
      <c r="O176" s="3119"/>
      <c r="Q176" s="3182">
        <f>I166</f>
        <v>2.5</v>
      </c>
      <c r="R176" s="3152">
        <f>G166</f>
        <v>33.015148038438355</v>
      </c>
      <c r="U176" s="2960"/>
      <c r="V176" s="2960"/>
      <c r="W176" s="2960"/>
      <c r="X176" s="2960"/>
      <c r="Y176" s="2960"/>
      <c r="AA176" s="2961"/>
      <c r="AB176" s="2960"/>
      <c r="AC176" s="2960"/>
      <c r="AD176" s="2960"/>
      <c r="AE176" s="2960"/>
      <c r="AF176" s="2960"/>
      <c r="AG176" s="2960"/>
      <c r="AH176" s="2960"/>
      <c r="AI176" s="2960"/>
      <c r="AJ176" s="2960"/>
      <c r="AK176" s="2960"/>
      <c r="AL176" s="2960"/>
      <c r="AM176" s="2960"/>
      <c r="AN176" s="2960"/>
      <c r="AO176" s="2960"/>
    </row>
    <row r="177" spans="1:41" ht="16.5" customHeight="1">
      <c r="A177" s="2948"/>
      <c r="D177" s="2945"/>
      <c r="E177" s="2945"/>
      <c r="F177" s="2945"/>
      <c r="I177" s="2978"/>
      <c r="J177" s="3065"/>
      <c r="K177" s="3065"/>
      <c r="L177" s="3064"/>
      <c r="M177" s="3064"/>
      <c r="N177" s="3064"/>
      <c r="O177" s="3153"/>
      <c r="Q177" s="3154">
        <f>Q176</f>
        <v>2.5</v>
      </c>
      <c r="R177" s="3155">
        <v>0</v>
      </c>
      <c r="U177" s="3064"/>
      <c r="V177" s="3064"/>
      <c r="W177" s="3064"/>
      <c r="X177" s="3064"/>
      <c r="AD177" s="2945"/>
      <c r="AE177" s="2945"/>
      <c r="AH177" s="2978"/>
      <c r="AI177" s="3065"/>
      <c r="AJ177" s="3064"/>
      <c r="AK177" s="3064"/>
      <c r="AL177" s="3064"/>
      <c r="AM177" s="3064"/>
      <c r="AN177" s="3064"/>
    </row>
    <row r="178" spans="1:41" ht="16.5" customHeight="1">
      <c r="A178" s="2948"/>
      <c r="D178" s="2945"/>
      <c r="E178" s="2945"/>
      <c r="F178" s="2945"/>
      <c r="I178" s="2978"/>
      <c r="J178" s="3066"/>
      <c r="K178" s="3066"/>
      <c r="L178" s="3156"/>
      <c r="M178" s="3156"/>
      <c r="N178" s="3156"/>
      <c r="O178" s="3153"/>
      <c r="U178" s="3156"/>
      <c r="V178" s="3156"/>
      <c r="W178" s="3064"/>
      <c r="X178" s="3064"/>
      <c r="AD178" s="2945"/>
      <c r="AE178" s="2945"/>
      <c r="AH178" s="2978"/>
      <c r="AI178" s="3066"/>
      <c r="AJ178" s="3156"/>
      <c r="AK178" s="3156"/>
      <c r="AL178" s="3156"/>
      <c r="AM178" s="3064"/>
      <c r="AN178" s="3064"/>
    </row>
    <row r="179" spans="1:41" ht="16.5" customHeight="1">
      <c r="A179" s="2948"/>
      <c r="D179" s="2945"/>
      <c r="E179" s="2945"/>
      <c r="F179" s="2945"/>
      <c r="I179" s="2978"/>
      <c r="J179" s="3066"/>
      <c r="K179" s="3066"/>
      <c r="L179" s="3064"/>
      <c r="M179" s="3064"/>
      <c r="N179" s="3064"/>
      <c r="O179" s="3153"/>
      <c r="U179" s="3064"/>
      <c r="V179" s="3064"/>
      <c r="W179" s="3064"/>
      <c r="X179" s="3064"/>
      <c r="AD179" s="2945"/>
      <c r="AE179" s="2945"/>
      <c r="AH179" s="2978"/>
      <c r="AI179" s="3066"/>
      <c r="AJ179" s="3064"/>
      <c r="AK179" s="3064"/>
      <c r="AL179" s="3064"/>
      <c r="AM179" s="3064"/>
      <c r="AN179" s="3064"/>
    </row>
    <row r="180" spans="1:41" ht="16.5" customHeight="1">
      <c r="A180" s="2948"/>
      <c r="D180" s="2945"/>
      <c r="E180" s="2945"/>
      <c r="F180" s="2945"/>
      <c r="I180" s="2978"/>
      <c r="J180" s="3066"/>
      <c r="K180" s="3066"/>
      <c r="L180" s="3064"/>
      <c r="M180" s="3064"/>
      <c r="N180" s="3064"/>
      <c r="O180" s="3153"/>
      <c r="U180" s="3064"/>
      <c r="V180" s="3064"/>
      <c r="W180" s="3064"/>
      <c r="X180" s="3064"/>
      <c r="AD180" s="2945"/>
      <c r="AE180" s="2945"/>
      <c r="AH180" s="2978"/>
      <c r="AI180" s="3066"/>
      <c r="AJ180" s="3064"/>
      <c r="AK180" s="3064"/>
      <c r="AL180" s="3064"/>
      <c r="AM180" s="3064"/>
      <c r="AN180" s="3064"/>
    </row>
    <row r="181" spans="1:41" ht="16.5" customHeight="1">
      <c r="A181" s="2948"/>
      <c r="D181" s="2945"/>
      <c r="E181" s="2945"/>
      <c r="F181" s="2945"/>
      <c r="I181" s="2978"/>
      <c r="J181" s="3066"/>
      <c r="K181" s="3066"/>
      <c r="L181" s="3064"/>
      <c r="M181" s="3064"/>
      <c r="N181" s="3064"/>
      <c r="O181" s="3153"/>
      <c r="U181" s="3064"/>
      <c r="V181" s="3064"/>
      <c r="W181" s="3064"/>
      <c r="X181" s="3064"/>
      <c r="AD181" s="2945"/>
      <c r="AE181" s="2945"/>
      <c r="AH181" s="2978"/>
      <c r="AI181" s="3066"/>
      <c r="AJ181" s="3064"/>
      <c r="AK181" s="3064"/>
      <c r="AL181" s="3064"/>
      <c r="AM181" s="3064"/>
      <c r="AN181" s="3064"/>
    </row>
    <row r="182" spans="1:41" ht="16.5" customHeight="1">
      <c r="A182" s="2948"/>
      <c r="D182" s="2945"/>
      <c r="E182" s="2945"/>
      <c r="F182" s="2945"/>
      <c r="I182" s="2978"/>
      <c r="J182" s="3066"/>
      <c r="K182" s="3066"/>
      <c r="L182" s="3064"/>
      <c r="M182" s="3064"/>
      <c r="N182" s="3064"/>
      <c r="O182" s="3153"/>
      <c r="Q182" s="2945" t="s">
        <v>1369</v>
      </c>
      <c r="U182" s="3064"/>
      <c r="V182" s="3064"/>
      <c r="W182" s="3064"/>
      <c r="X182" s="3064"/>
      <c r="AD182" s="2945"/>
      <c r="AE182" s="2945"/>
      <c r="AH182" s="2978"/>
      <c r="AI182" s="3066"/>
      <c r="AJ182" s="3064"/>
      <c r="AK182" s="3064"/>
      <c r="AL182" s="3064"/>
      <c r="AM182" s="3064"/>
      <c r="AN182" s="3064"/>
    </row>
    <row r="183" spans="1:41" ht="16.5" customHeight="1">
      <c r="A183" s="2948"/>
      <c r="D183" s="2945"/>
      <c r="E183" s="2945"/>
      <c r="F183" s="2945"/>
      <c r="I183" s="2978"/>
      <c r="J183" s="3066"/>
      <c r="K183" s="3066"/>
      <c r="L183" s="3064"/>
      <c r="M183" s="3064"/>
      <c r="N183" s="3064"/>
      <c r="O183" s="3153"/>
      <c r="Q183" s="3158">
        <f>I153</f>
        <v>0</v>
      </c>
      <c r="R183" s="3158">
        <f>G153</f>
        <v>0</v>
      </c>
      <c r="U183" s="3064"/>
      <c r="V183" s="3064"/>
      <c r="W183" s="3064"/>
      <c r="X183" s="3064"/>
      <c r="AD183" s="2945"/>
      <c r="AE183" s="2945"/>
      <c r="AH183" s="2978"/>
      <c r="AI183" s="3066"/>
      <c r="AJ183" s="3064"/>
      <c r="AK183" s="3064"/>
      <c r="AL183" s="3064"/>
      <c r="AM183" s="3064"/>
      <c r="AN183" s="3064"/>
    </row>
    <row r="184" spans="1:41" ht="16.5" customHeight="1">
      <c r="A184" s="2948"/>
      <c r="D184" s="2945"/>
      <c r="E184" s="2945"/>
      <c r="F184" s="2945"/>
      <c r="I184" s="2978"/>
      <c r="J184" s="3066"/>
      <c r="K184" s="3066"/>
      <c r="L184" s="3064"/>
      <c r="M184" s="3064"/>
      <c r="N184" s="3064"/>
      <c r="O184" s="3153"/>
      <c r="Q184" s="3158">
        <v>0.6</v>
      </c>
      <c r="R184" s="3158">
        <f>G159</f>
        <v>3</v>
      </c>
      <c r="U184" s="3064"/>
      <c r="V184" s="3064"/>
      <c r="W184" s="3064"/>
      <c r="X184" s="3064"/>
      <c r="AD184" s="2945"/>
      <c r="AE184" s="2945"/>
      <c r="AH184" s="2978"/>
      <c r="AI184" s="3066"/>
      <c r="AJ184" s="3064"/>
      <c r="AK184" s="3064"/>
      <c r="AL184" s="3064"/>
      <c r="AM184" s="3064"/>
      <c r="AN184" s="3064"/>
    </row>
    <row r="185" spans="1:41" ht="16.5" customHeight="1">
      <c r="A185" s="2948"/>
      <c r="D185" s="2945"/>
      <c r="E185" s="2945"/>
      <c r="F185" s="2945"/>
      <c r="I185" s="2978"/>
      <c r="J185" s="3066"/>
      <c r="K185" s="3066"/>
      <c r="L185" s="3064"/>
      <c r="M185" s="3064"/>
      <c r="N185" s="3064"/>
      <c r="O185" s="3153"/>
      <c r="R185" s="3159"/>
      <c r="U185" s="3064"/>
      <c r="V185" s="3064"/>
      <c r="W185" s="3064"/>
      <c r="X185" s="3064"/>
      <c r="AD185" s="2945"/>
      <c r="AE185" s="2945"/>
      <c r="AH185" s="2978"/>
      <c r="AI185" s="3066"/>
      <c r="AJ185" s="3064"/>
      <c r="AK185" s="3064"/>
      <c r="AL185" s="3064"/>
      <c r="AM185" s="3064"/>
      <c r="AN185" s="3064"/>
    </row>
    <row r="186" spans="1:41" ht="16.5" customHeight="1">
      <c r="A186" s="2948"/>
      <c r="D186" s="2947" t="s">
        <v>957</v>
      </c>
      <c r="E186" s="2945" t="s">
        <v>27</v>
      </c>
      <c r="F186" s="3160">
        <f>Q170</f>
        <v>2.6</v>
      </c>
      <c r="I186" s="2947" t="s">
        <v>956</v>
      </c>
      <c r="J186" s="2978"/>
      <c r="K186" s="3161">
        <v>5</v>
      </c>
      <c r="L186" s="3162">
        <v>5</v>
      </c>
      <c r="M186" s="3145" t="s">
        <v>1</v>
      </c>
      <c r="N186" s="3064"/>
      <c r="O186" s="3153"/>
      <c r="R186" s="3159"/>
      <c r="U186" s="3064"/>
      <c r="V186" s="3064"/>
      <c r="W186" s="3064"/>
      <c r="X186" s="3064"/>
      <c r="AD186" s="2945"/>
      <c r="AE186" s="2945"/>
      <c r="AH186" s="2978"/>
      <c r="AI186" s="3066"/>
      <c r="AJ186" s="3064"/>
      <c r="AK186" s="3064"/>
      <c r="AL186" s="3064"/>
      <c r="AM186" s="3064"/>
      <c r="AN186" s="3064"/>
    </row>
    <row r="187" spans="1:41" ht="16.5" customHeight="1">
      <c r="A187" s="2948"/>
      <c r="D187" s="2947" t="s">
        <v>955</v>
      </c>
      <c r="E187" s="2945" t="s">
        <v>27</v>
      </c>
      <c r="F187" s="3163">
        <f>F186^2</f>
        <v>6.7600000000000007</v>
      </c>
      <c r="G187" s="2947" t="s">
        <v>3</v>
      </c>
      <c r="I187" s="2947" t="s">
        <v>954</v>
      </c>
      <c r="J187" s="2978"/>
      <c r="K187" s="2990">
        <v>2</v>
      </c>
      <c r="L187" s="3162">
        <v>2</v>
      </c>
      <c r="M187" s="3145" t="s">
        <v>953</v>
      </c>
      <c r="N187" s="3064"/>
      <c r="O187" s="3153"/>
      <c r="R187" s="3159"/>
      <c r="U187" s="3064"/>
      <c r="V187" s="3064"/>
      <c r="W187" s="3064"/>
      <c r="X187" s="3064"/>
      <c r="AD187" s="2945"/>
      <c r="AE187" s="2945"/>
      <c r="AH187" s="2978"/>
      <c r="AI187" s="3066"/>
      <c r="AJ187" s="3064"/>
      <c r="AK187" s="3064"/>
      <c r="AL187" s="3064"/>
      <c r="AM187" s="3064"/>
      <c r="AN187" s="3064"/>
    </row>
    <row r="188" spans="1:41" ht="16.5" customHeight="1">
      <c r="A188" s="2948"/>
      <c r="D188" s="2945" t="s">
        <v>1367</v>
      </c>
      <c r="E188" s="2945" t="s">
        <v>27</v>
      </c>
      <c r="F188" s="3160">
        <f>IF($B$20=$R$59,F187*$S$59,F187*$S$60)</f>
        <v>12.168000000000001</v>
      </c>
      <c r="G188" s="2947" t="s">
        <v>3</v>
      </c>
      <c r="I188" s="2947" t="s">
        <v>952</v>
      </c>
      <c r="J188" s="2978"/>
      <c r="K188" s="3164">
        <f>(K186/100)*('CU_Multi Saturasi pmdtn'!D173/('Cu_Multi Consol pmdtn'!K187*60))</f>
        <v>3.3625289084181317E-2</v>
      </c>
      <c r="L188" s="3165">
        <f>(L186/100)*('CU_Multi Saturasi pmdtn'!D148/(L187*60))</f>
        <v>0</v>
      </c>
      <c r="M188" s="3145" t="s">
        <v>556</v>
      </c>
      <c r="N188" s="3064"/>
      <c r="O188" s="3153"/>
      <c r="R188" s="3159"/>
      <c r="U188" s="3064"/>
      <c r="V188" s="3064"/>
      <c r="W188" s="3064"/>
      <c r="X188" s="3064"/>
      <c r="AD188" s="2945"/>
      <c r="AE188" s="2945"/>
      <c r="AH188" s="2978"/>
      <c r="AI188" s="3066"/>
      <c r="AJ188" s="3064"/>
      <c r="AK188" s="3064"/>
      <c r="AL188" s="3064"/>
      <c r="AM188" s="3064"/>
      <c r="AN188" s="3064"/>
    </row>
    <row r="189" spans="1:41" ht="16.5" customHeight="1">
      <c r="A189" s="2948"/>
      <c r="J189" s="2945" t="s">
        <v>951</v>
      </c>
      <c r="K189" s="3166">
        <f>(I164/'CU_Multi Saturasi pmdtn'!F176)*(1000/('Cu_Multi Consol pmdtn'!J153-'Cu_Multi Consol pmdtn'!J164))</f>
        <v>0.16287436719312695</v>
      </c>
      <c r="L189" s="3044" t="e">
        <f>(I166/'CU_Multi Saturasi pmdtn'!F153)*(1000/('Cu_Multi Consol pmdtn'!J153-'Cu_Multi Consol pmdtn'!J166))</f>
        <v>#DIV/0!</v>
      </c>
      <c r="M189" s="2947" t="s">
        <v>950</v>
      </c>
      <c r="N189" s="3064"/>
      <c r="O189" s="3153"/>
      <c r="R189" s="3159"/>
      <c r="U189" s="3064"/>
      <c r="V189" s="3064"/>
      <c r="W189" s="3064"/>
      <c r="X189" s="3064"/>
      <c r="AD189" s="2945"/>
      <c r="AE189" s="2945"/>
      <c r="AH189" s="2978"/>
      <c r="AI189" s="3066"/>
      <c r="AJ189" s="3064"/>
      <c r="AK189" s="3064"/>
      <c r="AL189" s="3064"/>
      <c r="AM189" s="3064"/>
      <c r="AN189" s="3064"/>
    </row>
    <row r="190" spans="1:41" ht="16.5" customHeight="1">
      <c r="A190" s="2948"/>
      <c r="D190" s="2945"/>
      <c r="E190" s="2945"/>
      <c r="F190" s="2945"/>
      <c r="I190" s="2978"/>
      <c r="J190" s="2945" t="s">
        <v>949</v>
      </c>
      <c r="K190" s="3160">
        <f>2400/F187</f>
        <v>355.02958579881653</v>
      </c>
      <c r="L190" s="3160">
        <f>2400/'Cu_Multi Consol pmdtn'!F187</f>
        <v>355.02958579881653</v>
      </c>
      <c r="M190" s="3145" t="s">
        <v>948</v>
      </c>
      <c r="N190" s="3064"/>
      <c r="O190" s="3153"/>
      <c r="R190" s="3159"/>
      <c r="U190" s="3064"/>
      <c r="V190" s="3064"/>
      <c r="W190" s="3064"/>
      <c r="X190" s="3064"/>
      <c r="AD190" s="2945"/>
      <c r="AE190" s="2945"/>
      <c r="AH190" s="2978"/>
      <c r="AI190" s="3066"/>
      <c r="AJ190" s="3064"/>
      <c r="AK190" s="3064"/>
      <c r="AL190" s="3064"/>
      <c r="AM190" s="3064"/>
      <c r="AN190" s="3064"/>
    </row>
    <row r="191" spans="1:41" ht="16.5" customHeight="1">
      <c r="A191" s="2948"/>
      <c r="D191" s="2945"/>
      <c r="E191" s="2945"/>
      <c r="F191" s="2945"/>
      <c r="I191" s="2978"/>
      <c r="J191" s="2977"/>
      <c r="K191" s="3160"/>
      <c r="L191" s="3160"/>
      <c r="M191" s="3145"/>
      <c r="N191" s="3064"/>
      <c r="O191" s="3153"/>
      <c r="R191" s="3159"/>
      <c r="U191" s="3064"/>
      <c r="V191" s="3064"/>
      <c r="W191" s="3064"/>
      <c r="X191" s="3064"/>
      <c r="AD191" s="2945"/>
      <c r="AE191" s="2945"/>
      <c r="AH191" s="2978"/>
      <c r="AI191" s="3066"/>
      <c r="AJ191" s="3064"/>
      <c r="AK191" s="3064"/>
      <c r="AL191" s="3064"/>
      <c r="AM191" s="3064"/>
      <c r="AN191" s="3064"/>
    </row>
    <row r="192" spans="1:41" ht="16.5" customHeight="1">
      <c r="A192" s="3167"/>
      <c r="B192" s="2949"/>
      <c r="C192" s="2949"/>
      <c r="D192" s="2949"/>
      <c r="E192" s="2949"/>
      <c r="F192" s="2949"/>
      <c r="G192" s="2949"/>
      <c r="H192" s="2949"/>
      <c r="I192" s="2949"/>
      <c r="J192" s="2949"/>
      <c r="K192" s="2949"/>
      <c r="L192" s="2949"/>
      <c r="M192" s="3168"/>
      <c r="N192" s="3168"/>
      <c r="O192" s="2969"/>
      <c r="U192" s="3169"/>
      <c r="V192" s="3169"/>
      <c r="Y192" s="3170"/>
      <c r="AA192" s="2966"/>
      <c r="AK192" s="3169"/>
      <c r="AL192" s="3169"/>
      <c r="AO192" s="3170"/>
    </row>
  </sheetData>
  <mergeCells count="6">
    <mergeCell ref="H22:I22"/>
    <mergeCell ref="J22:M22"/>
    <mergeCell ref="H86:I86"/>
    <mergeCell ref="J86:M86"/>
    <mergeCell ref="H150:I150"/>
    <mergeCell ref="J150:M150"/>
  </mergeCells>
  <printOptions horizontalCentered="1"/>
  <pageMargins left="0.55118110236220474" right="0.35433070866141736" top="0.59055118110236227" bottom="0.74803149606299213" header="0.23622047244094491" footer="0.59055118110236227"/>
  <pageSetup paperSize="9" scale="72" fitToHeight="3" orientation="portrait" r:id="rId1"/>
  <headerFooter alignWithMargins="0">
    <oddFooter>&amp;LC/LAB DATA/2001/IMK001/BATCH240701/TRIAXIAL/&amp;F/&amp;A</oddFooter>
  </headerFooter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FB39E-C2F9-4C86-B258-C2AD1CED028D}">
  <sheetPr>
    <tabColor theme="1"/>
  </sheetPr>
  <dimension ref="A2:AQ200"/>
  <sheetViews>
    <sheetView showGridLines="0" zoomScaleNormal="100" workbookViewId="0">
      <selection activeCell="O17" sqref="O17"/>
    </sheetView>
  </sheetViews>
  <sheetFormatPr defaultColWidth="8" defaultRowHeight="13.5"/>
  <cols>
    <col min="1" max="1" width="1.5" style="2947" customWidth="1"/>
    <col min="2" max="3" width="9" style="2947" customWidth="1"/>
    <col min="4" max="4" width="1.125" style="2947" customWidth="1"/>
    <col min="5" max="5" width="7.625" style="2947" customWidth="1"/>
    <col min="6" max="6" width="1.125" style="2947" customWidth="1"/>
    <col min="7" max="11" width="9" style="2947" customWidth="1"/>
    <col min="12" max="12" width="10" style="2947" customWidth="1"/>
    <col min="13" max="13" width="12.375" style="2947" customWidth="1"/>
    <col min="14" max="14" width="3" style="2947" customWidth="1"/>
    <col min="15" max="15" width="11.375" style="2947" customWidth="1"/>
    <col min="16" max="18" width="9" style="2947" customWidth="1"/>
    <col min="19" max="19" width="13.125" style="2945" customWidth="1"/>
    <col min="20" max="20" width="7.75" style="2945" customWidth="1"/>
    <col min="21" max="21" width="8.875" style="2947" customWidth="1"/>
    <col min="22" max="256" width="8" style="2947"/>
    <col min="257" max="257" width="1.5" style="2947" customWidth="1"/>
    <col min="258" max="259" width="9" style="2947" customWidth="1"/>
    <col min="260" max="260" width="1.125" style="2947" customWidth="1"/>
    <col min="261" max="261" width="7.625" style="2947" customWidth="1"/>
    <col min="262" max="262" width="1.125" style="2947" customWidth="1"/>
    <col min="263" max="267" width="9" style="2947" customWidth="1"/>
    <col min="268" max="269" width="10" style="2947" customWidth="1"/>
    <col min="270" max="270" width="1.125" style="2947" customWidth="1"/>
    <col min="271" max="274" width="9" style="2947" customWidth="1"/>
    <col min="275" max="275" width="13.125" style="2947" customWidth="1"/>
    <col min="276" max="276" width="7.75" style="2947" customWidth="1"/>
    <col min="277" max="277" width="8.875" style="2947" customWidth="1"/>
    <col min="278" max="512" width="8" style="2947"/>
    <col min="513" max="513" width="1.5" style="2947" customWidth="1"/>
    <col min="514" max="515" width="9" style="2947" customWidth="1"/>
    <col min="516" max="516" width="1.125" style="2947" customWidth="1"/>
    <col min="517" max="517" width="7.625" style="2947" customWidth="1"/>
    <col min="518" max="518" width="1.125" style="2947" customWidth="1"/>
    <col min="519" max="523" width="9" style="2947" customWidth="1"/>
    <col min="524" max="525" width="10" style="2947" customWidth="1"/>
    <col min="526" max="526" width="1.125" style="2947" customWidth="1"/>
    <col min="527" max="530" width="9" style="2947" customWidth="1"/>
    <col min="531" max="531" width="13.125" style="2947" customWidth="1"/>
    <col min="532" max="532" width="7.75" style="2947" customWidth="1"/>
    <col min="533" max="533" width="8.875" style="2947" customWidth="1"/>
    <col min="534" max="768" width="8" style="2947"/>
    <col min="769" max="769" width="1.5" style="2947" customWidth="1"/>
    <col min="770" max="771" width="9" style="2947" customWidth="1"/>
    <col min="772" max="772" width="1.125" style="2947" customWidth="1"/>
    <col min="773" max="773" width="7.625" style="2947" customWidth="1"/>
    <col min="774" max="774" width="1.125" style="2947" customWidth="1"/>
    <col min="775" max="779" width="9" style="2947" customWidth="1"/>
    <col min="780" max="781" width="10" style="2947" customWidth="1"/>
    <col min="782" max="782" width="1.125" style="2947" customWidth="1"/>
    <col min="783" max="786" width="9" style="2947" customWidth="1"/>
    <col min="787" max="787" width="13.125" style="2947" customWidth="1"/>
    <col min="788" max="788" width="7.75" style="2947" customWidth="1"/>
    <col min="789" max="789" width="8.875" style="2947" customWidth="1"/>
    <col min="790" max="1024" width="8" style="2947"/>
    <col min="1025" max="1025" width="1.5" style="2947" customWidth="1"/>
    <col min="1026" max="1027" width="9" style="2947" customWidth="1"/>
    <col min="1028" max="1028" width="1.125" style="2947" customWidth="1"/>
    <col min="1029" max="1029" width="7.625" style="2947" customWidth="1"/>
    <col min="1030" max="1030" width="1.125" style="2947" customWidth="1"/>
    <col min="1031" max="1035" width="9" style="2947" customWidth="1"/>
    <col min="1036" max="1037" width="10" style="2947" customWidth="1"/>
    <col min="1038" max="1038" width="1.125" style="2947" customWidth="1"/>
    <col min="1039" max="1042" width="9" style="2947" customWidth="1"/>
    <col min="1043" max="1043" width="13.125" style="2947" customWidth="1"/>
    <col min="1044" max="1044" width="7.75" style="2947" customWidth="1"/>
    <col min="1045" max="1045" width="8.875" style="2947" customWidth="1"/>
    <col min="1046" max="1280" width="8" style="2947"/>
    <col min="1281" max="1281" width="1.5" style="2947" customWidth="1"/>
    <col min="1282" max="1283" width="9" style="2947" customWidth="1"/>
    <col min="1284" max="1284" width="1.125" style="2947" customWidth="1"/>
    <col min="1285" max="1285" width="7.625" style="2947" customWidth="1"/>
    <col min="1286" max="1286" width="1.125" style="2947" customWidth="1"/>
    <col min="1287" max="1291" width="9" style="2947" customWidth="1"/>
    <col min="1292" max="1293" width="10" style="2947" customWidth="1"/>
    <col min="1294" max="1294" width="1.125" style="2947" customWidth="1"/>
    <col min="1295" max="1298" width="9" style="2947" customWidth="1"/>
    <col min="1299" max="1299" width="13.125" style="2947" customWidth="1"/>
    <col min="1300" max="1300" width="7.75" style="2947" customWidth="1"/>
    <col min="1301" max="1301" width="8.875" style="2947" customWidth="1"/>
    <col min="1302" max="1536" width="8" style="2947"/>
    <col min="1537" max="1537" width="1.5" style="2947" customWidth="1"/>
    <col min="1538" max="1539" width="9" style="2947" customWidth="1"/>
    <col min="1540" max="1540" width="1.125" style="2947" customWidth="1"/>
    <col min="1541" max="1541" width="7.625" style="2947" customWidth="1"/>
    <col min="1542" max="1542" width="1.125" style="2947" customWidth="1"/>
    <col min="1543" max="1547" width="9" style="2947" customWidth="1"/>
    <col min="1548" max="1549" width="10" style="2947" customWidth="1"/>
    <col min="1550" max="1550" width="1.125" style="2947" customWidth="1"/>
    <col min="1551" max="1554" width="9" style="2947" customWidth="1"/>
    <col min="1555" max="1555" width="13.125" style="2947" customWidth="1"/>
    <col min="1556" max="1556" width="7.75" style="2947" customWidth="1"/>
    <col min="1557" max="1557" width="8.875" style="2947" customWidth="1"/>
    <col min="1558" max="1792" width="8" style="2947"/>
    <col min="1793" max="1793" width="1.5" style="2947" customWidth="1"/>
    <col min="1794" max="1795" width="9" style="2947" customWidth="1"/>
    <col min="1796" max="1796" width="1.125" style="2947" customWidth="1"/>
    <col min="1797" max="1797" width="7.625" style="2947" customWidth="1"/>
    <col min="1798" max="1798" width="1.125" style="2947" customWidth="1"/>
    <col min="1799" max="1803" width="9" style="2947" customWidth="1"/>
    <col min="1804" max="1805" width="10" style="2947" customWidth="1"/>
    <col min="1806" max="1806" width="1.125" style="2947" customWidth="1"/>
    <col min="1807" max="1810" width="9" style="2947" customWidth="1"/>
    <col min="1811" max="1811" width="13.125" style="2947" customWidth="1"/>
    <col min="1812" max="1812" width="7.75" style="2947" customWidth="1"/>
    <col min="1813" max="1813" width="8.875" style="2947" customWidth="1"/>
    <col min="1814" max="2048" width="8" style="2947"/>
    <col min="2049" max="2049" width="1.5" style="2947" customWidth="1"/>
    <col min="2050" max="2051" width="9" style="2947" customWidth="1"/>
    <col min="2052" max="2052" width="1.125" style="2947" customWidth="1"/>
    <col min="2053" max="2053" width="7.625" style="2947" customWidth="1"/>
    <col min="2054" max="2054" width="1.125" style="2947" customWidth="1"/>
    <col min="2055" max="2059" width="9" style="2947" customWidth="1"/>
    <col min="2060" max="2061" width="10" style="2947" customWidth="1"/>
    <col min="2062" max="2062" width="1.125" style="2947" customWidth="1"/>
    <col min="2063" max="2066" width="9" style="2947" customWidth="1"/>
    <col min="2067" max="2067" width="13.125" style="2947" customWidth="1"/>
    <col min="2068" max="2068" width="7.75" style="2947" customWidth="1"/>
    <col min="2069" max="2069" width="8.875" style="2947" customWidth="1"/>
    <col min="2070" max="2304" width="8" style="2947"/>
    <col min="2305" max="2305" width="1.5" style="2947" customWidth="1"/>
    <col min="2306" max="2307" width="9" style="2947" customWidth="1"/>
    <col min="2308" max="2308" width="1.125" style="2947" customWidth="1"/>
    <col min="2309" max="2309" width="7.625" style="2947" customWidth="1"/>
    <col min="2310" max="2310" width="1.125" style="2947" customWidth="1"/>
    <col min="2311" max="2315" width="9" style="2947" customWidth="1"/>
    <col min="2316" max="2317" width="10" style="2947" customWidth="1"/>
    <col min="2318" max="2318" width="1.125" style="2947" customWidth="1"/>
    <col min="2319" max="2322" width="9" style="2947" customWidth="1"/>
    <col min="2323" max="2323" width="13.125" style="2947" customWidth="1"/>
    <col min="2324" max="2324" width="7.75" style="2947" customWidth="1"/>
    <col min="2325" max="2325" width="8.875" style="2947" customWidth="1"/>
    <col min="2326" max="2560" width="8" style="2947"/>
    <col min="2561" max="2561" width="1.5" style="2947" customWidth="1"/>
    <col min="2562" max="2563" width="9" style="2947" customWidth="1"/>
    <col min="2564" max="2564" width="1.125" style="2947" customWidth="1"/>
    <col min="2565" max="2565" width="7.625" style="2947" customWidth="1"/>
    <col min="2566" max="2566" width="1.125" style="2947" customWidth="1"/>
    <col min="2567" max="2571" width="9" style="2947" customWidth="1"/>
    <col min="2572" max="2573" width="10" style="2947" customWidth="1"/>
    <col min="2574" max="2574" width="1.125" style="2947" customWidth="1"/>
    <col min="2575" max="2578" width="9" style="2947" customWidth="1"/>
    <col min="2579" max="2579" width="13.125" style="2947" customWidth="1"/>
    <col min="2580" max="2580" width="7.75" style="2947" customWidth="1"/>
    <col min="2581" max="2581" width="8.875" style="2947" customWidth="1"/>
    <col min="2582" max="2816" width="8" style="2947"/>
    <col min="2817" max="2817" width="1.5" style="2947" customWidth="1"/>
    <col min="2818" max="2819" width="9" style="2947" customWidth="1"/>
    <col min="2820" max="2820" width="1.125" style="2947" customWidth="1"/>
    <col min="2821" max="2821" width="7.625" style="2947" customWidth="1"/>
    <col min="2822" max="2822" width="1.125" style="2947" customWidth="1"/>
    <col min="2823" max="2827" width="9" style="2947" customWidth="1"/>
    <col min="2828" max="2829" width="10" style="2947" customWidth="1"/>
    <col min="2830" max="2830" width="1.125" style="2947" customWidth="1"/>
    <col min="2831" max="2834" width="9" style="2947" customWidth="1"/>
    <col min="2835" max="2835" width="13.125" style="2947" customWidth="1"/>
    <col min="2836" max="2836" width="7.75" style="2947" customWidth="1"/>
    <col min="2837" max="2837" width="8.875" style="2947" customWidth="1"/>
    <col min="2838" max="3072" width="8" style="2947"/>
    <col min="3073" max="3073" width="1.5" style="2947" customWidth="1"/>
    <col min="3074" max="3075" width="9" style="2947" customWidth="1"/>
    <col min="3076" max="3076" width="1.125" style="2947" customWidth="1"/>
    <col min="3077" max="3077" width="7.625" style="2947" customWidth="1"/>
    <col min="3078" max="3078" width="1.125" style="2947" customWidth="1"/>
    <col min="3079" max="3083" width="9" style="2947" customWidth="1"/>
    <col min="3084" max="3085" width="10" style="2947" customWidth="1"/>
    <col min="3086" max="3086" width="1.125" style="2947" customWidth="1"/>
    <col min="3087" max="3090" width="9" style="2947" customWidth="1"/>
    <col min="3091" max="3091" width="13.125" style="2947" customWidth="1"/>
    <col min="3092" max="3092" width="7.75" style="2947" customWidth="1"/>
    <col min="3093" max="3093" width="8.875" style="2947" customWidth="1"/>
    <col min="3094" max="3328" width="8" style="2947"/>
    <col min="3329" max="3329" width="1.5" style="2947" customWidth="1"/>
    <col min="3330" max="3331" width="9" style="2947" customWidth="1"/>
    <col min="3332" max="3332" width="1.125" style="2947" customWidth="1"/>
    <col min="3333" max="3333" width="7.625" style="2947" customWidth="1"/>
    <col min="3334" max="3334" width="1.125" style="2947" customWidth="1"/>
    <col min="3335" max="3339" width="9" style="2947" customWidth="1"/>
    <col min="3340" max="3341" width="10" style="2947" customWidth="1"/>
    <col min="3342" max="3342" width="1.125" style="2947" customWidth="1"/>
    <col min="3343" max="3346" width="9" style="2947" customWidth="1"/>
    <col min="3347" max="3347" width="13.125" style="2947" customWidth="1"/>
    <col min="3348" max="3348" width="7.75" style="2947" customWidth="1"/>
    <col min="3349" max="3349" width="8.875" style="2947" customWidth="1"/>
    <col min="3350" max="3584" width="8" style="2947"/>
    <col min="3585" max="3585" width="1.5" style="2947" customWidth="1"/>
    <col min="3586" max="3587" width="9" style="2947" customWidth="1"/>
    <col min="3588" max="3588" width="1.125" style="2947" customWidth="1"/>
    <col min="3589" max="3589" width="7.625" style="2947" customWidth="1"/>
    <col min="3590" max="3590" width="1.125" style="2947" customWidth="1"/>
    <col min="3591" max="3595" width="9" style="2947" customWidth="1"/>
    <col min="3596" max="3597" width="10" style="2947" customWidth="1"/>
    <col min="3598" max="3598" width="1.125" style="2947" customWidth="1"/>
    <col min="3599" max="3602" width="9" style="2947" customWidth="1"/>
    <col min="3603" max="3603" width="13.125" style="2947" customWidth="1"/>
    <col min="3604" max="3604" width="7.75" style="2947" customWidth="1"/>
    <col min="3605" max="3605" width="8.875" style="2947" customWidth="1"/>
    <col min="3606" max="3840" width="8" style="2947"/>
    <col min="3841" max="3841" width="1.5" style="2947" customWidth="1"/>
    <col min="3842" max="3843" width="9" style="2947" customWidth="1"/>
    <col min="3844" max="3844" width="1.125" style="2947" customWidth="1"/>
    <col min="3845" max="3845" width="7.625" style="2947" customWidth="1"/>
    <col min="3846" max="3846" width="1.125" style="2947" customWidth="1"/>
    <col min="3847" max="3851" width="9" style="2947" customWidth="1"/>
    <col min="3852" max="3853" width="10" style="2947" customWidth="1"/>
    <col min="3854" max="3854" width="1.125" style="2947" customWidth="1"/>
    <col min="3855" max="3858" width="9" style="2947" customWidth="1"/>
    <col min="3859" max="3859" width="13.125" style="2947" customWidth="1"/>
    <col min="3860" max="3860" width="7.75" style="2947" customWidth="1"/>
    <col min="3861" max="3861" width="8.875" style="2947" customWidth="1"/>
    <col min="3862" max="4096" width="8" style="2947"/>
    <col min="4097" max="4097" width="1.5" style="2947" customWidth="1"/>
    <col min="4098" max="4099" width="9" style="2947" customWidth="1"/>
    <col min="4100" max="4100" width="1.125" style="2947" customWidth="1"/>
    <col min="4101" max="4101" width="7.625" style="2947" customWidth="1"/>
    <col min="4102" max="4102" width="1.125" style="2947" customWidth="1"/>
    <col min="4103" max="4107" width="9" style="2947" customWidth="1"/>
    <col min="4108" max="4109" width="10" style="2947" customWidth="1"/>
    <col min="4110" max="4110" width="1.125" style="2947" customWidth="1"/>
    <col min="4111" max="4114" width="9" style="2947" customWidth="1"/>
    <col min="4115" max="4115" width="13.125" style="2947" customWidth="1"/>
    <col min="4116" max="4116" width="7.75" style="2947" customWidth="1"/>
    <col min="4117" max="4117" width="8.875" style="2947" customWidth="1"/>
    <col min="4118" max="4352" width="8" style="2947"/>
    <col min="4353" max="4353" width="1.5" style="2947" customWidth="1"/>
    <col min="4354" max="4355" width="9" style="2947" customWidth="1"/>
    <col min="4356" max="4356" width="1.125" style="2947" customWidth="1"/>
    <col min="4357" max="4357" width="7.625" style="2947" customWidth="1"/>
    <col min="4358" max="4358" width="1.125" style="2947" customWidth="1"/>
    <col min="4359" max="4363" width="9" style="2947" customWidth="1"/>
    <col min="4364" max="4365" width="10" style="2947" customWidth="1"/>
    <col min="4366" max="4366" width="1.125" style="2947" customWidth="1"/>
    <col min="4367" max="4370" width="9" style="2947" customWidth="1"/>
    <col min="4371" max="4371" width="13.125" style="2947" customWidth="1"/>
    <col min="4372" max="4372" width="7.75" style="2947" customWidth="1"/>
    <col min="4373" max="4373" width="8.875" style="2947" customWidth="1"/>
    <col min="4374" max="4608" width="8" style="2947"/>
    <col min="4609" max="4609" width="1.5" style="2947" customWidth="1"/>
    <col min="4610" max="4611" width="9" style="2947" customWidth="1"/>
    <col min="4612" max="4612" width="1.125" style="2947" customWidth="1"/>
    <col min="4613" max="4613" width="7.625" style="2947" customWidth="1"/>
    <col min="4614" max="4614" width="1.125" style="2947" customWidth="1"/>
    <col min="4615" max="4619" width="9" style="2947" customWidth="1"/>
    <col min="4620" max="4621" width="10" style="2947" customWidth="1"/>
    <col min="4622" max="4622" width="1.125" style="2947" customWidth="1"/>
    <col min="4623" max="4626" width="9" style="2947" customWidth="1"/>
    <col min="4627" max="4627" width="13.125" style="2947" customWidth="1"/>
    <col min="4628" max="4628" width="7.75" style="2947" customWidth="1"/>
    <col min="4629" max="4629" width="8.875" style="2947" customWidth="1"/>
    <col min="4630" max="4864" width="8" style="2947"/>
    <col min="4865" max="4865" width="1.5" style="2947" customWidth="1"/>
    <col min="4866" max="4867" width="9" style="2947" customWidth="1"/>
    <col min="4868" max="4868" width="1.125" style="2947" customWidth="1"/>
    <col min="4869" max="4869" width="7.625" style="2947" customWidth="1"/>
    <col min="4870" max="4870" width="1.125" style="2947" customWidth="1"/>
    <col min="4871" max="4875" width="9" style="2947" customWidth="1"/>
    <col min="4876" max="4877" width="10" style="2947" customWidth="1"/>
    <col min="4878" max="4878" width="1.125" style="2947" customWidth="1"/>
    <col min="4879" max="4882" width="9" style="2947" customWidth="1"/>
    <col min="4883" max="4883" width="13.125" style="2947" customWidth="1"/>
    <col min="4884" max="4884" width="7.75" style="2947" customWidth="1"/>
    <col min="4885" max="4885" width="8.875" style="2947" customWidth="1"/>
    <col min="4886" max="5120" width="8" style="2947"/>
    <col min="5121" max="5121" width="1.5" style="2947" customWidth="1"/>
    <col min="5122" max="5123" width="9" style="2947" customWidth="1"/>
    <col min="5124" max="5124" width="1.125" style="2947" customWidth="1"/>
    <col min="5125" max="5125" width="7.625" style="2947" customWidth="1"/>
    <col min="5126" max="5126" width="1.125" style="2947" customWidth="1"/>
    <col min="5127" max="5131" width="9" style="2947" customWidth="1"/>
    <col min="5132" max="5133" width="10" style="2947" customWidth="1"/>
    <col min="5134" max="5134" width="1.125" style="2947" customWidth="1"/>
    <col min="5135" max="5138" width="9" style="2947" customWidth="1"/>
    <col min="5139" max="5139" width="13.125" style="2947" customWidth="1"/>
    <col min="5140" max="5140" width="7.75" style="2947" customWidth="1"/>
    <col min="5141" max="5141" width="8.875" style="2947" customWidth="1"/>
    <col min="5142" max="5376" width="8" style="2947"/>
    <col min="5377" max="5377" width="1.5" style="2947" customWidth="1"/>
    <col min="5378" max="5379" width="9" style="2947" customWidth="1"/>
    <col min="5380" max="5380" width="1.125" style="2947" customWidth="1"/>
    <col min="5381" max="5381" width="7.625" style="2947" customWidth="1"/>
    <col min="5382" max="5382" width="1.125" style="2947" customWidth="1"/>
    <col min="5383" max="5387" width="9" style="2947" customWidth="1"/>
    <col min="5388" max="5389" width="10" style="2947" customWidth="1"/>
    <col min="5390" max="5390" width="1.125" style="2947" customWidth="1"/>
    <col min="5391" max="5394" width="9" style="2947" customWidth="1"/>
    <col min="5395" max="5395" width="13.125" style="2947" customWidth="1"/>
    <col min="5396" max="5396" width="7.75" style="2947" customWidth="1"/>
    <col min="5397" max="5397" width="8.875" style="2947" customWidth="1"/>
    <col min="5398" max="5632" width="8" style="2947"/>
    <col min="5633" max="5633" width="1.5" style="2947" customWidth="1"/>
    <col min="5634" max="5635" width="9" style="2947" customWidth="1"/>
    <col min="5636" max="5636" width="1.125" style="2947" customWidth="1"/>
    <col min="5637" max="5637" width="7.625" style="2947" customWidth="1"/>
    <col min="5638" max="5638" width="1.125" style="2947" customWidth="1"/>
    <col min="5639" max="5643" width="9" style="2947" customWidth="1"/>
    <col min="5644" max="5645" width="10" style="2947" customWidth="1"/>
    <col min="5646" max="5646" width="1.125" style="2947" customWidth="1"/>
    <col min="5647" max="5650" width="9" style="2947" customWidth="1"/>
    <col min="5651" max="5651" width="13.125" style="2947" customWidth="1"/>
    <col min="5652" max="5652" width="7.75" style="2947" customWidth="1"/>
    <col min="5653" max="5653" width="8.875" style="2947" customWidth="1"/>
    <col min="5654" max="5888" width="8" style="2947"/>
    <col min="5889" max="5889" width="1.5" style="2947" customWidth="1"/>
    <col min="5890" max="5891" width="9" style="2947" customWidth="1"/>
    <col min="5892" max="5892" width="1.125" style="2947" customWidth="1"/>
    <col min="5893" max="5893" width="7.625" style="2947" customWidth="1"/>
    <col min="5894" max="5894" width="1.125" style="2947" customWidth="1"/>
    <col min="5895" max="5899" width="9" style="2947" customWidth="1"/>
    <col min="5900" max="5901" width="10" style="2947" customWidth="1"/>
    <col min="5902" max="5902" width="1.125" style="2947" customWidth="1"/>
    <col min="5903" max="5906" width="9" style="2947" customWidth="1"/>
    <col min="5907" max="5907" width="13.125" style="2947" customWidth="1"/>
    <col min="5908" max="5908" width="7.75" style="2947" customWidth="1"/>
    <col min="5909" max="5909" width="8.875" style="2947" customWidth="1"/>
    <col min="5910" max="6144" width="8" style="2947"/>
    <col min="6145" max="6145" width="1.5" style="2947" customWidth="1"/>
    <col min="6146" max="6147" width="9" style="2947" customWidth="1"/>
    <col min="6148" max="6148" width="1.125" style="2947" customWidth="1"/>
    <col min="6149" max="6149" width="7.625" style="2947" customWidth="1"/>
    <col min="6150" max="6150" width="1.125" style="2947" customWidth="1"/>
    <col min="6151" max="6155" width="9" style="2947" customWidth="1"/>
    <col min="6156" max="6157" width="10" style="2947" customWidth="1"/>
    <col min="6158" max="6158" width="1.125" style="2947" customWidth="1"/>
    <col min="6159" max="6162" width="9" style="2947" customWidth="1"/>
    <col min="6163" max="6163" width="13.125" style="2947" customWidth="1"/>
    <col min="6164" max="6164" width="7.75" style="2947" customWidth="1"/>
    <col min="6165" max="6165" width="8.875" style="2947" customWidth="1"/>
    <col min="6166" max="6400" width="8" style="2947"/>
    <col min="6401" max="6401" width="1.5" style="2947" customWidth="1"/>
    <col min="6402" max="6403" width="9" style="2947" customWidth="1"/>
    <col min="6404" max="6404" width="1.125" style="2947" customWidth="1"/>
    <col min="6405" max="6405" width="7.625" style="2947" customWidth="1"/>
    <col min="6406" max="6406" width="1.125" style="2947" customWidth="1"/>
    <col min="6407" max="6411" width="9" style="2947" customWidth="1"/>
    <col min="6412" max="6413" width="10" style="2947" customWidth="1"/>
    <col min="6414" max="6414" width="1.125" style="2947" customWidth="1"/>
    <col min="6415" max="6418" width="9" style="2947" customWidth="1"/>
    <col min="6419" max="6419" width="13.125" style="2947" customWidth="1"/>
    <col min="6420" max="6420" width="7.75" style="2947" customWidth="1"/>
    <col min="6421" max="6421" width="8.875" style="2947" customWidth="1"/>
    <col min="6422" max="6656" width="8" style="2947"/>
    <col min="6657" max="6657" width="1.5" style="2947" customWidth="1"/>
    <col min="6658" max="6659" width="9" style="2947" customWidth="1"/>
    <col min="6660" max="6660" width="1.125" style="2947" customWidth="1"/>
    <col min="6661" max="6661" width="7.625" style="2947" customWidth="1"/>
    <col min="6662" max="6662" width="1.125" style="2947" customWidth="1"/>
    <col min="6663" max="6667" width="9" style="2947" customWidth="1"/>
    <col min="6668" max="6669" width="10" style="2947" customWidth="1"/>
    <col min="6670" max="6670" width="1.125" style="2947" customWidth="1"/>
    <col min="6671" max="6674" width="9" style="2947" customWidth="1"/>
    <col min="6675" max="6675" width="13.125" style="2947" customWidth="1"/>
    <col min="6676" max="6676" width="7.75" style="2947" customWidth="1"/>
    <col min="6677" max="6677" width="8.875" style="2947" customWidth="1"/>
    <col min="6678" max="6912" width="8" style="2947"/>
    <col min="6913" max="6913" width="1.5" style="2947" customWidth="1"/>
    <col min="6914" max="6915" width="9" style="2947" customWidth="1"/>
    <col min="6916" max="6916" width="1.125" style="2947" customWidth="1"/>
    <col min="6917" max="6917" width="7.625" style="2947" customWidth="1"/>
    <col min="6918" max="6918" width="1.125" style="2947" customWidth="1"/>
    <col min="6919" max="6923" width="9" style="2947" customWidth="1"/>
    <col min="6924" max="6925" width="10" style="2947" customWidth="1"/>
    <col min="6926" max="6926" width="1.125" style="2947" customWidth="1"/>
    <col min="6927" max="6930" width="9" style="2947" customWidth="1"/>
    <col min="6931" max="6931" width="13.125" style="2947" customWidth="1"/>
    <col min="6932" max="6932" width="7.75" style="2947" customWidth="1"/>
    <col min="6933" max="6933" width="8.875" style="2947" customWidth="1"/>
    <col min="6934" max="7168" width="8" style="2947"/>
    <col min="7169" max="7169" width="1.5" style="2947" customWidth="1"/>
    <col min="7170" max="7171" width="9" style="2947" customWidth="1"/>
    <col min="7172" max="7172" width="1.125" style="2947" customWidth="1"/>
    <col min="7173" max="7173" width="7.625" style="2947" customWidth="1"/>
    <col min="7174" max="7174" width="1.125" style="2947" customWidth="1"/>
    <col min="7175" max="7179" width="9" style="2947" customWidth="1"/>
    <col min="7180" max="7181" width="10" style="2947" customWidth="1"/>
    <col min="7182" max="7182" width="1.125" style="2947" customWidth="1"/>
    <col min="7183" max="7186" width="9" style="2947" customWidth="1"/>
    <col min="7187" max="7187" width="13.125" style="2947" customWidth="1"/>
    <col min="7188" max="7188" width="7.75" style="2947" customWidth="1"/>
    <col min="7189" max="7189" width="8.875" style="2947" customWidth="1"/>
    <col min="7190" max="7424" width="8" style="2947"/>
    <col min="7425" max="7425" width="1.5" style="2947" customWidth="1"/>
    <col min="7426" max="7427" width="9" style="2947" customWidth="1"/>
    <col min="7428" max="7428" width="1.125" style="2947" customWidth="1"/>
    <col min="7429" max="7429" width="7.625" style="2947" customWidth="1"/>
    <col min="7430" max="7430" width="1.125" style="2947" customWidth="1"/>
    <col min="7431" max="7435" width="9" style="2947" customWidth="1"/>
    <col min="7436" max="7437" width="10" style="2947" customWidth="1"/>
    <col min="7438" max="7438" width="1.125" style="2947" customWidth="1"/>
    <col min="7439" max="7442" width="9" style="2947" customWidth="1"/>
    <col min="7443" max="7443" width="13.125" style="2947" customWidth="1"/>
    <col min="7444" max="7444" width="7.75" style="2947" customWidth="1"/>
    <col min="7445" max="7445" width="8.875" style="2947" customWidth="1"/>
    <col min="7446" max="7680" width="8" style="2947"/>
    <col min="7681" max="7681" width="1.5" style="2947" customWidth="1"/>
    <col min="7682" max="7683" width="9" style="2947" customWidth="1"/>
    <col min="7684" max="7684" width="1.125" style="2947" customWidth="1"/>
    <col min="7685" max="7685" width="7.625" style="2947" customWidth="1"/>
    <col min="7686" max="7686" width="1.125" style="2947" customWidth="1"/>
    <col min="7687" max="7691" width="9" style="2947" customWidth="1"/>
    <col min="7692" max="7693" width="10" style="2947" customWidth="1"/>
    <col min="7694" max="7694" width="1.125" style="2947" customWidth="1"/>
    <col min="7695" max="7698" width="9" style="2947" customWidth="1"/>
    <col min="7699" max="7699" width="13.125" style="2947" customWidth="1"/>
    <col min="7700" max="7700" width="7.75" style="2947" customWidth="1"/>
    <col min="7701" max="7701" width="8.875" style="2947" customWidth="1"/>
    <col min="7702" max="7936" width="8" style="2947"/>
    <col min="7937" max="7937" width="1.5" style="2947" customWidth="1"/>
    <col min="7938" max="7939" width="9" style="2947" customWidth="1"/>
    <col min="7940" max="7940" width="1.125" style="2947" customWidth="1"/>
    <col min="7941" max="7941" width="7.625" style="2947" customWidth="1"/>
    <col min="7942" max="7942" width="1.125" style="2947" customWidth="1"/>
    <col min="7943" max="7947" width="9" style="2947" customWidth="1"/>
    <col min="7948" max="7949" width="10" style="2947" customWidth="1"/>
    <col min="7950" max="7950" width="1.125" style="2947" customWidth="1"/>
    <col min="7951" max="7954" width="9" style="2947" customWidth="1"/>
    <col min="7955" max="7955" width="13.125" style="2947" customWidth="1"/>
    <col min="7956" max="7956" width="7.75" style="2947" customWidth="1"/>
    <col min="7957" max="7957" width="8.875" style="2947" customWidth="1"/>
    <col min="7958" max="8192" width="8" style="2947"/>
    <col min="8193" max="8193" width="1.5" style="2947" customWidth="1"/>
    <col min="8194" max="8195" width="9" style="2947" customWidth="1"/>
    <col min="8196" max="8196" width="1.125" style="2947" customWidth="1"/>
    <col min="8197" max="8197" width="7.625" style="2947" customWidth="1"/>
    <col min="8198" max="8198" width="1.125" style="2947" customWidth="1"/>
    <col min="8199" max="8203" width="9" style="2947" customWidth="1"/>
    <col min="8204" max="8205" width="10" style="2947" customWidth="1"/>
    <col min="8206" max="8206" width="1.125" style="2947" customWidth="1"/>
    <col min="8207" max="8210" width="9" style="2947" customWidth="1"/>
    <col min="8211" max="8211" width="13.125" style="2947" customWidth="1"/>
    <col min="8212" max="8212" width="7.75" style="2947" customWidth="1"/>
    <col min="8213" max="8213" width="8.875" style="2947" customWidth="1"/>
    <col min="8214" max="8448" width="8" style="2947"/>
    <col min="8449" max="8449" width="1.5" style="2947" customWidth="1"/>
    <col min="8450" max="8451" width="9" style="2947" customWidth="1"/>
    <col min="8452" max="8452" width="1.125" style="2947" customWidth="1"/>
    <col min="8453" max="8453" width="7.625" style="2947" customWidth="1"/>
    <col min="8454" max="8454" width="1.125" style="2947" customWidth="1"/>
    <col min="8455" max="8459" width="9" style="2947" customWidth="1"/>
    <col min="8460" max="8461" width="10" style="2947" customWidth="1"/>
    <col min="8462" max="8462" width="1.125" style="2947" customWidth="1"/>
    <col min="8463" max="8466" width="9" style="2947" customWidth="1"/>
    <col min="8467" max="8467" width="13.125" style="2947" customWidth="1"/>
    <col min="8468" max="8468" width="7.75" style="2947" customWidth="1"/>
    <col min="8469" max="8469" width="8.875" style="2947" customWidth="1"/>
    <col min="8470" max="8704" width="8" style="2947"/>
    <col min="8705" max="8705" width="1.5" style="2947" customWidth="1"/>
    <col min="8706" max="8707" width="9" style="2947" customWidth="1"/>
    <col min="8708" max="8708" width="1.125" style="2947" customWidth="1"/>
    <col min="8709" max="8709" width="7.625" style="2947" customWidth="1"/>
    <col min="8710" max="8710" width="1.125" style="2947" customWidth="1"/>
    <col min="8711" max="8715" width="9" style="2947" customWidth="1"/>
    <col min="8716" max="8717" width="10" style="2947" customWidth="1"/>
    <col min="8718" max="8718" width="1.125" style="2947" customWidth="1"/>
    <col min="8719" max="8722" width="9" style="2947" customWidth="1"/>
    <col min="8723" max="8723" width="13.125" style="2947" customWidth="1"/>
    <col min="8724" max="8724" width="7.75" style="2947" customWidth="1"/>
    <col min="8725" max="8725" width="8.875" style="2947" customWidth="1"/>
    <col min="8726" max="8960" width="8" style="2947"/>
    <col min="8961" max="8961" width="1.5" style="2947" customWidth="1"/>
    <col min="8962" max="8963" width="9" style="2947" customWidth="1"/>
    <col min="8964" max="8964" width="1.125" style="2947" customWidth="1"/>
    <col min="8965" max="8965" width="7.625" style="2947" customWidth="1"/>
    <col min="8966" max="8966" width="1.125" style="2947" customWidth="1"/>
    <col min="8967" max="8971" width="9" style="2947" customWidth="1"/>
    <col min="8972" max="8973" width="10" style="2947" customWidth="1"/>
    <col min="8974" max="8974" width="1.125" style="2947" customWidth="1"/>
    <col min="8975" max="8978" width="9" style="2947" customWidth="1"/>
    <col min="8979" max="8979" width="13.125" style="2947" customWidth="1"/>
    <col min="8980" max="8980" width="7.75" style="2947" customWidth="1"/>
    <col min="8981" max="8981" width="8.875" style="2947" customWidth="1"/>
    <col min="8982" max="9216" width="8" style="2947"/>
    <col min="9217" max="9217" width="1.5" style="2947" customWidth="1"/>
    <col min="9218" max="9219" width="9" style="2947" customWidth="1"/>
    <col min="9220" max="9220" width="1.125" style="2947" customWidth="1"/>
    <col min="9221" max="9221" width="7.625" style="2947" customWidth="1"/>
    <col min="9222" max="9222" width="1.125" style="2947" customWidth="1"/>
    <col min="9223" max="9227" width="9" style="2947" customWidth="1"/>
    <col min="9228" max="9229" width="10" style="2947" customWidth="1"/>
    <col min="9230" max="9230" width="1.125" style="2947" customWidth="1"/>
    <col min="9231" max="9234" width="9" style="2947" customWidth="1"/>
    <col min="9235" max="9235" width="13.125" style="2947" customWidth="1"/>
    <col min="9236" max="9236" width="7.75" style="2947" customWidth="1"/>
    <col min="9237" max="9237" width="8.875" style="2947" customWidth="1"/>
    <col min="9238" max="9472" width="8" style="2947"/>
    <col min="9473" max="9473" width="1.5" style="2947" customWidth="1"/>
    <col min="9474" max="9475" width="9" style="2947" customWidth="1"/>
    <col min="9476" max="9476" width="1.125" style="2947" customWidth="1"/>
    <col min="9477" max="9477" width="7.625" style="2947" customWidth="1"/>
    <col min="9478" max="9478" width="1.125" style="2947" customWidth="1"/>
    <col min="9479" max="9483" width="9" style="2947" customWidth="1"/>
    <col min="9484" max="9485" width="10" style="2947" customWidth="1"/>
    <col min="9486" max="9486" width="1.125" style="2947" customWidth="1"/>
    <col min="9487" max="9490" width="9" style="2947" customWidth="1"/>
    <col min="9491" max="9491" width="13.125" style="2947" customWidth="1"/>
    <col min="9492" max="9492" width="7.75" style="2947" customWidth="1"/>
    <col min="9493" max="9493" width="8.875" style="2947" customWidth="1"/>
    <col min="9494" max="9728" width="8" style="2947"/>
    <col min="9729" max="9729" width="1.5" style="2947" customWidth="1"/>
    <col min="9730" max="9731" width="9" style="2947" customWidth="1"/>
    <col min="9732" max="9732" width="1.125" style="2947" customWidth="1"/>
    <col min="9733" max="9733" width="7.625" style="2947" customWidth="1"/>
    <col min="9734" max="9734" width="1.125" style="2947" customWidth="1"/>
    <col min="9735" max="9739" width="9" style="2947" customWidth="1"/>
    <col min="9740" max="9741" width="10" style="2947" customWidth="1"/>
    <col min="9742" max="9742" width="1.125" style="2947" customWidth="1"/>
    <col min="9743" max="9746" width="9" style="2947" customWidth="1"/>
    <col min="9747" max="9747" width="13.125" style="2947" customWidth="1"/>
    <col min="9748" max="9748" width="7.75" style="2947" customWidth="1"/>
    <col min="9749" max="9749" width="8.875" style="2947" customWidth="1"/>
    <col min="9750" max="9984" width="8" style="2947"/>
    <col min="9985" max="9985" width="1.5" style="2947" customWidth="1"/>
    <col min="9986" max="9987" width="9" style="2947" customWidth="1"/>
    <col min="9988" max="9988" width="1.125" style="2947" customWidth="1"/>
    <col min="9989" max="9989" width="7.625" style="2947" customWidth="1"/>
    <col min="9990" max="9990" width="1.125" style="2947" customWidth="1"/>
    <col min="9991" max="9995" width="9" style="2947" customWidth="1"/>
    <col min="9996" max="9997" width="10" style="2947" customWidth="1"/>
    <col min="9998" max="9998" width="1.125" style="2947" customWidth="1"/>
    <col min="9999" max="10002" width="9" style="2947" customWidth="1"/>
    <col min="10003" max="10003" width="13.125" style="2947" customWidth="1"/>
    <col min="10004" max="10004" width="7.75" style="2947" customWidth="1"/>
    <col min="10005" max="10005" width="8.875" style="2947" customWidth="1"/>
    <col min="10006" max="10240" width="8" style="2947"/>
    <col min="10241" max="10241" width="1.5" style="2947" customWidth="1"/>
    <col min="10242" max="10243" width="9" style="2947" customWidth="1"/>
    <col min="10244" max="10244" width="1.125" style="2947" customWidth="1"/>
    <col min="10245" max="10245" width="7.625" style="2947" customWidth="1"/>
    <col min="10246" max="10246" width="1.125" style="2947" customWidth="1"/>
    <col min="10247" max="10251" width="9" style="2947" customWidth="1"/>
    <col min="10252" max="10253" width="10" style="2947" customWidth="1"/>
    <col min="10254" max="10254" width="1.125" style="2947" customWidth="1"/>
    <col min="10255" max="10258" width="9" style="2947" customWidth="1"/>
    <col min="10259" max="10259" width="13.125" style="2947" customWidth="1"/>
    <col min="10260" max="10260" width="7.75" style="2947" customWidth="1"/>
    <col min="10261" max="10261" width="8.875" style="2947" customWidth="1"/>
    <col min="10262" max="10496" width="8" style="2947"/>
    <col min="10497" max="10497" width="1.5" style="2947" customWidth="1"/>
    <col min="10498" max="10499" width="9" style="2947" customWidth="1"/>
    <col min="10500" max="10500" width="1.125" style="2947" customWidth="1"/>
    <col min="10501" max="10501" width="7.625" style="2947" customWidth="1"/>
    <col min="10502" max="10502" width="1.125" style="2947" customWidth="1"/>
    <col min="10503" max="10507" width="9" style="2947" customWidth="1"/>
    <col min="10508" max="10509" width="10" style="2947" customWidth="1"/>
    <col min="10510" max="10510" width="1.125" style="2947" customWidth="1"/>
    <col min="10511" max="10514" width="9" style="2947" customWidth="1"/>
    <col min="10515" max="10515" width="13.125" style="2947" customWidth="1"/>
    <col min="10516" max="10516" width="7.75" style="2947" customWidth="1"/>
    <col min="10517" max="10517" width="8.875" style="2947" customWidth="1"/>
    <col min="10518" max="10752" width="8" style="2947"/>
    <col min="10753" max="10753" width="1.5" style="2947" customWidth="1"/>
    <col min="10754" max="10755" width="9" style="2947" customWidth="1"/>
    <col min="10756" max="10756" width="1.125" style="2947" customWidth="1"/>
    <col min="10757" max="10757" width="7.625" style="2947" customWidth="1"/>
    <col min="10758" max="10758" width="1.125" style="2947" customWidth="1"/>
    <col min="10759" max="10763" width="9" style="2947" customWidth="1"/>
    <col min="10764" max="10765" width="10" style="2947" customWidth="1"/>
    <col min="10766" max="10766" width="1.125" style="2947" customWidth="1"/>
    <col min="10767" max="10770" width="9" style="2947" customWidth="1"/>
    <col min="10771" max="10771" width="13.125" style="2947" customWidth="1"/>
    <col min="10772" max="10772" width="7.75" style="2947" customWidth="1"/>
    <col min="10773" max="10773" width="8.875" style="2947" customWidth="1"/>
    <col min="10774" max="11008" width="8" style="2947"/>
    <col min="11009" max="11009" width="1.5" style="2947" customWidth="1"/>
    <col min="11010" max="11011" width="9" style="2947" customWidth="1"/>
    <col min="11012" max="11012" width="1.125" style="2947" customWidth="1"/>
    <col min="11013" max="11013" width="7.625" style="2947" customWidth="1"/>
    <col min="11014" max="11014" width="1.125" style="2947" customWidth="1"/>
    <col min="11015" max="11019" width="9" style="2947" customWidth="1"/>
    <col min="11020" max="11021" width="10" style="2947" customWidth="1"/>
    <col min="11022" max="11022" width="1.125" style="2947" customWidth="1"/>
    <col min="11023" max="11026" width="9" style="2947" customWidth="1"/>
    <col min="11027" max="11027" width="13.125" style="2947" customWidth="1"/>
    <col min="11028" max="11028" width="7.75" style="2947" customWidth="1"/>
    <col min="11029" max="11029" width="8.875" style="2947" customWidth="1"/>
    <col min="11030" max="11264" width="8" style="2947"/>
    <col min="11265" max="11265" width="1.5" style="2947" customWidth="1"/>
    <col min="11266" max="11267" width="9" style="2947" customWidth="1"/>
    <col min="11268" max="11268" width="1.125" style="2947" customWidth="1"/>
    <col min="11269" max="11269" width="7.625" style="2947" customWidth="1"/>
    <col min="11270" max="11270" width="1.125" style="2947" customWidth="1"/>
    <col min="11271" max="11275" width="9" style="2947" customWidth="1"/>
    <col min="11276" max="11277" width="10" style="2947" customWidth="1"/>
    <col min="11278" max="11278" width="1.125" style="2947" customWidth="1"/>
    <col min="11279" max="11282" width="9" style="2947" customWidth="1"/>
    <col min="11283" max="11283" width="13.125" style="2947" customWidth="1"/>
    <col min="11284" max="11284" width="7.75" style="2947" customWidth="1"/>
    <col min="11285" max="11285" width="8.875" style="2947" customWidth="1"/>
    <col min="11286" max="11520" width="8" style="2947"/>
    <col min="11521" max="11521" width="1.5" style="2947" customWidth="1"/>
    <col min="11522" max="11523" width="9" style="2947" customWidth="1"/>
    <col min="11524" max="11524" width="1.125" style="2947" customWidth="1"/>
    <col min="11525" max="11525" width="7.625" style="2947" customWidth="1"/>
    <col min="11526" max="11526" width="1.125" style="2947" customWidth="1"/>
    <col min="11527" max="11531" width="9" style="2947" customWidth="1"/>
    <col min="11532" max="11533" width="10" style="2947" customWidth="1"/>
    <col min="11534" max="11534" width="1.125" style="2947" customWidth="1"/>
    <col min="11535" max="11538" width="9" style="2947" customWidth="1"/>
    <col min="11539" max="11539" width="13.125" style="2947" customWidth="1"/>
    <col min="11540" max="11540" width="7.75" style="2947" customWidth="1"/>
    <col min="11541" max="11541" width="8.875" style="2947" customWidth="1"/>
    <col min="11542" max="11776" width="8" style="2947"/>
    <col min="11777" max="11777" width="1.5" style="2947" customWidth="1"/>
    <col min="11778" max="11779" width="9" style="2947" customWidth="1"/>
    <col min="11780" max="11780" width="1.125" style="2947" customWidth="1"/>
    <col min="11781" max="11781" width="7.625" style="2947" customWidth="1"/>
    <col min="11782" max="11782" width="1.125" style="2947" customWidth="1"/>
    <col min="11783" max="11787" width="9" style="2947" customWidth="1"/>
    <col min="11788" max="11789" width="10" style="2947" customWidth="1"/>
    <col min="11790" max="11790" width="1.125" style="2947" customWidth="1"/>
    <col min="11791" max="11794" width="9" style="2947" customWidth="1"/>
    <col min="11795" max="11795" width="13.125" style="2947" customWidth="1"/>
    <col min="11796" max="11796" width="7.75" style="2947" customWidth="1"/>
    <col min="11797" max="11797" width="8.875" style="2947" customWidth="1"/>
    <col min="11798" max="12032" width="8" style="2947"/>
    <col min="12033" max="12033" width="1.5" style="2947" customWidth="1"/>
    <col min="12034" max="12035" width="9" style="2947" customWidth="1"/>
    <col min="12036" max="12036" width="1.125" style="2947" customWidth="1"/>
    <col min="12037" max="12037" width="7.625" style="2947" customWidth="1"/>
    <col min="12038" max="12038" width="1.125" style="2947" customWidth="1"/>
    <col min="12039" max="12043" width="9" style="2947" customWidth="1"/>
    <col min="12044" max="12045" width="10" style="2947" customWidth="1"/>
    <col min="12046" max="12046" width="1.125" style="2947" customWidth="1"/>
    <col min="12047" max="12050" width="9" style="2947" customWidth="1"/>
    <col min="12051" max="12051" width="13.125" style="2947" customWidth="1"/>
    <col min="12052" max="12052" width="7.75" style="2947" customWidth="1"/>
    <col min="12053" max="12053" width="8.875" style="2947" customWidth="1"/>
    <col min="12054" max="12288" width="8" style="2947"/>
    <col min="12289" max="12289" width="1.5" style="2947" customWidth="1"/>
    <col min="12290" max="12291" width="9" style="2947" customWidth="1"/>
    <col min="12292" max="12292" width="1.125" style="2947" customWidth="1"/>
    <col min="12293" max="12293" width="7.625" style="2947" customWidth="1"/>
    <col min="12294" max="12294" width="1.125" style="2947" customWidth="1"/>
    <col min="12295" max="12299" width="9" style="2947" customWidth="1"/>
    <col min="12300" max="12301" width="10" style="2947" customWidth="1"/>
    <col min="12302" max="12302" width="1.125" style="2947" customWidth="1"/>
    <col min="12303" max="12306" width="9" style="2947" customWidth="1"/>
    <col min="12307" max="12307" width="13.125" style="2947" customWidth="1"/>
    <col min="12308" max="12308" width="7.75" style="2947" customWidth="1"/>
    <col min="12309" max="12309" width="8.875" style="2947" customWidth="1"/>
    <col min="12310" max="12544" width="8" style="2947"/>
    <col min="12545" max="12545" width="1.5" style="2947" customWidth="1"/>
    <col min="12546" max="12547" width="9" style="2947" customWidth="1"/>
    <col min="12548" max="12548" width="1.125" style="2947" customWidth="1"/>
    <col min="12549" max="12549" width="7.625" style="2947" customWidth="1"/>
    <col min="12550" max="12550" width="1.125" style="2947" customWidth="1"/>
    <col min="12551" max="12555" width="9" style="2947" customWidth="1"/>
    <col min="12556" max="12557" width="10" style="2947" customWidth="1"/>
    <col min="12558" max="12558" width="1.125" style="2947" customWidth="1"/>
    <col min="12559" max="12562" width="9" style="2947" customWidth="1"/>
    <col min="12563" max="12563" width="13.125" style="2947" customWidth="1"/>
    <col min="12564" max="12564" width="7.75" style="2947" customWidth="1"/>
    <col min="12565" max="12565" width="8.875" style="2947" customWidth="1"/>
    <col min="12566" max="12800" width="8" style="2947"/>
    <col min="12801" max="12801" width="1.5" style="2947" customWidth="1"/>
    <col min="12802" max="12803" width="9" style="2947" customWidth="1"/>
    <col min="12804" max="12804" width="1.125" style="2947" customWidth="1"/>
    <col min="12805" max="12805" width="7.625" style="2947" customWidth="1"/>
    <col min="12806" max="12806" width="1.125" style="2947" customWidth="1"/>
    <col min="12807" max="12811" width="9" style="2947" customWidth="1"/>
    <col min="12812" max="12813" width="10" style="2947" customWidth="1"/>
    <col min="12814" max="12814" width="1.125" style="2947" customWidth="1"/>
    <col min="12815" max="12818" width="9" style="2947" customWidth="1"/>
    <col min="12819" max="12819" width="13.125" style="2947" customWidth="1"/>
    <col min="12820" max="12820" width="7.75" style="2947" customWidth="1"/>
    <col min="12821" max="12821" width="8.875" style="2947" customWidth="1"/>
    <col min="12822" max="13056" width="8" style="2947"/>
    <col min="13057" max="13057" width="1.5" style="2947" customWidth="1"/>
    <col min="13058" max="13059" width="9" style="2947" customWidth="1"/>
    <col min="13060" max="13060" width="1.125" style="2947" customWidth="1"/>
    <col min="13061" max="13061" width="7.625" style="2947" customWidth="1"/>
    <col min="13062" max="13062" width="1.125" style="2947" customWidth="1"/>
    <col min="13063" max="13067" width="9" style="2947" customWidth="1"/>
    <col min="13068" max="13069" width="10" style="2947" customWidth="1"/>
    <col min="13070" max="13070" width="1.125" style="2947" customWidth="1"/>
    <col min="13071" max="13074" width="9" style="2947" customWidth="1"/>
    <col min="13075" max="13075" width="13.125" style="2947" customWidth="1"/>
    <col min="13076" max="13076" width="7.75" style="2947" customWidth="1"/>
    <col min="13077" max="13077" width="8.875" style="2947" customWidth="1"/>
    <col min="13078" max="13312" width="8" style="2947"/>
    <col min="13313" max="13313" width="1.5" style="2947" customWidth="1"/>
    <col min="13314" max="13315" width="9" style="2947" customWidth="1"/>
    <col min="13316" max="13316" width="1.125" style="2947" customWidth="1"/>
    <col min="13317" max="13317" width="7.625" style="2947" customWidth="1"/>
    <col min="13318" max="13318" width="1.125" style="2947" customWidth="1"/>
    <col min="13319" max="13323" width="9" style="2947" customWidth="1"/>
    <col min="13324" max="13325" width="10" style="2947" customWidth="1"/>
    <col min="13326" max="13326" width="1.125" style="2947" customWidth="1"/>
    <col min="13327" max="13330" width="9" style="2947" customWidth="1"/>
    <col min="13331" max="13331" width="13.125" style="2947" customWidth="1"/>
    <col min="13332" max="13332" width="7.75" style="2947" customWidth="1"/>
    <col min="13333" max="13333" width="8.875" style="2947" customWidth="1"/>
    <col min="13334" max="13568" width="8" style="2947"/>
    <col min="13569" max="13569" width="1.5" style="2947" customWidth="1"/>
    <col min="13570" max="13571" width="9" style="2947" customWidth="1"/>
    <col min="13572" max="13572" width="1.125" style="2947" customWidth="1"/>
    <col min="13573" max="13573" width="7.625" style="2947" customWidth="1"/>
    <col min="13574" max="13574" width="1.125" style="2947" customWidth="1"/>
    <col min="13575" max="13579" width="9" style="2947" customWidth="1"/>
    <col min="13580" max="13581" width="10" style="2947" customWidth="1"/>
    <col min="13582" max="13582" width="1.125" style="2947" customWidth="1"/>
    <col min="13583" max="13586" width="9" style="2947" customWidth="1"/>
    <col min="13587" max="13587" width="13.125" style="2947" customWidth="1"/>
    <col min="13588" max="13588" width="7.75" style="2947" customWidth="1"/>
    <col min="13589" max="13589" width="8.875" style="2947" customWidth="1"/>
    <col min="13590" max="13824" width="8" style="2947"/>
    <col min="13825" max="13825" width="1.5" style="2947" customWidth="1"/>
    <col min="13826" max="13827" width="9" style="2947" customWidth="1"/>
    <col min="13828" max="13828" width="1.125" style="2947" customWidth="1"/>
    <col min="13829" max="13829" width="7.625" style="2947" customWidth="1"/>
    <col min="13830" max="13830" width="1.125" style="2947" customWidth="1"/>
    <col min="13831" max="13835" width="9" style="2947" customWidth="1"/>
    <col min="13836" max="13837" width="10" style="2947" customWidth="1"/>
    <col min="13838" max="13838" width="1.125" style="2947" customWidth="1"/>
    <col min="13839" max="13842" width="9" style="2947" customWidth="1"/>
    <col min="13843" max="13843" width="13.125" style="2947" customWidth="1"/>
    <col min="13844" max="13844" width="7.75" style="2947" customWidth="1"/>
    <col min="13845" max="13845" width="8.875" style="2947" customWidth="1"/>
    <col min="13846" max="14080" width="8" style="2947"/>
    <col min="14081" max="14081" width="1.5" style="2947" customWidth="1"/>
    <col min="14082" max="14083" width="9" style="2947" customWidth="1"/>
    <col min="14084" max="14084" width="1.125" style="2947" customWidth="1"/>
    <col min="14085" max="14085" width="7.625" style="2947" customWidth="1"/>
    <col min="14086" max="14086" width="1.125" style="2947" customWidth="1"/>
    <col min="14087" max="14091" width="9" style="2947" customWidth="1"/>
    <col min="14092" max="14093" width="10" style="2947" customWidth="1"/>
    <col min="14094" max="14094" width="1.125" style="2947" customWidth="1"/>
    <col min="14095" max="14098" width="9" style="2947" customWidth="1"/>
    <col min="14099" max="14099" width="13.125" style="2947" customWidth="1"/>
    <col min="14100" max="14100" width="7.75" style="2947" customWidth="1"/>
    <col min="14101" max="14101" width="8.875" style="2947" customWidth="1"/>
    <col min="14102" max="14336" width="8" style="2947"/>
    <col min="14337" max="14337" width="1.5" style="2947" customWidth="1"/>
    <col min="14338" max="14339" width="9" style="2947" customWidth="1"/>
    <col min="14340" max="14340" width="1.125" style="2947" customWidth="1"/>
    <col min="14341" max="14341" width="7.625" style="2947" customWidth="1"/>
    <col min="14342" max="14342" width="1.125" style="2947" customWidth="1"/>
    <col min="14343" max="14347" width="9" style="2947" customWidth="1"/>
    <col min="14348" max="14349" width="10" style="2947" customWidth="1"/>
    <col min="14350" max="14350" width="1.125" style="2947" customWidth="1"/>
    <col min="14351" max="14354" width="9" style="2947" customWidth="1"/>
    <col min="14355" max="14355" width="13.125" style="2947" customWidth="1"/>
    <col min="14356" max="14356" width="7.75" style="2947" customWidth="1"/>
    <col min="14357" max="14357" width="8.875" style="2947" customWidth="1"/>
    <col min="14358" max="14592" width="8" style="2947"/>
    <col min="14593" max="14593" width="1.5" style="2947" customWidth="1"/>
    <col min="14594" max="14595" width="9" style="2947" customWidth="1"/>
    <col min="14596" max="14596" width="1.125" style="2947" customWidth="1"/>
    <col min="14597" max="14597" width="7.625" style="2947" customWidth="1"/>
    <col min="14598" max="14598" width="1.125" style="2947" customWidth="1"/>
    <col min="14599" max="14603" width="9" style="2947" customWidth="1"/>
    <col min="14604" max="14605" width="10" style="2947" customWidth="1"/>
    <col min="14606" max="14606" width="1.125" style="2947" customWidth="1"/>
    <col min="14607" max="14610" width="9" style="2947" customWidth="1"/>
    <col min="14611" max="14611" width="13.125" style="2947" customWidth="1"/>
    <col min="14612" max="14612" width="7.75" style="2947" customWidth="1"/>
    <col min="14613" max="14613" width="8.875" style="2947" customWidth="1"/>
    <col min="14614" max="14848" width="8" style="2947"/>
    <col min="14849" max="14849" width="1.5" style="2947" customWidth="1"/>
    <col min="14850" max="14851" width="9" style="2947" customWidth="1"/>
    <col min="14852" max="14852" width="1.125" style="2947" customWidth="1"/>
    <col min="14853" max="14853" width="7.625" style="2947" customWidth="1"/>
    <col min="14854" max="14854" width="1.125" style="2947" customWidth="1"/>
    <col min="14855" max="14859" width="9" style="2947" customWidth="1"/>
    <col min="14860" max="14861" width="10" style="2947" customWidth="1"/>
    <col min="14862" max="14862" width="1.125" style="2947" customWidth="1"/>
    <col min="14863" max="14866" width="9" style="2947" customWidth="1"/>
    <col min="14867" max="14867" width="13.125" style="2947" customWidth="1"/>
    <col min="14868" max="14868" width="7.75" style="2947" customWidth="1"/>
    <col min="14869" max="14869" width="8.875" style="2947" customWidth="1"/>
    <col min="14870" max="15104" width="8" style="2947"/>
    <col min="15105" max="15105" width="1.5" style="2947" customWidth="1"/>
    <col min="15106" max="15107" width="9" style="2947" customWidth="1"/>
    <col min="15108" max="15108" width="1.125" style="2947" customWidth="1"/>
    <col min="15109" max="15109" width="7.625" style="2947" customWidth="1"/>
    <col min="15110" max="15110" width="1.125" style="2947" customWidth="1"/>
    <col min="15111" max="15115" width="9" style="2947" customWidth="1"/>
    <col min="15116" max="15117" width="10" style="2947" customWidth="1"/>
    <col min="15118" max="15118" width="1.125" style="2947" customWidth="1"/>
    <col min="15119" max="15122" width="9" style="2947" customWidth="1"/>
    <col min="15123" max="15123" width="13.125" style="2947" customWidth="1"/>
    <col min="15124" max="15124" width="7.75" style="2947" customWidth="1"/>
    <col min="15125" max="15125" width="8.875" style="2947" customWidth="1"/>
    <col min="15126" max="15360" width="8" style="2947"/>
    <col min="15361" max="15361" width="1.5" style="2947" customWidth="1"/>
    <col min="15362" max="15363" width="9" style="2947" customWidth="1"/>
    <col min="15364" max="15364" width="1.125" style="2947" customWidth="1"/>
    <col min="15365" max="15365" width="7.625" style="2947" customWidth="1"/>
    <col min="15366" max="15366" width="1.125" style="2947" customWidth="1"/>
    <col min="15367" max="15371" width="9" style="2947" customWidth="1"/>
    <col min="15372" max="15373" width="10" style="2947" customWidth="1"/>
    <col min="15374" max="15374" width="1.125" style="2947" customWidth="1"/>
    <col min="15375" max="15378" width="9" style="2947" customWidth="1"/>
    <col min="15379" max="15379" width="13.125" style="2947" customWidth="1"/>
    <col min="15380" max="15380" width="7.75" style="2947" customWidth="1"/>
    <col min="15381" max="15381" width="8.875" style="2947" customWidth="1"/>
    <col min="15382" max="15616" width="8" style="2947"/>
    <col min="15617" max="15617" width="1.5" style="2947" customWidth="1"/>
    <col min="15618" max="15619" width="9" style="2947" customWidth="1"/>
    <col min="15620" max="15620" width="1.125" style="2947" customWidth="1"/>
    <col min="15621" max="15621" width="7.625" style="2947" customWidth="1"/>
    <col min="15622" max="15622" width="1.125" style="2947" customWidth="1"/>
    <col min="15623" max="15627" width="9" style="2947" customWidth="1"/>
    <col min="15628" max="15629" width="10" style="2947" customWidth="1"/>
    <col min="15630" max="15630" width="1.125" style="2947" customWidth="1"/>
    <col min="15631" max="15634" width="9" style="2947" customWidth="1"/>
    <col min="15635" max="15635" width="13.125" style="2947" customWidth="1"/>
    <col min="15636" max="15636" width="7.75" style="2947" customWidth="1"/>
    <col min="15637" max="15637" width="8.875" style="2947" customWidth="1"/>
    <col min="15638" max="15872" width="8" style="2947"/>
    <col min="15873" max="15873" width="1.5" style="2947" customWidth="1"/>
    <col min="15874" max="15875" width="9" style="2947" customWidth="1"/>
    <col min="15876" max="15876" width="1.125" style="2947" customWidth="1"/>
    <col min="15877" max="15877" width="7.625" style="2947" customWidth="1"/>
    <col min="15878" max="15878" width="1.125" style="2947" customWidth="1"/>
    <col min="15879" max="15883" width="9" style="2947" customWidth="1"/>
    <col min="15884" max="15885" width="10" style="2947" customWidth="1"/>
    <col min="15886" max="15886" width="1.125" style="2947" customWidth="1"/>
    <col min="15887" max="15890" width="9" style="2947" customWidth="1"/>
    <col min="15891" max="15891" width="13.125" style="2947" customWidth="1"/>
    <col min="15892" max="15892" width="7.75" style="2947" customWidth="1"/>
    <col min="15893" max="15893" width="8.875" style="2947" customWidth="1"/>
    <col min="15894" max="16128" width="8" style="2947"/>
    <col min="16129" max="16129" width="1.5" style="2947" customWidth="1"/>
    <col min="16130" max="16131" width="9" style="2947" customWidth="1"/>
    <col min="16132" max="16132" width="1.125" style="2947" customWidth="1"/>
    <col min="16133" max="16133" width="7.625" style="2947" customWidth="1"/>
    <col min="16134" max="16134" width="1.125" style="2947" customWidth="1"/>
    <col min="16135" max="16139" width="9" style="2947" customWidth="1"/>
    <col min="16140" max="16141" width="10" style="2947" customWidth="1"/>
    <col min="16142" max="16142" width="1.125" style="2947" customWidth="1"/>
    <col min="16143" max="16146" width="9" style="2947" customWidth="1"/>
    <col min="16147" max="16147" width="13.125" style="2947" customWidth="1"/>
    <col min="16148" max="16148" width="7.75" style="2947" customWidth="1"/>
    <col min="16149" max="16149" width="8.875" style="2947" customWidth="1"/>
    <col min="16150" max="16384" width="8" style="2947"/>
  </cols>
  <sheetData>
    <row r="2" spans="1:43" ht="17.100000000000001" customHeight="1">
      <c r="A2" s="2941"/>
      <c r="B2" s="2942"/>
      <c r="C2" s="2942"/>
      <c r="D2" s="2942"/>
      <c r="E2" s="2942"/>
      <c r="F2" s="2942"/>
      <c r="G2" s="2942"/>
      <c r="H2" s="2942"/>
      <c r="I2" s="2942"/>
      <c r="J2" s="3100" t="s">
        <v>206</v>
      </c>
      <c r="K2" s="3071"/>
      <c r="L2" s="2974"/>
      <c r="M2" s="2974"/>
      <c r="N2" s="2974"/>
      <c r="O2" s="2974"/>
      <c r="P2" s="2974"/>
      <c r="Q2" s="2975"/>
      <c r="U2" s="2946"/>
      <c r="AK2" s="2946"/>
    </row>
    <row r="3" spans="1:43" ht="17.100000000000001" customHeight="1">
      <c r="A3" s="2948"/>
      <c r="J3" s="3102" t="s">
        <v>82</v>
      </c>
      <c r="K3" s="3073"/>
      <c r="L3" s="2984"/>
      <c r="M3" s="2984"/>
      <c r="N3" s="2984"/>
      <c r="O3" s="2984"/>
      <c r="P3" s="2984"/>
      <c r="Q3" s="2993"/>
      <c r="U3" s="2946"/>
      <c r="AK3" s="2946"/>
    </row>
    <row r="4" spans="1:43" ht="17.100000000000001" customHeight="1">
      <c r="A4" s="2948"/>
      <c r="J4" s="3102" t="s">
        <v>77</v>
      </c>
      <c r="K4" s="3074"/>
      <c r="L4" s="2984"/>
      <c r="M4" s="2984"/>
      <c r="N4" s="2984"/>
      <c r="O4" s="3102" t="s">
        <v>76</v>
      </c>
      <c r="P4" s="3183"/>
      <c r="Q4" s="2993"/>
      <c r="U4" s="2953"/>
      <c r="AA4" s="2954"/>
      <c r="AK4" s="2953"/>
      <c r="AQ4" s="2954"/>
    </row>
    <row r="5" spans="1:43" ht="17.100000000000001" customHeight="1">
      <c r="A5" s="2948"/>
      <c r="J5" s="3105" t="s">
        <v>75</v>
      </c>
      <c r="K5" s="3077"/>
      <c r="L5" s="3003"/>
      <c r="M5" s="3003"/>
      <c r="N5" s="3003"/>
      <c r="O5" s="3105" t="s">
        <v>74</v>
      </c>
      <c r="P5" s="3077"/>
      <c r="Q5" s="3078"/>
      <c r="U5" s="2953"/>
      <c r="AA5" s="2953"/>
      <c r="AK5" s="2953"/>
      <c r="AQ5" s="2953"/>
    </row>
    <row r="6" spans="1:43" ht="17.100000000000001" customHeight="1">
      <c r="A6" s="2941"/>
      <c r="B6" s="2957"/>
      <c r="C6" s="2957"/>
      <c r="D6" s="2957"/>
      <c r="E6" s="2957"/>
      <c r="F6" s="2957"/>
      <c r="G6" s="2957"/>
      <c r="H6" s="2957"/>
      <c r="I6" s="2957"/>
      <c r="J6" s="2957"/>
      <c r="K6" s="2957"/>
      <c r="L6" s="2957"/>
      <c r="M6" s="2957"/>
      <c r="N6" s="2957"/>
      <c r="O6" s="2957"/>
      <c r="P6" s="2957"/>
      <c r="Q6" s="3118"/>
      <c r="U6" s="2945"/>
      <c r="V6" s="2945"/>
      <c r="W6" s="2945"/>
      <c r="X6" s="2945"/>
      <c r="Y6" s="2945"/>
      <c r="Z6" s="2945"/>
      <c r="AA6" s="2945"/>
      <c r="AC6" s="2945"/>
      <c r="AD6" s="2945"/>
      <c r="AE6" s="2945"/>
      <c r="AF6" s="2945"/>
      <c r="AG6" s="2945"/>
      <c r="AH6" s="2945"/>
      <c r="AI6" s="2945"/>
      <c r="AJ6" s="2945"/>
      <c r="AK6" s="2945"/>
      <c r="AL6" s="2945"/>
      <c r="AM6" s="2945"/>
      <c r="AN6" s="2945"/>
      <c r="AO6" s="2945"/>
      <c r="AP6" s="2945"/>
      <c r="AQ6" s="2945"/>
    </row>
    <row r="7" spans="1:43" ht="17.100000000000001" customHeight="1">
      <c r="A7" s="2948"/>
      <c r="B7" s="2961" t="s">
        <v>945</v>
      </c>
      <c r="C7" s="2960"/>
      <c r="D7" s="2960"/>
      <c r="E7" s="2960"/>
      <c r="F7" s="2960"/>
      <c r="G7" s="2960"/>
      <c r="H7" s="2961"/>
      <c r="I7" s="2961"/>
      <c r="J7" s="2960"/>
      <c r="K7" s="2960"/>
      <c r="L7" s="2960"/>
      <c r="M7" s="2960"/>
      <c r="N7" s="2960"/>
      <c r="O7" s="2960"/>
      <c r="P7" s="2960"/>
      <c r="Q7" s="3119"/>
      <c r="S7" s="2963"/>
      <c r="U7" s="2960"/>
      <c r="V7" s="2960"/>
      <c r="W7" s="2960"/>
      <c r="X7" s="2960"/>
      <c r="Y7" s="2960"/>
      <c r="Z7" s="2960"/>
      <c r="AA7" s="2960"/>
      <c r="AC7" s="2961"/>
      <c r="AD7" s="2960"/>
      <c r="AE7" s="2960"/>
      <c r="AF7" s="2960"/>
      <c r="AG7" s="2960"/>
      <c r="AH7" s="2961"/>
      <c r="AI7" s="2961"/>
      <c r="AJ7" s="2960"/>
      <c r="AK7" s="2960"/>
      <c r="AL7" s="2960"/>
      <c r="AM7" s="2960"/>
      <c r="AN7" s="2960"/>
      <c r="AO7" s="2960"/>
      <c r="AP7" s="2960"/>
      <c r="AQ7" s="2960"/>
    </row>
    <row r="8" spans="1:43" ht="17.100000000000001" customHeight="1">
      <c r="A8" s="2948"/>
      <c r="B8" s="2965"/>
      <c r="C8" s="2960"/>
      <c r="D8" s="2960"/>
      <c r="E8" s="2960"/>
      <c r="F8" s="2960"/>
      <c r="G8" s="2960"/>
      <c r="H8" s="2960"/>
      <c r="I8" s="2960"/>
      <c r="J8" s="2960"/>
      <c r="K8" s="2960"/>
      <c r="L8" s="2960"/>
      <c r="M8" s="2960"/>
      <c r="N8" s="2960"/>
      <c r="O8" s="2960"/>
      <c r="P8" s="2960"/>
      <c r="Q8" s="3119"/>
      <c r="S8" s="3154" t="s">
        <v>1002</v>
      </c>
      <c r="T8" s="3182">
        <f>('Cu_Multi Consol pmdtn'!I38/'CU_Multi Saturasi pmdtn'!F22)*100</f>
        <v>1.7345050878815909</v>
      </c>
      <c r="U8" s="2960"/>
      <c r="V8" s="2960"/>
      <c r="W8" s="2960"/>
      <c r="X8" s="2960"/>
      <c r="Y8" s="2960"/>
      <c r="Z8" s="2960"/>
      <c r="AA8" s="2960"/>
      <c r="AC8" s="2965"/>
      <c r="AD8" s="2960"/>
      <c r="AE8" s="2960"/>
      <c r="AF8" s="2960"/>
      <c r="AG8" s="2960"/>
      <c r="AH8" s="2960"/>
      <c r="AI8" s="2960"/>
      <c r="AJ8" s="2960"/>
      <c r="AK8" s="2960"/>
      <c r="AL8" s="2960"/>
      <c r="AM8" s="2960"/>
      <c r="AN8" s="2960"/>
      <c r="AO8" s="2960"/>
      <c r="AP8" s="2960"/>
      <c r="AQ8" s="2960"/>
    </row>
    <row r="9" spans="1:43" ht="17.100000000000001" customHeight="1">
      <c r="A9" s="2948"/>
      <c r="C9" s="2947" t="s">
        <v>208</v>
      </c>
      <c r="D9" s="2947" t="s">
        <v>27</v>
      </c>
      <c r="E9" s="3081"/>
      <c r="F9" s="2953"/>
      <c r="L9" s="2947" t="s">
        <v>944</v>
      </c>
      <c r="N9" s="2947" t="s">
        <v>27</v>
      </c>
      <c r="Q9" s="2952"/>
      <c r="S9" s="3154" t="s">
        <v>1001</v>
      </c>
      <c r="T9" s="3182">
        <f>T8*(1/3)</f>
        <v>0.57816836262719695</v>
      </c>
      <c r="Z9" s="2953"/>
      <c r="AP9" s="2953"/>
    </row>
    <row r="10" spans="1:43" ht="17.100000000000001" customHeight="1">
      <c r="A10" s="2948"/>
      <c r="C10" s="2947" t="s">
        <v>1000</v>
      </c>
      <c r="D10" s="2947" t="s">
        <v>27</v>
      </c>
      <c r="E10" s="3081"/>
      <c r="F10" s="2953"/>
      <c r="G10" s="2953"/>
      <c r="L10" s="2947" t="s">
        <v>942</v>
      </c>
      <c r="N10" s="2947" t="s">
        <v>27</v>
      </c>
      <c r="Q10" s="2952"/>
      <c r="S10" s="3154" t="s">
        <v>999</v>
      </c>
      <c r="T10" s="3182">
        <f>T8*(2/3)</f>
        <v>1.1563367252543939</v>
      </c>
      <c r="AB10" s="2960"/>
      <c r="AC10" s="2960"/>
      <c r="AG10" s="2953"/>
    </row>
    <row r="11" spans="1:43" ht="17.100000000000001" customHeight="1">
      <c r="A11" s="2948"/>
      <c r="C11" s="2947" t="s">
        <v>210</v>
      </c>
      <c r="D11" s="2947" t="s">
        <v>27</v>
      </c>
      <c r="E11" s="3081"/>
      <c r="F11" s="2953"/>
      <c r="G11" s="2947" t="s">
        <v>68</v>
      </c>
      <c r="L11" s="2945" t="s">
        <v>941</v>
      </c>
      <c r="N11" s="2945" t="s">
        <v>27</v>
      </c>
      <c r="O11" s="2945"/>
      <c r="Q11" s="2952"/>
      <c r="S11" s="2947"/>
      <c r="T11" s="2947"/>
      <c r="V11" s="2977"/>
      <c r="W11" s="2960"/>
      <c r="X11" s="2960"/>
      <c r="Y11" s="2960"/>
      <c r="AB11" s="2978"/>
      <c r="AC11" s="2978"/>
      <c r="AD11" s="2978"/>
      <c r="AG11" s="2953"/>
      <c r="AL11" s="2945"/>
      <c r="AM11" s="2945"/>
      <c r="AN11" s="2945"/>
    </row>
    <row r="12" spans="1:43" ht="17.100000000000001" customHeight="1">
      <c r="A12" s="2948"/>
      <c r="O12" s="2960"/>
      <c r="P12" s="2960"/>
      <c r="Q12" s="2952"/>
      <c r="S12" s="2947"/>
      <c r="T12" s="2947"/>
      <c r="U12" s="2978"/>
      <c r="V12" s="2999"/>
      <c r="Y12" s="2988"/>
      <c r="AB12" s="2963"/>
      <c r="AC12" s="2963"/>
      <c r="AD12" s="2961"/>
      <c r="AE12" s="2960"/>
      <c r="AM12" s="2960"/>
      <c r="AN12" s="2960"/>
    </row>
    <row r="13" spans="1:43" ht="17.100000000000001" customHeight="1">
      <c r="A13" s="2948"/>
      <c r="C13" s="2947" t="s">
        <v>965</v>
      </c>
      <c r="F13" s="2947" t="s">
        <v>27</v>
      </c>
      <c r="G13" s="3184">
        <f>'Cu_Multi Consol pmdtn'!F15</f>
        <v>50</v>
      </c>
      <c r="H13" s="2947" t="s">
        <v>908</v>
      </c>
      <c r="L13" s="2947" t="s">
        <v>998</v>
      </c>
      <c r="N13" s="2947" t="s">
        <v>27</v>
      </c>
      <c r="O13" s="3185">
        <v>1122.98</v>
      </c>
      <c r="P13" s="2945" t="s">
        <v>721</v>
      </c>
      <c r="Q13" s="2952"/>
      <c r="S13" s="2947"/>
      <c r="T13" s="2947"/>
      <c r="U13" s="2978"/>
      <c r="V13" s="2979"/>
      <c r="Y13" s="2988"/>
      <c r="Z13" s="2989"/>
      <c r="AB13" s="2953"/>
      <c r="AC13" s="2953"/>
      <c r="AD13" s="2996"/>
      <c r="AE13" s="2999"/>
      <c r="AM13" s="2960"/>
      <c r="AN13" s="2960"/>
    </row>
    <row r="14" spans="1:43" ht="17.100000000000001" customHeight="1">
      <c r="A14" s="2948"/>
      <c r="C14" s="2947" t="s">
        <v>915</v>
      </c>
      <c r="F14" s="2947" t="s">
        <v>27</v>
      </c>
      <c r="G14" s="3184">
        <f>'Cu_Multi Consol pmdtn'!F16</f>
        <v>240</v>
      </c>
      <c r="H14" s="2947" t="s">
        <v>908</v>
      </c>
      <c r="L14" s="2947" t="s">
        <v>997</v>
      </c>
      <c r="N14" s="2947" t="s">
        <v>27</v>
      </c>
      <c r="O14" s="3185">
        <v>75.739999999999995</v>
      </c>
      <c r="P14" s="2945" t="s">
        <v>2</v>
      </c>
      <c r="Q14" s="2952"/>
      <c r="S14" s="2947"/>
      <c r="T14" s="2947"/>
      <c r="U14" s="2978"/>
      <c r="V14" s="2989"/>
      <c r="Y14" s="2988"/>
      <c r="Z14" s="2988"/>
      <c r="AD14" s="2953"/>
      <c r="AE14" s="2988"/>
      <c r="AM14" s="2960"/>
      <c r="AN14" s="2960"/>
    </row>
    <row r="15" spans="1:43" ht="17.100000000000001" customHeight="1">
      <c r="A15" s="2948"/>
      <c r="C15" s="2947" t="s">
        <v>914</v>
      </c>
      <c r="F15" s="2947" t="s">
        <v>27</v>
      </c>
      <c r="G15" s="3184">
        <f>'Cu_Multi Consol pmdtn'!F17</f>
        <v>190</v>
      </c>
      <c r="H15" s="2947" t="s">
        <v>908</v>
      </c>
      <c r="L15" s="2947" t="s">
        <v>996</v>
      </c>
      <c r="N15" s="2947" t="s">
        <v>27</v>
      </c>
      <c r="O15" s="3185">
        <f>'CU_Multi Saturasi pmdtn'!F22-'Cu_Multi Consol pmdtn'!I38</f>
        <v>84.98</v>
      </c>
      <c r="P15" s="2945" t="s">
        <v>615</v>
      </c>
      <c r="Q15" s="2952"/>
      <c r="S15" s="2947"/>
      <c r="T15" s="2947"/>
      <c r="U15" s="2978"/>
      <c r="V15" s="2979"/>
      <c r="W15" s="2978"/>
      <c r="X15" s="2978"/>
      <c r="Y15" s="2979"/>
      <c r="Z15" s="2977"/>
      <c r="AE15" s="2977"/>
      <c r="AM15" s="2960"/>
      <c r="AN15" s="2960"/>
    </row>
    <row r="16" spans="1:43" ht="17.100000000000001" customHeight="1">
      <c r="A16" s="2948"/>
      <c r="C16" s="2947" t="s">
        <v>973</v>
      </c>
      <c r="F16" s="2947" t="s">
        <v>27</v>
      </c>
      <c r="G16" s="3186">
        <f>'Cu_Multi Consol pmdtn'!F18</f>
        <v>229</v>
      </c>
      <c r="H16" s="2947" t="s">
        <v>908</v>
      </c>
      <c r="L16" s="2947" t="s">
        <v>995</v>
      </c>
      <c r="N16" s="2947" t="s">
        <v>27</v>
      </c>
      <c r="O16" s="3184"/>
      <c r="P16" s="2960"/>
      <c r="Q16" s="2952"/>
      <c r="S16" s="2947"/>
      <c r="T16" s="2947"/>
      <c r="W16" s="2978"/>
      <c r="X16" s="2978"/>
      <c r="Y16" s="2988"/>
      <c r="Z16" s="2988"/>
      <c r="AD16" s="2989"/>
      <c r="AE16" s="2989"/>
      <c r="AM16" s="2960"/>
      <c r="AN16" s="2960"/>
    </row>
    <row r="17" spans="1:40" ht="17.100000000000001" customHeight="1">
      <c r="A17" s="2948"/>
      <c r="C17" s="2947" t="s">
        <v>963</v>
      </c>
      <c r="F17" s="2947" t="s">
        <v>27</v>
      </c>
      <c r="G17" s="3186">
        <f>'Cu_Multi Consol pmdtn'!F19</f>
        <v>39</v>
      </c>
      <c r="H17" s="2947" t="s">
        <v>908</v>
      </c>
      <c r="L17" s="2947" t="s">
        <v>994</v>
      </c>
      <c r="N17" s="2947" t="s">
        <v>27</v>
      </c>
      <c r="O17" s="3187">
        <v>1.1830000000000001</v>
      </c>
      <c r="P17" s="2945" t="s">
        <v>595</v>
      </c>
      <c r="Q17" s="2952"/>
      <c r="S17" s="2947"/>
      <c r="T17" s="2947"/>
      <c r="W17" s="2960"/>
      <c r="X17" s="2960"/>
      <c r="AM17" s="2960"/>
      <c r="AN17" s="2960"/>
    </row>
    <row r="18" spans="1:40" ht="17.100000000000001" customHeight="1">
      <c r="A18" s="2948"/>
      <c r="C18" s="2978" t="str">
        <f>'Cu_Multi Consol pmdtn'!B20</f>
        <v>With</v>
      </c>
      <c r="E18" s="2947" t="str">
        <f>'Cu_Multi Consol pmdtn'!D20</f>
        <v>Side drains</v>
      </c>
      <c r="O18" s="2960"/>
      <c r="Q18" s="2952"/>
      <c r="S18" s="2947"/>
      <c r="T18" s="2947"/>
      <c r="W18" s="2960"/>
      <c r="X18" s="2960"/>
      <c r="AM18" s="2960"/>
      <c r="AN18" s="2960"/>
    </row>
    <row r="19" spans="1:40" ht="17.100000000000001" customHeight="1">
      <c r="A19" s="2948"/>
      <c r="O19" s="2960"/>
      <c r="Q19" s="2952"/>
      <c r="S19" s="2947"/>
      <c r="T19" s="2947"/>
      <c r="W19" s="2960"/>
      <c r="X19" s="2960"/>
      <c r="AM19" s="2960"/>
      <c r="AN19" s="2960"/>
    </row>
    <row r="20" spans="1:40" ht="17.100000000000001" customHeight="1">
      <c r="A20" s="2948"/>
      <c r="B20" s="2966" t="s">
        <v>993</v>
      </c>
      <c r="O20" s="2960"/>
      <c r="Q20" s="2952"/>
      <c r="S20" s="2947"/>
      <c r="T20" s="2947"/>
      <c r="W20" s="2960"/>
      <c r="X20" s="2960"/>
      <c r="AM20" s="2960"/>
      <c r="AN20" s="2960"/>
    </row>
    <row r="21" spans="1:40" ht="17.100000000000001" customHeight="1">
      <c r="A21" s="2948"/>
      <c r="O21" s="2960"/>
      <c r="P21" s="2945"/>
      <c r="Q21" s="3122"/>
      <c r="S21" s="2947"/>
      <c r="T21" s="2947"/>
      <c r="W21" s="2960"/>
      <c r="X21" s="2960"/>
      <c r="AM21" s="2960"/>
      <c r="AN21" s="2960"/>
    </row>
    <row r="22" spans="1:40" s="3019" customFormat="1" ht="25.5" customHeight="1">
      <c r="A22" s="3011"/>
      <c r="B22" s="4868" t="s">
        <v>992</v>
      </c>
      <c r="C22" s="4868"/>
      <c r="D22" s="3188"/>
      <c r="E22" s="4869" t="s">
        <v>358</v>
      </c>
      <c r="F22" s="3189"/>
      <c r="G22" s="4845" t="s">
        <v>991</v>
      </c>
      <c r="H22" s="4868"/>
      <c r="I22" s="4843" t="s">
        <v>913</v>
      </c>
      <c r="J22" s="4845"/>
      <c r="K22" s="3016" t="s">
        <v>577</v>
      </c>
      <c r="L22" s="4843" t="s">
        <v>990</v>
      </c>
      <c r="M22" s="4844"/>
      <c r="N22" s="4844"/>
      <c r="O22" s="4844"/>
      <c r="P22" s="4845"/>
      <c r="Q22" s="3190"/>
      <c r="S22" s="2947"/>
      <c r="T22" s="2947"/>
      <c r="U22" s="3020"/>
      <c r="V22" s="3191"/>
      <c r="W22" s="3020"/>
      <c r="X22" s="3020"/>
      <c r="Y22" s="3020"/>
      <c r="Z22" s="3020"/>
      <c r="AA22" s="3191"/>
      <c r="AB22" s="3191"/>
      <c r="AC22" s="3018"/>
      <c r="AD22" s="3020"/>
      <c r="AE22" s="3192"/>
      <c r="AM22" s="3020"/>
      <c r="AN22" s="3020"/>
    </row>
    <row r="23" spans="1:40" s="3019" customFormat="1" ht="25.5" customHeight="1">
      <c r="A23" s="3011"/>
      <c r="B23" s="3016" t="s">
        <v>6</v>
      </c>
      <c r="C23" s="3016" t="s">
        <v>989</v>
      </c>
      <c r="D23" s="3193"/>
      <c r="E23" s="4870"/>
      <c r="F23" s="3194"/>
      <c r="G23" s="3195" t="s">
        <v>6</v>
      </c>
      <c r="H23" s="3016" t="s">
        <v>174</v>
      </c>
      <c r="I23" s="3016" t="s">
        <v>978</v>
      </c>
      <c r="J23" s="3016" t="s">
        <v>988</v>
      </c>
      <c r="K23" s="3196" t="s">
        <v>987</v>
      </c>
      <c r="L23" s="3016" t="s">
        <v>986</v>
      </c>
      <c r="M23" s="3016" t="s">
        <v>985</v>
      </c>
      <c r="N23" s="3197"/>
      <c r="O23" s="3197" t="s">
        <v>984</v>
      </c>
      <c r="P23" s="3016" t="s">
        <v>983</v>
      </c>
      <c r="Q23" s="3190"/>
      <c r="S23" s="2947"/>
      <c r="T23" s="2947"/>
      <c r="U23" s="3020"/>
      <c r="V23" s="3191"/>
      <c r="W23" s="3020"/>
      <c r="X23" s="3020"/>
      <c r="Y23" s="3020"/>
      <c r="Z23" s="3192"/>
      <c r="AA23" s="3198"/>
      <c r="AB23" s="3198"/>
      <c r="AC23" s="3199"/>
      <c r="AD23" s="3191"/>
      <c r="AE23" s="3198"/>
      <c r="AM23" s="3020"/>
      <c r="AN23" s="3020"/>
    </row>
    <row r="24" spans="1:40" ht="17.100000000000001" customHeight="1">
      <c r="A24" s="2948"/>
      <c r="B24" s="3200"/>
      <c r="C24" s="3130" t="s">
        <v>2</v>
      </c>
      <c r="D24" s="2949"/>
      <c r="E24" s="3129" t="s">
        <v>1</v>
      </c>
      <c r="F24" s="2969"/>
      <c r="G24" s="3201" t="s">
        <v>982</v>
      </c>
      <c r="H24" s="3130" t="s">
        <v>120</v>
      </c>
      <c r="I24" s="3130" t="s">
        <v>908</v>
      </c>
      <c r="J24" s="3130"/>
      <c r="K24" s="3130" t="s">
        <v>908</v>
      </c>
      <c r="L24" s="3130" t="s">
        <v>908</v>
      </c>
      <c r="M24" s="3130" t="s">
        <v>908</v>
      </c>
      <c r="N24" s="3129"/>
      <c r="O24" s="3129" t="s">
        <v>908</v>
      </c>
      <c r="P24" s="3202"/>
      <c r="Q24" s="3122"/>
      <c r="S24" s="2947"/>
      <c r="T24" s="2947"/>
      <c r="U24" s="2960"/>
      <c r="V24" s="2996"/>
      <c r="W24" s="2960"/>
      <c r="X24" s="2960"/>
      <c r="Y24" s="2960"/>
      <c r="Z24" s="2960"/>
      <c r="AA24" s="2977"/>
      <c r="AB24" s="2977"/>
      <c r="AC24" s="2945"/>
      <c r="AD24" s="2960"/>
      <c r="AE24" s="2960"/>
      <c r="AM24" s="2960"/>
      <c r="AN24" s="2960"/>
    </row>
    <row r="25" spans="1:40" ht="17.100000000000001" customHeight="1">
      <c r="A25" s="2948"/>
      <c r="B25" s="3203">
        <v>0</v>
      </c>
      <c r="C25" s="3204">
        <v>0</v>
      </c>
      <c r="D25" s="3205"/>
      <c r="E25" s="3206">
        <f t="shared" ref="E25:E51" si="0">(C25/$O$14)*100</f>
        <v>0</v>
      </c>
      <c r="F25" s="3207"/>
      <c r="G25" s="3208">
        <v>0</v>
      </c>
      <c r="H25" s="3209">
        <v>0</v>
      </c>
      <c r="I25" s="3209">
        <v>190</v>
      </c>
      <c r="J25" s="3210">
        <v>0</v>
      </c>
      <c r="K25" s="3210">
        <v>0</v>
      </c>
      <c r="L25" s="3211">
        <f t="shared" ref="L25:L51" si="1">$G$14+K25</f>
        <v>240</v>
      </c>
      <c r="M25" s="3211">
        <f t="shared" ref="M25:M51" si="2">L25-I25</f>
        <v>50</v>
      </c>
      <c r="N25" s="3205"/>
      <c r="O25" s="3205">
        <f t="shared" ref="O25:O51" si="3">$G$14-I25</f>
        <v>50</v>
      </c>
      <c r="P25" s="3210">
        <f t="shared" ref="P25:P51" si="4">M25/O25</f>
        <v>1</v>
      </c>
      <c r="Q25" s="3122"/>
      <c r="S25" s="2947"/>
      <c r="T25" s="2947"/>
      <c r="U25" s="2960"/>
      <c r="V25" s="2977"/>
      <c r="W25" s="3066"/>
      <c r="X25" s="3212"/>
      <c r="Y25" s="2965"/>
      <c r="Z25" s="2965"/>
      <c r="AA25" s="2977"/>
      <c r="AB25" s="2979"/>
      <c r="AC25" s="2945"/>
      <c r="AD25" s="3064"/>
      <c r="AE25" s="3064"/>
      <c r="AM25" s="2960"/>
      <c r="AN25" s="2960"/>
    </row>
    <row r="26" spans="1:40" ht="17.100000000000001" customHeight="1">
      <c r="A26" s="2948"/>
      <c r="B26" s="3213">
        <v>10</v>
      </c>
      <c r="C26" s="3214">
        <f t="shared" ref="C26:C51" si="5">(B26-$B$25)/100</f>
        <v>0.1</v>
      </c>
      <c r="D26" s="3215"/>
      <c r="E26" s="3206">
        <f t="shared" si="0"/>
        <v>0.13203063110641672</v>
      </c>
      <c r="F26" s="2985"/>
      <c r="G26" s="3216">
        <v>12.9</v>
      </c>
      <c r="H26" s="3217">
        <f t="shared" ref="H26:H51" si="6">G26*$O$17</f>
        <v>15.260700000000002</v>
      </c>
      <c r="I26" s="3218">
        <v>190.8</v>
      </c>
      <c r="J26" s="3219">
        <f t="shared" ref="J26:J51" si="7">I26-$I$25</f>
        <v>0.80000000000001137</v>
      </c>
      <c r="K26" s="3214">
        <f t="shared" ref="K26:K51" si="8">(H26/$O$13)*((1-(E26/100)))*1000</f>
        <v>13.571525050738877</v>
      </c>
      <c r="L26" s="3211">
        <f t="shared" si="1"/>
        <v>253.57152505073887</v>
      </c>
      <c r="M26" s="3211">
        <f t="shared" si="2"/>
        <v>62.771525050738859</v>
      </c>
      <c r="N26" s="3220"/>
      <c r="O26" s="3215">
        <f t="shared" si="3"/>
        <v>49.199999999999989</v>
      </c>
      <c r="P26" s="3221">
        <f t="shared" si="4"/>
        <v>1.2758440050963185</v>
      </c>
      <c r="Q26" s="3122"/>
      <c r="R26" s="3044"/>
      <c r="W26" s="2960"/>
      <c r="X26" s="2960"/>
      <c r="AM26" s="2960"/>
      <c r="AN26" s="2960"/>
    </row>
    <row r="27" spans="1:40" ht="17.100000000000001" customHeight="1">
      <c r="A27" s="2948"/>
      <c r="B27" s="3213">
        <v>20</v>
      </c>
      <c r="C27" s="3214">
        <f t="shared" si="5"/>
        <v>0.2</v>
      </c>
      <c r="D27" s="3215"/>
      <c r="E27" s="3206">
        <f t="shared" si="0"/>
        <v>0.26406126221283344</v>
      </c>
      <c r="F27" s="2985"/>
      <c r="G27" s="3216">
        <v>20.399999999999999</v>
      </c>
      <c r="H27" s="3217">
        <f t="shared" si="6"/>
        <v>24.133199999999999</v>
      </c>
      <c r="I27" s="3218">
        <v>191.1</v>
      </c>
      <c r="J27" s="3219">
        <f t="shared" si="7"/>
        <v>1.0999999999999943</v>
      </c>
      <c r="K27" s="3214">
        <f t="shared" si="8"/>
        <v>21.433572786218498</v>
      </c>
      <c r="L27" s="3211">
        <f t="shared" si="1"/>
        <v>261.43357278621852</v>
      </c>
      <c r="M27" s="3211">
        <f t="shared" si="2"/>
        <v>70.333572786218525</v>
      </c>
      <c r="N27" s="3220"/>
      <c r="O27" s="3215">
        <f t="shared" si="3"/>
        <v>48.900000000000006</v>
      </c>
      <c r="P27" s="3221">
        <f t="shared" si="4"/>
        <v>1.4383143719063092</v>
      </c>
      <c r="Q27" s="3122"/>
      <c r="R27" s="3044"/>
      <c r="W27" s="2960"/>
      <c r="X27" s="2960"/>
      <c r="AM27" s="2960"/>
      <c r="AN27" s="2960"/>
    </row>
    <row r="28" spans="1:40" ht="17.100000000000001" customHeight="1">
      <c r="A28" s="2948"/>
      <c r="B28" s="3213">
        <v>40</v>
      </c>
      <c r="C28" s="3214">
        <f t="shared" si="5"/>
        <v>0.4</v>
      </c>
      <c r="D28" s="3215"/>
      <c r="E28" s="3206">
        <f t="shared" si="0"/>
        <v>0.52812252442566687</v>
      </c>
      <c r="F28" s="2985"/>
      <c r="G28" s="3216">
        <v>36.700000000000003</v>
      </c>
      <c r="H28" s="3217">
        <f t="shared" si="6"/>
        <v>43.416100000000007</v>
      </c>
      <c r="I28" s="3218">
        <v>191.9</v>
      </c>
      <c r="J28" s="3219">
        <f t="shared" si="7"/>
        <v>1.9000000000000057</v>
      </c>
      <c r="K28" s="3214">
        <f t="shared" si="8"/>
        <v>38.457327643121729</v>
      </c>
      <c r="L28" s="3211">
        <f t="shared" si="1"/>
        <v>278.45732764312174</v>
      </c>
      <c r="M28" s="3211">
        <f t="shared" si="2"/>
        <v>86.557327643121738</v>
      </c>
      <c r="N28" s="3220"/>
      <c r="O28" s="3215">
        <f t="shared" si="3"/>
        <v>48.099999999999994</v>
      </c>
      <c r="P28" s="3221">
        <f t="shared" si="4"/>
        <v>1.7995286412291425</v>
      </c>
      <c r="Q28" s="3122"/>
      <c r="R28" s="3044"/>
      <c r="T28" s="3145"/>
      <c r="W28" s="2960"/>
      <c r="X28" s="2960"/>
      <c r="AM28" s="2960"/>
      <c r="AN28" s="2960"/>
    </row>
    <row r="29" spans="1:40" ht="17.100000000000001" customHeight="1">
      <c r="A29" s="2948"/>
      <c r="B29" s="3213">
        <v>60</v>
      </c>
      <c r="C29" s="3214">
        <f t="shared" si="5"/>
        <v>0.6</v>
      </c>
      <c r="D29" s="3215"/>
      <c r="E29" s="3206">
        <f t="shared" si="0"/>
        <v>0.79218378663850009</v>
      </c>
      <c r="F29" s="2985"/>
      <c r="G29" s="3216">
        <v>56.7</v>
      </c>
      <c r="H29" s="3217">
        <f t="shared" si="6"/>
        <v>67.076100000000011</v>
      </c>
      <c r="I29" s="3218">
        <v>192.9</v>
      </c>
      <c r="J29" s="3219">
        <f t="shared" si="7"/>
        <v>2.9000000000000057</v>
      </c>
      <c r="K29" s="3214">
        <f t="shared" si="8"/>
        <v>59.257274404789563</v>
      </c>
      <c r="L29" s="3211">
        <f t="shared" si="1"/>
        <v>299.25727440478954</v>
      </c>
      <c r="M29" s="3211">
        <f t="shared" si="2"/>
        <v>106.35727440478954</v>
      </c>
      <c r="N29" s="3220"/>
      <c r="O29" s="3215">
        <f t="shared" si="3"/>
        <v>47.099999999999994</v>
      </c>
      <c r="P29" s="3221">
        <f t="shared" si="4"/>
        <v>2.2581162294010522</v>
      </c>
      <c r="Q29" s="3122"/>
      <c r="R29" s="3044"/>
      <c r="S29" s="3222" t="s">
        <v>981</v>
      </c>
      <c r="T29" s="3222" t="s">
        <v>573</v>
      </c>
      <c r="U29" s="3223">
        <f>W29</f>
        <v>8.5819910219170854</v>
      </c>
      <c r="V29" s="3223"/>
      <c r="W29" s="3009">
        <f>IF($U$30=K26,E26,IF($U$30=K27,E27,IF($U$30=K28,E28,IF($U$30=K29,E29,IF($U$30=K30,E30,IF($U$30=K31,E31,IF($U$30=K32,E32,X29)))))))</f>
        <v>8.5819910219170854</v>
      </c>
      <c r="X29" s="3009">
        <f>IF($U$30=K33,E33,IF($U$30=K34,E34,IF($U$30=K35,E35,IF($U$30=K36,E36,IF($U$30=K37,E37,IF($U$30=K38,E38,IF($U$30=K39,E39,Y29)))))))</f>
        <v>8.5819910219170854</v>
      </c>
      <c r="Y29" s="3009">
        <f>IF($U$30=K40,E40,IF($U$30=K41,E41,IF($U$30=K42,E42,IF($U$30=K43,E43,IF($U$30=K44,E44,IF($U$30=K45,E45,IF($U$30=K46,E46,Z29)))))))</f>
        <v>8.5819910219170854</v>
      </c>
      <c r="Z29" s="3009">
        <f>IF($U$30=K47,E47,IF($U$30=K48,E48,IF($U$30=K49,E49,IF($U$30=K50,E50,IF($U$30=K51,E51,IF($U$30=K52,E52,IF($U$30=K53,E53,AA29)))))))</f>
        <v>8.5819910219170854</v>
      </c>
      <c r="AA29" s="3009">
        <f>IF($U$30=K54,E54,IF($U$30=K55,E55,IF($U$30=K56,E56,IF($U$30=K57,E57,IF($U$30=K58,E58,IF($U$30=K59,E59,IF($U$30=K60,E60,AB29)))))))</f>
        <v>0</v>
      </c>
      <c r="AB29" s="2979"/>
      <c r="AM29" s="2960"/>
      <c r="AN29" s="2960"/>
    </row>
    <row r="30" spans="1:40" ht="17.100000000000001" customHeight="1">
      <c r="A30" s="2948"/>
      <c r="B30" s="3213">
        <v>80</v>
      </c>
      <c r="C30" s="3214">
        <f t="shared" si="5"/>
        <v>0.8</v>
      </c>
      <c r="D30" s="3215"/>
      <c r="E30" s="3206">
        <f t="shared" si="0"/>
        <v>1.0562450488513337</v>
      </c>
      <c r="F30" s="2985"/>
      <c r="G30" s="3216">
        <v>81.8</v>
      </c>
      <c r="H30" s="3217">
        <f t="shared" si="6"/>
        <v>96.769400000000005</v>
      </c>
      <c r="I30" s="3218">
        <v>193.7</v>
      </c>
      <c r="J30" s="3219">
        <f t="shared" si="7"/>
        <v>3.6999999999999886</v>
      </c>
      <c r="K30" s="3214">
        <f t="shared" si="8"/>
        <v>85.261783828471451</v>
      </c>
      <c r="L30" s="3211">
        <f t="shared" si="1"/>
        <v>325.26178382847144</v>
      </c>
      <c r="M30" s="3211">
        <f t="shared" si="2"/>
        <v>131.56178382847145</v>
      </c>
      <c r="N30" s="3220"/>
      <c r="O30" s="3215">
        <f t="shared" si="3"/>
        <v>46.300000000000011</v>
      </c>
      <c r="P30" s="3221">
        <f t="shared" si="4"/>
        <v>2.8415072101181731</v>
      </c>
      <c r="Q30" s="3122"/>
      <c r="R30" s="3044"/>
      <c r="S30" s="3222" t="s">
        <v>980</v>
      </c>
      <c r="T30" s="3222" t="s">
        <v>979</v>
      </c>
      <c r="U30" s="3223">
        <f>MAX(K25:K63)</f>
        <v>216.58777350691122</v>
      </c>
      <c r="V30" s="3224"/>
      <c r="W30" s="3066"/>
      <c r="X30" s="3066"/>
      <c r="Y30" s="3224"/>
      <c r="Z30" s="3224"/>
      <c r="AA30" s="3224"/>
      <c r="AM30" s="2960"/>
      <c r="AN30" s="2960"/>
    </row>
    <row r="31" spans="1:40" ht="17.100000000000001" customHeight="1">
      <c r="A31" s="2948"/>
      <c r="B31" s="3213">
        <v>100</v>
      </c>
      <c r="C31" s="3214">
        <f t="shared" si="5"/>
        <v>1</v>
      </c>
      <c r="D31" s="3215"/>
      <c r="E31" s="3206">
        <f t="shared" si="0"/>
        <v>1.3203063110641671</v>
      </c>
      <c r="F31" s="2985"/>
      <c r="G31" s="3216">
        <v>96.5</v>
      </c>
      <c r="H31" s="3217">
        <f t="shared" si="6"/>
        <v>114.15950000000001</v>
      </c>
      <c r="I31" s="3218">
        <v>194.4</v>
      </c>
      <c r="J31" s="3219">
        <f t="shared" si="7"/>
        <v>4.4000000000000057</v>
      </c>
      <c r="K31" s="3214">
        <f t="shared" si="8"/>
        <v>100.31545077990766</v>
      </c>
      <c r="L31" s="3211">
        <f t="shared" si="1"/>
        <v>340.31545077990768</v>
      </c>
      <c r="M31" s="3211">
        <f t="shared" si="2"/>
        <v>145.91545077990767</v>
      </c>
      <c r="N31" s="3220"/>
      <c r="O31" s="3215">
        <f t="shared" si="3"/>
        <v>45.599999999999994</v>
      </c>
      <c r="P31" s="3221">
        <f t="shared" si="4"/>
        <v>3.1999002364014846</v>
      </c>
      <c r="Q31" s="3122"/>
      <c r="R31" s="3044"/>
      <c r="S31" s="3222"/>
      <c r="T31" s="3222" t="s">
        <v>978</v>
      </c>
      <c r="U31" s="3224">
        <f>W31</f>
        <v>202</v>
      </c>
      <c r="V31" s="3224"/>
      <c r="W31" s="3066">
        <f>IF($U$30=K26,I26,IF($U$30=K27,I27,IF($U$30=K28,I28,IF($U$30=K29,I29,IF($U$30=K30,I30,IF($U$30=K31,I31,IF($U$30=K32,I32,X31)))))))</f>
        <v>202</v>
      </c>
      <c r="X31" s="3066">
        <f>IF($U$30=K33,I33,IF($U$30=K34,I34,IF($U$30=K35,I35,IF($U$30=K36,I36,IF($U$30=K37,I37,IF($U$30=K38,I38,IF($U$30=K39,I39,Y31)))))))</f>
        <v>202</v>
      </c>
      <c r="Y31" s="3066">
        <f>IF($U$30=K40,I40,IF($U$30=K41,I41,IF($U$30=K42,I42,IF($U$30=K43,I43,IF($U$30=K44,I44,IF($U$30=K45,I45,IF($U$30=K46,I46,Z31)))))))</f>
        <v>202</v>
      </c>
      <c r="Z31" s="3066">
        <f>IF($U$30=K47,I47,IF($U$30=K48,I48,IF($U$30=K49,I49,IF($U$30=K50,I50,IF($U$30=K51,I51,IF($U$30=K52,I52,IF($U$30=K53,I53,AA31)))))))</f>
        <v>202</v>
      </c>
      <c r="AA31" s="3066">
        <f>IF($U$30=K54,I54,IF($U$30=K55,I55,IF($U$30=K56,I56,IF($U$30=K57,I57,IF($U$30=K58,I58,IF($U$30=K59,I59,IF($U$30=K60,I60,AB31)))))))</f>
        <v>0</v>
      </c>
      <c r="AB31" s="2979"/>
      <c r="AM31" s="2960"/>
      <c r="AN31" s="2960"/>
    </row>
    <row r="32" spans="1:40" ht="17.100000000000001" customHeight="1">
      <c r="A32" s="2948"/>
      <c r="B32" s="3213">
        <v>120</v>
      </c>
      <c r="C32" s="3214">
        <f t="shared" si="5"/>
        <v>1.2</v>
      </c>
      <c r="D32" s="3215"/>
      <c r="E32" s="3206">
        <f t="shared" si="0"/>
        <v>1.5843675732770002</v>
      </c>
      <c r="F32" s="2985"/>
      <c r="G32" s="3216">
        <v>107.1</v>
      </c>
      <c r="H32" s="3217">
        <f t="shared" si="6"/>
        <v>126.69929999999999</v>
      </c>
      <c r="I32" s="3218">
        <v>194.7</v>
      </c>
      <c r="J32" s="3219">
        <f t="shared" si="7"/>
        <v>4.6999999999999886</v>
      </c>
      <c r="K32" s="3214">
        <f t="shared" si="8"/>
        <v>111.03663233114663</v>
      </c>
      <c r="L32" s="3211">
        <f t="shared" si="1"/>
        <v>351.03663233114662</v>
      </c>
      <c r="M32" s="3211">
        <f t="shared" si="2"/>
        <v>156.33663233114663</v>
      </c>
      <c r="N32" s="3220"/>
      <c r="O32" s="3215">
        <f t="shared" si="3"/>
        <v>45.300000000000011</v>
      </c>
      <c r="P32" s="3221">
        <f t="shared" si="4"/>
        <v>3.4511397865595272</v>
      </c>
      <c r="Q32" s="3122"/>
      <c r="R32" s="3044"/>
      <c r="S32" s="3222"/>
      <c r="T32" s="3222" t="s">
        <v>977</v>
      </c>
      <c r="U32" s="3224">
        <f>W32</f>
        <v>38</v>
      </c>
      <c r="V32" s="3224"/>
      <c r="W32" s="3066">
        <f>IF($U$30=K26,O26,IF($U$30=K27,O27,IF($U$30=K28,O28,IF($U$30=K29,O29,IF($U$30=K30,O30,IF($U$30=K31,O31,IF($U$30=K32,O32,X32)))))))</f>
        <v>38</v>
      </c>
      <c r="X32" s="3066">
        <f>IF($U$30=K33,O33,IF($U$30=K34,O34,IF($U$30=K35,O35,IF($U$30=K36,O36,IF($U$30=K37,O37,IF($U$30=K38,O38,IF($U$30=K39,O39,Y32)))))))</f>
        <v>38</v>
      </c>
      <c r="Y32" s="3066">
        <f>IF($U$30=K40,O40,IF($U$30=K41,O41,IF($U$30=K42,O42,IF($U$30=K43,O43,IF($U$30=K44,O44,IF($U$30=K45,O45,IF($U$30=K46,O46,Z32)))))))</f>
        <v>38</v>
      </c>
      <c r="Z32" s="3066">
        <f>IF($U$30=K47,O47,IF($U$30=K48,O48,IF($U$30=K49,O49,IF($U$30=K50,O50,IF($U$30=K51,O51,IF($U$30=K52,O52,IF($U$30=K53,O53,AA32)))))))</f>
        <v>38</v>
      </c>
      <c r="AA32" s="3066">
        <f>IF($U$30=K54,O54,IF($U$30=K55,O55,IF($U$30=K56,O56,IF($U$30=K57,O57,IF($U$30=K58,O58,IF($U$30=K59,O59,IF($U$30=K60,O60,AB32)))))))</f>
        <v>0</v>
      </c>
      <c r="AB32" s="2979"/>
      <c r="AM32" s="2960"/>
      <c r="AN32" s="2960"/>
    </row>
    <row r="33" spans="1:43" ht="17.100000000000001" customHeight="1">
      <c r="A33" s="2948"/>
      <c r="B33" s="3213">
        <v>140</v>
      </c>
      <c r="C33" s="3214">
        <f t="shared" si="5"/>
        <v>1.4</v>
      </c>
      <c r="D33" s="3215"/>
      <c r="E33" s="3206">
        <f t="shared" si="0"/>
        <v>1.8484288354898337</v>
      </c>
      <c r="F33" s="2985"/>
      <c r="G33" s="3216">
        <v>118.8</v>
      </c>
      <c r="H33" s="3217">
        <f t="shared" si="6"/>
        <v>140.54040000000001</v>
      </c>
      <c r="I33" s="3218">
        <v>195.2</v>
      </c>
      <c r="J33" s="3219">
        <f t="shared" si="7"/>
        <v>5.1999999999999886</v>
      </c>
      <c r="K33" s="3214">
        <f t="shared" si="8"/>
        <v>122.83621321919112</v>
      </c>
      <c r="L33" s="3211">
        <f t="shared" si="1"/>
        <v>362.83621321919111</v>
      </c>
      <c r="M33" s="3211">
        <f t="shared" si="2"/>
        <v>167.63621321919112</v>
      </c>
      <c r="N33" s="3220"/>
      <c r="O33" s="3215">
        <f t="shared" si="3"/>
        <v>44.800000000000011</v>
      </c>
      <c r="P33" s="3221">
        <f t="shared" si="4"/>
        <v>3.7418797593569435</v>
      </c>
      <c r="Q33" s="3122"/>
      <c r="R33" s="3044"/>
      <c r="S33" s="3222"/>
      <c r="T33" s="3222" t="s">
        <v>976</v>
      </c>
      <c r="U33" s="3224">
        <f>W33</f>
        <v>254.58777350691122</v>
      </c>
      <c r="V33" s="3224"/>
      <c r="W33" s="3066">
        <f>IF($U$30=K26,M26,IF($U$30=K27,M27,IF($U$30=K28,M28,IF($U$30=K29,M29,IF($U$30=K30,M30,IF($U$30=K31,M31,IF($U$30=K32,M32,X33)))))))</f>
        <v>254.58777350691122</v>
      </c>
      <c r="X33" s="3066">
        <f>IF($U$30=K33,M33,IF($U$30=K34,M34,IF($U$30=K35,M35,IF($U$30=K36,M36,IF($U$30=K37,M37,IF($U$30=K38,M38,IF($U$30=K39,M39,Y33)))))))</f>
        <v>254.58777350691122</v>
      </c>
      <c r="Y33" s="3066">
        <f>IF($U$30=K40,M40,IF($U$30=K41,M41,IF($U$30=K42,M42,IF($U$30=K43,M43,IF($U$30=K44,M44,IF($U$30=K45,M45,IF($U$30=K46,M46,Z33)))))))</f>
        <v>254.58777350691122</v>
      </c>
      <c r="Z33" s="3066">
        <f>IF($U$30=K47,M47,IF($U$30=K48,M48,IF($U$30=K49,M49,IF($U$30=K50,M50,IF($U$30=K51,M51,IF($U$30=K52,M52,IF($U$30=K53,M53,AA33)))))))</f>
        <v>254.58777350691122</v>
      </c>
      <c r="AA33" s="3066">
        <f>IF($U$30=K54,M54,IF($U$30=K55,M55,IF($U$30=K56,M56,IF($U$30=K57,M57,IF($U$30=K58,M58,IF($U$30=K59,M59,IF($U$30=K60,M60,AB33)))))))</f>
        <v>0</v>
      </c>
      <c r="AB33" s="2979"/>
      <c r="AM33" s="2960"/>
      <c r="AN33" s="2960"/>
    </row>
    <row r="34" spans="1:43" ht="17.100000000000001" customHeight="1">
      <c r="A34" s="2948"/>
      <c r="B34" s="3213">
        <v>160</v>
      </c>
      <c r="C34" s="3214">
        <f t="shared" si="5"/>
        <v>1.6</v>
      </c>
      <c r="D34" s="3215"/>
      <c r="E34" s="3206">
        <f t="shared" si="0"/>
        <v>2.1124900977026675</v>
      </c>
      <c r="F34" s="2985"/>
      <c r="G34" s="3216">
        <v>125.3</v>
      </c>
      <c r="H34" s="3217">
        <f t="shared" si="6"/>
        <v>148.22990000000001</v>
      </c>
      <c r="I34" s="3218">
        <v>195.7</v>
      </c>
      <c r="J34" s="3219">
        <f t="shared" si="7"/>
        <v>5.6999999999999886</v>
      </c>
      <c r="K34" s="3214">
        <f t="shared" si="8"/>
        <v>129.20849707088766</v>
      </c>
      <c r="L34" s="3211">
        <f t="shared" si="1"/>
        <v>369.20849707088769</v>
      </c>
      <c r="M34" s="3211">
        <f t="shared" si="2"/>
        <v>173.5084970708877</v>
      </c>
      <c r="N34" s="3220"/>
      <c r="O34" s="3215">
        <f t="shared" si="3"/>
        <v>44.300000000000011</v>
      </c>
      <c r="P34" s="3221">
        <f t="shared" si="4"/>
        <v>3.9166703627739876</v>
      </c>
      <c r="Q34" s="3122"/>
      <c r="R34" s="3044"/>
      <c r="T34" s="3222" t="s">
        <v>975</v>
      </c>
      <c r="U34" s="3223">
        <f>W34</f>
        <v>456.58777350691122</v>
      </c>
      <c r="W34" s="3066">
        <f>IF($U$30=K26,L26,IF($U$30=K27,L27,IF($U$30=K28,L28,IF($U$30=K29,L29,IF($U$30=K30,L30,IF($U$30=K31,L31,IF($U$30=K32,L32,X34)))))))</f>
        <v>456.58777350691122</v>
      </c>
      <c r="X34" s="3066">
        <f>IF($U$30=K33,L33,IF($U$30=K34,L34,IF($U$30=K35,L35,IF($U$30=K36,L36,IF($U$30=K37,L37,IF($U$30=K38,L38,IF($U$30=K39,L39,Y34)))))))</f>
        <v>456.58777350691122</v>
      </c>
      <c r="Y34" s="3066">
        <f>IF($U$30=K40,L40,IF($U$30=K41,L41,IF($U$30=K42,L42,IF($U$30=K43,L43,IF($U$30=K44,L44,IF($U$30=K45,L45,IF($U$30=K46,L46,Z34)))))))</f>
        <v>456.58777350691122</v>
      </c>
      <c r="Z34" s="3066">
        <f>IF($U$30=K47,L47,IF($U$30=K48,L48,IF($U$30=K49,L49,IF($U$30=K50,L50,IF($U$30=K51,L51,IF($U$30=K52,L52,IF($U$30=K53,L53,AA34)))))))</f>
        <v>456.58777350691122</v>
      </c>
      <c r="AA34" s="3066">
        <f>IF($U$30=K54,L54,IF($U$30=K55,L55,IF($U$30=K56,L56,IF($U$30=K57,L57,IF($U$30=K58,L58,IF($U$30=K59,L59,IF($U$30=K60,L60,AB34)))))))</f>
        <v>0</v>
      </c>
      <c r="AM34" s="2960"/>
      <c r="AN34" s="2960"/>
    </row>
    <row r="35" spans="1:43" ht="17.100000000000001" customHeight="1">
      <c r="A35" s="2948"/>
      <c r="B35" s="3213">
        <v>180</v>
      </c>
      <c r="C35" s="3214">
        <f t="shared" si="5"/>
        <v>1.8</v>
      </c>
      <c r="D35" s="3215"/>
      <c r="E35" s="3206">
        <f t="shared" si="0"/>
        <v>2.3765513599155006</v>
      </c>
      <c r="F35" s="2985"/>
      <c r="G35" s="3216">
        <v>129</v>
      </c>
      <c r="H35" s="3217">
        <f t="shared" si="6"/>
        <v>152.607</v>
      </c>
      <c r="I35" s="3218">
        <v>196.6</v>
      </c>
      <c r="J35" s="3219">
        <f t="shared" si="7"/>
        <v>6.5999999999999943</v>
      </c>
      <c r="K35" s="3214">
        <f t="shared" si="8"/>
        <v>132.6650664002687</v>
      </c>
      <c r="L35" s="3211">
        <f t="shared" si="1"/>
        <v>372.6650664002687</v>
      </c>
      <c r="M35" s="3211">
        <f t="shared" si="2"/>
        <v>176.06506640026871</v>
      </c>
      <c r="N35" s="3220"/>
      <c r="O35" s="3215">
        <f t="shared" si="3"/>
        <v>43.400000000000006</v>
      </c>
      <c r="P35" s="3221">
        <f t="shared" si="4"/>
        <v>4.0567987649831494</v>
      </c>
      <c r="Q35" s="3122"/>
      <c r="R35" s="3044"/>
      <c r="T35" s="3222" t="s">
        <v>974</v>
      </c>
      <c r="U35" s="3223">
        <f>U34-U30</f>
        <v>240</v>
      </c>
      <c r="W35" s="2960"/>
      <c r="X35" s="2960"/>
      <c r="AM35" s="2960"/>
      <c r="AN35" s="2960"/>
    </row>
    <row r="36" spans="1:43" ht="17.100000000000001" customHeight="1">
      <c r="A36" s="2948"/>
      <c r="B36" s="3213">
        <v>200</v>
      </c>
      <c r="C36" s="3214">
        <f t="shared" si="5"/>
        <v>2</v>
      </c>
      <c r="D36" s="3215"/>
      <c r="E36" s="3206">
        <f t="shared" si="0"/>
        <v>2.6406126221283341</v>
      </c>
      <c r="F36" s="2985"/>
      <c r="G36" s="3216">
        <v>135.6</v>
      </c>
      <c r="H36" s="3217">
        <f t="shared" si="6"/>
        <v>160.41480000000001</v>
      </c>
      <c r="I36" s="3218">
        <v>197.5</v>
      </c>
      <c r="J36" s="3219">
        <f t="shared" si="7"/>
        <v>7.5</v>
      </c>
      <c r="K36" s="3214">
        <f t="shared" si="8"/>
        <v>139.07537671502439</v>
      </c>
      <c r="L36" s="3211">
        <f t="shared" si="1"/>
        <v>379.07537671502439</v>
      </c>
      <c r="M36" s="3211">
        <f t="shared" si="2"/>
        <v>181.57537671502439</v>
      </c>
      <c r="N36" s="3220"/>
      <c r="O36" s="3215">
        <f t="shared" si="3"/>
        <v>42.5</v>
      </c>
      <c r="P36" s="3221">
        <f t="shared" si="4"/>
        <v>4.272361805059397</v>
      </c>
      <c r="Q36" s="3122"/>
      <c r="R36" s="3044"/>
      <c r="T36" s="3222"/>
      <c r="U36" s="3224"/>
      <c r="W36" s="2960"/>
      <c r="X36" s="2960"/>
      <c r="AM36" s="2960"/>
      <c r="AN36" s="2960"/>
    </row>
    <row r="37" spans="1:43" ht="17.100000000000001" customHeight="1">
      <c r="A37" s="2948"/>
      <c r="B37" s="3213">
        <v>220</v>
      </c>
      <c r="C37" s="3214">
        <f t="shared" si="5"/>
        <v>2.2000000000000002</v>
      </c>
      <c r="D37" s="3215"/>
      <c r="E37" s="3206">
        <f t="shared" si="0"/>
        <v>2.9046738843411677</v>
      </c>
      <c r="F37" s="2985"/>
      <c r="G37" s="3216">
        <v>141.30000000000001</v>
      </c>
      <c r="H37" s="3217">
        <f t="shared" si="6"/>
        <v>167.15790000000001</v>
      </c>
      <c r="I37" s="3218">
        <v>198.2</v>
      </c>
      <c r="J37" s="3219">
        <f t="shared" si="7"/>
        <v>8.1999999999999886</v>
      </c>
      <c r="K37" s="3214">
        <f t="shared" si="8"/>
        <v>144.52840489865082</v>
      </c>
      <c r="L37" s="3211">
        <f t="shared" si="1"/>
        <v>384.52840489865082</v>
      </c>
      <c r="M37" s="3211">
        <f t="shared" si="2"/>
        <v>186.32840489865083</v>
      </c>
      <c r="N37" s="3220"/>
      <c r="O37" s="3215">
        <f t="shared" si="3"/>
        <v>41.800000000000011</v>
      </c>
      <c r="P37" s="3221">
        <f t="shared" si="4"/>
        <v>4.457617342072985</v>
      </c>
      <c r="Q37" s="3122"/>
      <c r="R37" s="3044"/>
      <c r="W37" s="2960"/>
      <c r="X37" s="2960"/>
      <c r="AM37" s="2960"/>
      <c r="AN37" s="2960"/>
    </row>
    <row r="38" spans="1:43" ht="17.100000000000001" customHeight="1">
      <c r="A38" s="2948"/>
      <c r="B38" s="3213">
        <v>240</v>
      </c>
      <c r="C38" s="3214">
        <f t="shared" si="5"/>
        <v>2.4</v>
      </c>
      <c r="D38" s="3215"/>
      <c r="E38" s="3206">
        <f t="shared" si="0"/>
        <v>3.1687351465540003</v>
      </c>
      <c r="F38" s="2985"/>
      <c r="G38" s="3216">
        <v>145.1</v>
      </c>
      <c r="H38" s="3217">
        <f t="shared" si="6"/>
        <v>171.6533</v>
      </c>
      <c r="I38" s="3218">
        <v>198.9</v>
      </c>
      <c r="J38" s="3219">
        <f t="shared" si="7"/>
        <v>8.9000000000000057</v>
      </c>
      <c r="K38" s="3214">
        <f t="shared" si="8"/>
        <v>148.01159553391886</v>
      </c>
      <c r="L38" s="3211">
        <f t="shared" si="1"/>
        <v>388.01159553391886</v>
      </c>
      <c r="M38" s="3211">
        <f t="shared" si="2"/>
        <v>189.11159553391886</v>
      </c>
      <c r="N38" s="3220"/>
      <c r="O38" s="3215">
        <f t="shared" si="3"/>
        <v>41.099999999999994</v>
      </c>
      <c r="P38" s="3221">
        <f t="shared" si="4"/>
        <v>4.6012553657887807</v>
      </c>
      <c r="Q38" s="3122"/>
      <c r="R38" s="3044"/>
      <c r="W38" s="2960"/>
      <c r="X38" s="2960"/>
      <c r="AM38" s="2960"/>
      <c r="AN38" s="2960"/>
    </row>
    <row r="39" spans="1:43" ht="17.100000000000001" customHeight="1">
      <c r="A39" s="2948"/>
      <c r="B39" s="3213">
        <v>260</v>
      </c>
      <c r="C39" s="3214">
        <f t="shared" si="5"/>
        <v>2.6</v>
      </c>
      <c r="D39" s="3215"/>
      <c r="E39" s="3206">
        <f t="shared" si="0"/>
        <v>3.4327964087668339</v>
      </c>
      <c r="F39" s="2985"/>
      <c r="G39" s="3218">
        <v>148.9</v>
      </c>
      <c r="H39" s="3217">
        <f t="shared" si="6"/>
        <v>176.14870000000002</v>
      </c>
      <c r="I39" s="3218">
        <v>199.2</v>
      </c>
      <c r="J39" s="3219">
        <f t="shared" si="7"/>
        <v>9.1999999999999886</v>
      </c>
      <c r="K39" s="3214">
        <f t="shared" si="8"/>
        <v>151.47364490223384</v>
      </c>
      <c r="L39" s="3211">
        <f t="shared" si="1"/>
        <v>391.47364490223384</v>
      </c>
      <c r="M39" s="3211">
        <f t="shared" si="2"/>
        <v>192.27364490223385</v>
      </c>
      <c r="N39" s="3220"/>
      <c r="O39" s="3215">
        <f t="shared" si="3"/>
        <v>40.800000000000011</v>
      </c>
      <c r="P39" s="3221">
        <f t="shared" si="4"/>
        <v>4.7125893358390636</v>
      </c>
      <c r="Q39" s="3122"/>
      <c r="R39" s="3044"/>
      <c r="W39" s="2960"/>
      <c r="X39" s="2960"/>
      <c r="AM39" s="2960"/>
      <c r="AN39" s="2960"/>
    </row>
    <row r="40" spans="1:43" ht="17.100000000000001" customHeight="1">
      <c r="A40" s="2948"/>
      <c r="B40" s="3213">
        <v>280</v>
      </c>
      <c r="C40" s="3214">
        <f t="shared" si="5"/>
        <v>2.8</v>
      </c>
      <c r="D40" s="3215"/>
      <c r="E40" s="3206">
        <f t="shared" si="0"/>
        <v>3.6968576709796674</v>
      </c>
      <c r="F40" s="3215"/>
      <c r="G40" s="3218">
        <v>151</v>
      </c>
      <c r="H40" s="3217">
        <f t="shared" si="6"/>
        <v>178.63300000000001</v>
      </c>
      <c r="I40" s="3218">
        <v>199.7</v>
      </c>
      <c r="J40" s="3219">
        <f t="shared" si="7"/>
        <v>9.6999999999999886</v>
      </c>
      <c r="K40" s="3214">
        <f t="shared" si="8"/>
        <v>153.18989851698061</v>
      </c>
      <c r="L40" s="3211">
        <f t="shared" si="1"/>
        <v>393.18989851698063</v>
      </c>
      <c r="M40" s="3211">
        <f t="shared" si="2"/>
        <v>193.48989851698065</v>
      </c>
      <c r="N40" s="3220"/>
      <c r="O40" s="3215">
        <f t="shared" si="3"/>
        <v>40.300000000000011</v>
      </c>
      <c r="P40" s="3221">
        <f t="shared" si="4"/>
        <v>4.8012381766000143</v>
      </c>
      <c r="Q40" s="3122"/>
      <c r="R40" s="3044"/>
      <c r="W40" s="2960"/>
      <c r="X40" s="2960"/>
      <c r="AM40" s="2960"/>
      <c r="AN40" s="2960"/>
    </row>
    <row r="41" spans="1:43" ht="17.100000000000001" customHeight="1">
      <c r="A41" s="2948"/>
      <c r="B41" s="3213">
        <v>300</v>
      </c>
      <c r="C41" s="3214">
        <f t="shared" si="5"/>
        <v>3</v>
      </c>
      <c r="D41" s="3215"/>
      <c r="E41" s="3206">
        <f t="shared" si="0"/>
        <v>3.960918933192501</v>
      </c>
      <c r="F41" s="3215"/>
      <c r="G41" s="3218">
        <v>154.30000000000001</v>
      </c>
      <c r="H41" s="3217">
        <f t="shared" si="6"/>
        <v>182.53690000000003</v>
      </c>
      <c r="I41" s="3218">
        <v>200.3</v>
      </c>
      <c r="J41" s="3219">
        <f t="shared" si="7"/>
        <v>10.300000000000011</v>
      </c>
      <c r="K41" s="3214">
        <f t="shared" si="8"/>
        <v>156.10853387223045</v>
      </c>
      <c r="L41" s="3211">
        <f t="shared" si="1"/>
        <v>396.10853387223045</v>
      </c>
      <c r="M41" s="3211">
        <f t="shared" si="2"/>
        <v>195.80853387223044</v>
      </c>
      <c r="N41" s="3220"/>
      <c r="O41" s="3215">
        <f t="shared" si="3"/>
        <v>39.699999999999989</v>
      </c>
      <c r="P41" s="3221">
        <f t="shared" si="4"/>
        <v>4.9322048834314991</v>
      </c>
      <c r="Q41" s="2952"/>
      <c r="R41" s="3044"/>
      <c r="W41" s="2960"/>
      <c r="X41" s="2960"/>
      <c r="AM41" s="2960"/>
      <c r="AN41" s="2960"/>
    </row>
    <row r="42" spans="1:43" ht="17.100000000000001" customHeight="1">
      <c r="A42" s="2948"/>
      <c r="B42" s="3213">
        <v>350</v>
      </c>
      <c r="C42" s="3214">
        <f t="shared" si="5"/>
        <v>3.5</v>
      </c>
      <c r="D42" s="3215"/>
      <c r="E42" s="3206">
        <f t="shared" si="0"/>
        <v>4.621072088724584</v>
      </c>
      <c r="F42" s="3215"/>
      <c r="G42" s="3218">
        <v>166</v>
      </c>
      <c r="H42" s="3217">
        <f t="shared" si="6"/>
        <v>196.37800000000001</v>
      </c>
      <c r="I42" s="3218">
        <v>201.4</v>
      </c>
      <c r="J42" s="3219">
        <f t="shared" si="7"/>
        <v>11.400000000000006</v>
      </c>
      <c r="K42" s="3214">
        <f t="shared" si="8"/>
        <v>166.79124388110603</v>
      </c>
      <c r="L42" s="3211">
        <f t="shared" si="1"/>
        <v>406.79124388110603</v>
      </c>
      <c r="M42" s="3211">
        <f t="shared" si="2"/>
        <v>205.39124388110602</v>
      </c>
      <c r="N42" s="3220"/>
      <c r="O42" s="3215">
        <f t="shared" si="3"/>
        <v>38.599999999999994</v>
      </c>
      <c r="P42" s="3221">
        <f t="shared" si="4"/>
        <v>5.32101668085767</v>
      </c>
      <c r="Q42" s="2952"/>
      <c r="R42" s="3044"/>
      <c r="S42" s="3051"/>
      <c r="W42" s="2960"/>
      <c r="X42" s="2960"/>
      <c r="AM42" s="2960"/>
      <c r="AN42" s="2960"/>
    </row>
    <row r="43" spans="1:43" ht="17.100000000000001" customHeight="1">
      <c r="A43" s="2948"/>
      <c r="B43" s="3213">
        <v>400</v>
      </c>
      <c r="C43" s="3214">
        <f t="shared" si="5"/>
        <v>4</v>
      </c>
      <c r="D43" s="3215"/>
      <c r="E43" s="3206">
        <f t="shared" si="0"/>
        <v>5.2812252442566683</v>
      </c>
      <c r="F43" s="3215"/>
      <c r="G43" s="3218">
        <v>181.3</v>
      </c>
      <c r="H43" s="3217">
        <f t="shared" si="6"/>
        <v>214.47790000000003</v>
      </c>
      <c r="I43" s="3218">
        <v>202</v>
      </c>
      <c r="J43" s="3219">
        <f t="shared" si="7"/>
        <v>12</v>
      </c>
      <c r="K43" s="3214">
        <f t="shared" si="8"/>
        <v>180.90334556434524</v>
      </c>
      <c r="L43" s="3211">
        <f t="shared" si="1"/>
        <v>420.90334556434527</v>
      </c>
      <c r="M43" s="3211">
        <f t="shared" si="2"/>
        <v>218.90334556434527</v>
      </c>
      <c r="N43" s="3220"/>
      <c r="O43" s="3215">
        <f t="shared" si="3"/>
        <v>38</v>
      </c>
      <c r="P43" s="3221">
        <f t="shared" si="4"/>
        <v>5.760614356956455</v>
      </c>
      <c r="Q43" s="2952"/>
      <c r="R43" s="3044"/>
    </row>
    <row r="44" spans="1:43" ht="17.100000000000001" customHeight="1">
      <c r="A44" s="2948"/>
      <c r="B44" s="3213">
        <v>450</v>
      </c>
      <c r="C44" s="3214">
        <f t="shared" si="5"/>
        <v>4.5</v>
      </c>
      <c r="D44" s="3215"/>
      <c r="E44" s="3206">
        <f t="shared" si="0"/>
        <v>5.9413783997887517</v>
      </c>
      <c r="F44" s="3215"/>
      <c r="G44" s="3218">
        <v>196.3</v>
      </c>
      <c r="H44" s="3217">
        <f t="shared" si="6"/>
        <v>232.22290000000001</v>
      </c>
      <c r="I44" s="3218">
        <v>202</v>
      </c>
      <c r="J44" s="3219">
        <f t="shared" si="7"/>
        <v>12</v>
      </c>
      <c r="K44" s="3214">
        <f t="shared" si="8"/>
        <v>194.50538636488358</v>
      </c>
      <c r="L44" s="3211">
        <f t="shared" si="1"/>
        <v>434.50538636488358</v>
      </c>
      <c r="M44" s="3211">
        <f t="shared" si="2"/>
        <v>232.50538636488358</v>
      </c>
      <c r="N44" s="3220"/>
      <c r="O44" s="3215">
        <f t="shared" si="3"/>
        <v>38</v>
      </c>
      <c r="P44" s="3221">
        <f t="shared" si="4"/>
        <v>6.1185627990758835</v>
      </c>
      <c r="Q44" s="2952"/>
      <c r="R44" s="3044"/>
    </row>
    <row r="45" spans="1:43" ht="17.100000000000001" customHeight="1">
      <c r="A45" s="2948"/>
      <c r="B45" s="3213">
        <v>500</v>
      </c>
      <c r="C45" s="3214">
        <f t="shared" si="5"/>
        <v>5</v>
      </c>
      <c r="D45" s="3215"/>
      <c r="E45" s="3206">
        <f t="shared" si="0"/>
        <v>6.6015315553208342</v>
      </c>
      <c r="F45" s="3215"/>
      <c r="G45" s="3218">
        <v>205.6</v>
      </c>
      <c r="H45" s="3217">
        <f t="shared" si="6"/>
        <v>243.22480000000002</v>
      </c>
      <c r="I45" s="3218">
        <v>202</v>
      </c>
      <c r="J45" s="3219">
        <f t="shared" si="7"/>
        <v>12</v>
      </c>
      <c r="K45" s="3214">
        <f t="shared" si="8"/>
        <v>202.29054665054943</v>
      </c>
      <c r="L45" s="3211">
        <f t="shared" si="1"/>
        <v>442.29054665054946</v>
      </c>
      <c r="M45" s="3211">
        <f t="shared" si="2"/>
        <v>240.29054665054946</v>
      </c>
      <c r="N45" s="3220"/>
      <c r="O45" s="3215">
        <f t="shared" si="3"/>
        <v>38</v>
      </c>
      <c r="P45" s="3221">
        <f t="shared" si="4"/>
        <v>6.3234354381723543</v>
      </c>
      <c r="Q45" s="2952"/>
      <c r="R45" s="3044"/>
    </row>
    <row r="46" spans="1:43" ht="17.100000000000001" customHeight="1">
      <c r="A46" s="2948"/>
      <c r="B46" s="3213">
        <v>550</v>
      </c>
      <c r="C46" s="3214">
        <f t="shared" si="5"/>
        <v>5.5</v>
      </c>
      <c r="D46" s="3215"/>
      <c r="E46" s="3206">
        <f t="shared" si="0"/>
        <v>7.2616847108529186</v>
      </c>
      <c r="F46" s="3215"/>
      <c r="G46" s="3218">
        <v>211.3</v>
      </c>
      <c r="H46" s="3217">
        <f t="shared" si="6"/>
        <v>249.96790000000001</v>
      </c>
      <c r="I46" s="3218">
        <v>202</v>
      </c>
      <c r="J46" s="3219">
        <f t="shared" si="7"/>
        <v>12</v>
      </c>
      <c r="K46" s="3214">
        <f t="shared" si="8"/>
        <v>206.42933910101686</v>
      </c>
      <c r="L46" s="3211">
        <f t="shared" si="1"/>
        <v>446.42933910101686</v>
      </c>
      <c r="M46" s="3211">
        <f t="shared" si="2"/>
        <v>244.42933910101686</v>
      </c>
      <c r="N46" s="3220"/>
      <c r="O46" s="3215">
        <f t="shared" si="3"/>
        <v>38</v>
      </c>
      <c r="P46" s="3221">
        <f t="shared" si="4"/>
        <v>6.4323510289741277</v>
      </c>
      <c r="Q46" s="2952"/>
      <c r="R46" s="3044"/>
    </row>
    <row r="47" spans="1:43" ht="17.100000000000001" customHeight="1">
      <c r="A47" s="2948"/>
      <c r="B47" s="3213">
        <v>600</v>
      </c>
      <c r="C47" s="3214">
        <f t="shared" si="5"/>
        <v>6</v>
      </c>
      <c r="D47" s="3215"/>
      <c r="E47" s="3206">
        <f t="shared" si="0"/>
        <v>7.921837866385002</v>
      </c>
      <c r="F47" s="3215"/>
      <c r="G47" s="3218">
        <v>221</v>
      </c>
      <c r="H47" s="3217">
        <f t="shared" si="6"/>
        <v>261.44299999999998</v>
      </c>
      <c r="I47" s="3218">
        <v>202</v>
      </c>
      <c r="J47" s="3219">
        <f t="shared" si="7"/>
        <v>12</v>
      </c>
      <c r="K47" s="3214">
        <f t="shared" si="8"/>
        <v>214.36883063544053</v>
      </c>
      <c r="L47" s="3211">
        <f t="shared" si="1"/>
        <v>454.36883063544053</v>
      </c>
      <c r="M47" s="3211">
        <f t="shared" si="2"/>
        <v>252.36883063544053</v>
      </c>
      <c r="N47" s="3220"/>
      <c r="O47" s="3215">
        <f t="shared" si="3"/>
        <v>38</v>
      </c>
      <c r="P47" s="3221">
        <f t="shared" si="4"/>
        <v>6.6412850167221196</v>
      </c>
      <c r="Q47" s="2952"/>
      <c r="R47" s="3044"/>
    </row>
    <row r="48" spans="1:43" ht="17.100000000000001" customHeight="1">
      <c r="A48" s="2948"/>
      <c r="B48" s="3213">
        <v>650</v>
      </c>
      <c r="C48" s="3214">
        <f t="shared" si="5"/>
        <v>6.5</v>
      </c>
      <c r="D48" s="3215"/>
      <c r="E48" s="3206">
        <f t="shared" si="0"/>
        <v>8.5819910219170854</v>
      </c>
      <c r="F48" s="3215"/>
      <c r="G48" s="3218">
        <v>224.9</v>
      </c>
      <c r="H48" s="3217">
        <f t="shared" si="6"/>
        <v>266.05670000000003</v>
      </c>
      <c r="I48" s="3218">
        <v>202</v>
      </c>
      <c r="J48" s="3219">
        <f t="shared" si="7"/>
        <v>12</v>
      </c>
      <c r="K48" s="3214">
        <f t="shared" si="8"/>
        <v>216.58777350691122</v>
      </c>
      <c r="L48" s="3211">
        <f t="shared" si="1"/>
        <v>456.58777350691122</v>
      </c>
      <c r="M48" s="3211">
        <f t="shared" si="2"/>
        <v>254.58777350691122</v>
      </c>
      <c r="N48" s="3220"/>
      <c r="O48" s="3215">
        <f t="shared" si="3"/>
        <v>38</v>
      </c>
      <c r="P48" s="3221">
        <f t="shared" si="4"/>
        <v>6.6996782501818739</v>
      </c>
      <c r="Q48" s="3119"/>
      <c r="R48" s="3044"/>
      <c r="W48" s="2960"/>
      <c r="X48" s="2960"/>
      <c r="Y48" s="2960"/>
      <c r="Z48" s="2960"/>
      <c r="AA48" s="2960"/>
      <c r="AC48" s="2961"/>
      <c r="AD48" s="2960"/>
      <c r="AE48" s="2960"/>
      <c r="AF48" s="2960"/>
      <c r="AG48" s="2960"/>
      <c r="AH48" s="2960"/>
      <c r="AI48" s="2960"/>
      <c r="AJ48" s="2960"/>
      <c r="AK48" s="2960"/>
      <c r="AL48" s="2960"/>
      <c r="AM48" s="2960"/>
      <c r="AN48" s="2960"/>
      <c r="AO48" s="2960"/>
      <c r="AP48" s="2960"/>
      <c r="AQ48" s="2960"/>
    </row>
    <row r="49" spans="1:43" ht="17.100000000000001" customHeight="1">
      <c r="A49" s="2948"/>
      <c r="B49" s="3213">
        <v>700</v>
      </c>
      <c r="C49" s="3214">
        <f t="shared" si="5"/>
        <v>7</v>
      </c>
      <c r="D49" s="3215"/>
      <c r="E49" s="3206">
        <f t="shared" si="0"/>
        <v>9.2421441774491679</v>
      </c>
      <c r="F49" s="3215"/>
      <c r="G49" s="3218">
        <v>221.3</v>
      </c>
      <c r="H49" s="3217">
        <f t="shared" si="6"/>
        <v>261.79790000000003</v>
      </c>
      <c r="I49" s="3218">
        <v>202</v>
      </c>
      <c r="J49" s="3219">
        <f t="shared" si="7"/>
        <v>12</v>
      </c>
      <c r="K49" s="3214">
        <f t="shared" si="8"/>
        <v>211.58182748443053</v>
      </c>
      <c r="L49" s="3211">
        <f t="shared" si="1"/>
        <v>451.58182748443051</v>
      </c>
      <c r="M49" s="3211">
        <f t="shared" si="2"/>
        <v>249.58182748443051</v>
      </c>
      <c r="N49" s="3220"/>
      <c r="O49" s="3215">
        <f t="shared" si="3"/>
        <v>38</v>
      </c>
      <c r="P49" s="3221">
        <f t="shared" si="4"/>
        <v>6.5679428285376451</v>
      </c>
      <c r="Q49" s="3153"/>
      <c r="R49" s="3044"/>
      <c r="W49" s="3064"/>
      <c r="X49" s="3064"/>
      <c r="Y49" s="3064"/>
      <c r="Z49" s="3064"/>
      <c r="AF49" s="2945"/>
      <c r="AG49" s="2945"/>
      <c r="AJ49" s="2978"/>
      <c r="AK49" s="3065"/>
      <c r="AL49" s="3064"/>
      <c r="AM49" s="3064"/>
      <c r="AN49" s="3064"/>
      <c r="AO49" s="3064"/>
      <c r="AP49" s="3064"/>
    </row>
    <row r="50" spans="1:43" ht="17.100000000000001" customHeight="1">
      <c r="A50" s="2948"/>
      <c r="B50" s="3213">
        <v>750</v>
      </c>
      <c r="C50" s="3214">
        <f t="shared" si="5"/>
        <v>7.5</v>
      </c>
      <c r="D50" s="3215"/>
      <c r="E50" s="3206">
        <f t="shared" si="0"/>
        <v>9.9022973329812523</v>
      </c>
      <c r="F50" s="3215"/>
      <c r="G50" s="3225">
        <v>217.1</v>
      </c>
      <c r="H50" s="3217">
        <f t="shared" si="6"/>
        <v>256.82929999999999</v>
      </c>
      <c r="I50" s="3218">
        <v>202</v>
      </c>
      <c r="J50" s="3219">
        <f t="shared" si="7"/>
        <v>12</v>
      </c>
      <c r="K50" s="3214">
        <f t="shared" si="8"/>
        <v>206.05647391385918</v>
      </c>
      <c r="L50" s="3211">
        <f t="shared" si="1"/>
        <v>446.05647391385918</v>
      </c>
      <c r="M50" s="3211">
        <f t="shared" si="2"/>
        <v>244.05647391385918</v>
      </c>
      <c r="N50" s="3220"/>
      <c r="O50" s="3215">
        <f t="shared" si="3"/>
        <v>38</v>
      </c>
      <c r="P50" s="3221">
        <f t="shared" si="4"/>
        <v>6.4225387872068209</v>
      </c>
      <c r="Q50" s="3153"/>
      <c r="R50" s="3044"/>
      <c r="W50" s="3156"/>
      <c r="X50" s="3156"/>
      <c r="Y50" s="3064"/>
      <c r="Z50" s="3064"/>
      <c r="AF50" s="2945"/>
      <c r="AG50" s="2945"/>
      <c r="AJ50" s="2978"/>
      <c r="AK50" s="3066"/>
      <c r="AL50" s="3156"/>
      <c r="AM50" s="3156"/>
      <c r="AN50" s="3156"/>
      <c r="AO50" s="3064"/>
      <c r="AP50" s="3064"/>
    </row>
    <row r="51" spans="1:43" ht="17.100000000000001" customHeight="1">
      <c r="A51" s="2948"/>
      <c r="B51" s="3213">
        <v>800</v>
      </c>
      <c r="C51" s="3214">
        <f t="shared" si="5"/>
        <v>8</v>
      </c>
      <c r="D51" s="3215"/>
      <c r="E51" s="3206">
        <f t="shared" si="0"/>
        <v>10.562450488513337</v>
      </c>
      <c r="F51" s="3215"/>
      <c r="G51" s="3218">
        <v>209.2</v>
      </c>
      <c r="H51" s="3217">
        <f t="shared" si="6"/>
        <v>247.4836</v>
      </c>
      <c r="I51" s="3218">
        <v>202</v>
      </c>
      <c r="J51" s="3219">
        <f t="shared" si="7"/>
        <v>12</v>
      </c>
      <c r="K51" s="3214">
        <f t="shared" si="8"/>
        <v>197.10348116868477</v>
      </c>
      <c r="L51" s="3211">
        <f t="shared" si="1"/>
        <v>437.10348116868477</v>
      </c>
      <c r="M51" s="3211">
        <f t="shared" si="2"/>
        <v>235.10348116868477</v>
      </c>
      <c r="N51" s="3220"/>
      <c r="O51" s="3215">
        <f t="shared" si="3"/>
        <v>38</v>
      </c>
      <c r="P51" s="3221">
        <f t="shared" si="4"/>
        <v>6.1869337149653889</v>
      </c>
      <c r="Q51" s="3153"/>
      <c r="R51" s="3044"/>
      <c r="W51" s="3064"/>
      <c r="X51" s="3064"/>
      <c r="Y51" s="3064"/>
      <c r="Z51" s="3064"/>
      <c r="AF51" s="2945"/>
      <c r="AG51" s="2945"/>
      <c r="AJ51" s="2978"/>
      <c r="AK51" s="3066"/>
      <c r="AL51" s="3064"/>
      <c r="AM51" s="3064"/>
      <c r="AN51" s="3064"/>
      <c r="AO51" s="3064"/>
      <c r="AP51" s="3064"/>
    </row>
    <row r="52" spans="1:43" ht="17.100000000000001" customHeight="1">
      <c r="A52" s="2948"/>
      <c r="B52" s="3213"/>
      <c r="C52" s="3214"/>
      <c r="D52" s="3215"/>
      <c r="E52" s="3206"/>
      <c r="F52" s="3215"/>
      <c r="G52" s="3218"/>
      <c r="H52" s="3217"/>
      <c r="I52" s="3218"/>
      <c r="J52" s="3219"/>
      <c r="K52" s="3214"/>
      <c r="L52" s="3211"/>
      <c r="M52" s="3211"/>
      <c r="N52" s="3220"/>
      <c r="O52" s="3215"/>
      <c r="P52" s="3221"/>
      <c r="Q52" s="3153"/>
      <c r="R52" s="3044"/>
      <c r="W52" s="3064"/>
      <c r="X52" s="3064"/>
      <c r="Y52" s="3064"/>
      <c r="Z52" s="3064"/>
      <c r="AF52" s="2945"/>
      <c r="AG52" s="2945"/>
      <c r="AJ52" s="2978"/>
      <c r="AK52" s="3066"/>
      <c r="AL52" s="3064"/>
      <c r="AM52" s="3064"/>
      <c r="AN52" s="3064"/>
      <c r="AO52" s="3064"/>
      <c r="AP52" s="3064"/>
    </row>
    <row r="53" spans="1:43" ht="17.100000000000001" customHeight="1">
      <c r="A53" s="2948"/>
      <c r="B53" s="3226"/>
      <c r="C53" s="3214"/>
      <c r="D53" s="3215"/>
      <c r="E53" s="3227"/>
      <c r="F53" s="3215"/>
      <c r="G53" s="3228"/>
      <c r="H53" s="3217"/>
      <c r="I53" s="3228"/>
      <c r="J53" s="3219"/>
      <c r="K53" s="3214"/>
      <c r="L53" s="3229"/>
      <c r="M53" s="3229"/>
      <c r="N53" s="3220"/>
      <c r="O53" s="3215"/>
      <c r="P53" s="3214"/>
      <c r="Q53" s="3153"/>
      <c r="R53" s="3044"/>
      <c r="W53" s="3064"/>
      <c r="X53" s="3064"/>
      <c r="Y53" s="3064"/>
      <c r="Z53" s="3064"/>
      <c r="AF53" s="2945"/>
      <c r="AG53" s="2945"/>
      <c r="AJ53" s="2978"/>
      <c r="AK53" s="3066"/>
      <c r="AL53" s="3064"/>
      <c r="AM53" s="3064"/>
      <c r="AN53" s="3064"/>
      <c r="AO53" s="3064"/>
      <c r="AP53" s="3064"/>
    </row>
    <row r="54" spans="1:43" ht="17.100000000000001" customHeight="1">
      <c r="A54" s="2948"/>
      <c r="B54" s="3230"/>
      <c r="C54" s="3214"/>
      <c r="D54" s="3215"/>
      <c r="E54" s="3227"/>
      <c r="F54" s="3215"/>
      <c r="G54" s="3228"/>
      <c r="H54" s="3217"/>
      <c r="I54" s="3228"/>
      <c r="J54" s="3219"/>
      <c r="K54" s="3214"/>
      <c r="L54" s="3229"/>
      <c r="M54" s="3229"/>
      <c r="N54" s="3220"/>
      <c r="O54" s="3215"/>
      <c r="P54" s="3214"/>
      <c r="Q54" s="3153"/>
      <c r="R54" s="3044"/>
      <c r="W54" s="3064"/>
      <c r="X54" s="3064"/>
      <c r="Y54" s="3064"/>
      <c r="Z54" s="3064"/>
      <c r="AF54" s="2945"/>
      <c r="AG54" s="2945"/>
      <c r="AJ54" s="2978"/>
      <c r="AK54" s="3066"/>
      <c r="AL54" s="3064"/>
      <c r="AM54" s="3064"/>
      <c r="AN54" s="3064"/>
      <c r="AO54" s="3064"/>
      <c r="AP54" s="3064"/>
    </row>
    <row r="55" spans="1:43" ht="17.100000000000001" customHeight="1">
      <c r="A55" s="2948"/>
      <c r="B55" s="3230"/>
      <c r="C55" s="3214"/>
      <c r="D55" s="3215"/>
      <c r="E55" s="3227"/>
      <c r="F55" s="3215"/>
      <c r="G55" s="3228"/>
      <c r="H55" s="3217"/>
      <c r="I55" s="3228"/>
      <c r="J55" s="3219"/>
      <c r="K55" s="3214"/>
      <c r="L55" s="3229"/>
      <c r="M55" s="3229"/>
      <c r="N55" s="3220"/>
      <c r="O55" s="3215"/>
      <c r="P55" s="3214"/>
      <c r="Q55" s="3153"/>
      <c r="R55" s="3044"/>
      <c r="T55" s="3159"/>
      <c r="W55" s="3064"/>
      <c r="X55" s="3064"/>
      <c r="Y55" s="3064"/>
      <c r="Z55" s="3064"/>
      <c r="AF55" s="2945"/>
      <c r="AG55" s="2945"/>
      <c r="AJ55" s="2978"/>
      <c r="AK55" s="3066"/>
      <c r="AL55" s="3064"/>
      <c r="AM55" s="3064"/>
      <c r="AN55" s="3064"/>
      <c r="AO55" s="3064"/>
      <c r="AP55" s="3064"/>
    </row>
    <row r="56" spans="1:43" ht="17.100000000000001" customHeight="1">
      <c r="A56" s="2948"/>
      <c r="B56" s="3230"/>
      <c r="C56" s="3214"/>
      <c r="D56" s="3215"/>
      <c r="E56" s="3227"/>
      <c r="F56" s="3215"/>
      <c r="G56" s="3228"/>
      <c r="H56" s="3217"/>
      <c r="I56" s="3228"/>
      <c r="J56" s="3219"/>
      <c r="K56" s="3214"/>
      <c r="L56" s="3229"/>
      <c r="M56" s="3229"/>
      <c r="N56" s="3220"/>
      <c r="O56" s="3215"/>
      <c r="P56" s="3214"/>
      <c r="Q56" s="3153"/>
      <c r="R56" s="3044"/>
      <c r="T56" s="3159"/>
      <c r="W56" s="3064"/>
      <c r="X56" s="3064"/>
      <c r="Y56" s="3064"/>
      <c r="Z56" s="3064"/>
      <c r="AF56" s="2945"/>
      <c r="AG56" s="2945"/>
      <c r="AJ56" s="2978"/>
      <c r="AK56" s="3066"/>
      <c r="AL56" s="3064"/>
      <c r="AM56" s="3064"/>
      <c r="AN56" s="3064"/>
      <c r="AO56" s="3064"/>
      <c r="AP56" s="3064"/>
    </row>
    <row r="57" spans="1:43" ht="17.100000000000001" customHeight="1">
      <c r="A57" s="2948"/>
      <c r="B57" s="3230"/>
      <c r="C57" s="3214"/>
      <c r="D57" s="3215"/>
      <c r="E57" s="3227"/>
      <c r="F57" s="3215"/>
      <c r="G57" s="3228"/>
      <c r="H57" s="3217"/>
      <c r="I57" s="3228"/>
      <c r="J57" s="3219"/>
      <c r="K57" s="3214"/>
      <c r="L57" s="3229"/>
      <c r="M57" s="3229"/>
      <c r="N57" s="3220"/>
      <c r="O57" s="3215"/>
      <c r="P57" s="3214"/>
      <c r="Q57" s="3153"/>
      <c r="R57" s="3044"/>
      <c r="T57" s="3159"/>
      <c r="W57" s="3064"/>
      <c r="X57" s="3064"/>
      <c r="Y57" s="3064"/>
      <c r="Z57" s="3064"/>
      <c r="AF57" s="2945"/>
      <c r="AG57" s="2945"/>
      <c r="AJ57" s="2978"/>
      <c r="AK57" s="3066"/>
      <c r="AL57" s="3064"/>
      <c r="AM57" s="3064"/>
      <c r="AN57" s="3064"/>
      <c r="AO57" s="3064"/>
      <c r="AP57" s="3064"/>
    </row>
    <row r="58" spans="1:43" ht="17.100000000000001" customHeight="1">
      <c r="A58" s="2948"/>
      <c r="B58" s="3230"/>
      <c r="C58" s="3214"/>
      <c r="D58" s="3215"/>
      <c r="E58" s="3227"/>
      <c r="F58" s="3215"/>
      <c r="G58" s="3228"/>
      <c r="H58" s="3217"/>
      <c r="I58" s="3228"/>
      <c r="J58" s="3219"/>
      <c r="K58" s="3214"/>
      <c r="L58" s="3229"/>
      <c r="M58" s="3229"/>
      <c r="N58" s="3220"/>
      <c r="O58" s="3215"/>
      <c r="P58" s="3214"/>
      <c r="Q58" s="3153"/>
      <c r="R58" s="3044"/>
      <c r="T58" s="3159"/>
      <c r="W58" s="3064"/>
      <c r="X58" s="3064"/>
      <c r="Y58" s="3064"/>
      <c r="Z58" s="3064"/>
      <c r="AF58" s="2945"/>
      <c r="AG58" s="2945"/>
      <c r="AJ58" s="2978"/>
      <c r="AK58" s="3066"/>
      <c r="AL58" s="3064"/>
      <c r="AM58" s="3064"/>
      <c r="AN58" s="3064"/>
      <c r="AO58" s="3064"/>
      <c r="AP58" s="3064"/>
    </row>
    <row r="59" spans="1:43" ht="17.100000000000001" customHeight="1">
      <c r="A59" s="2948"/>
      <c r="B59" s="3230"/>
      <c r="C59" s="3214"/>
      <c r="D59" s="3215"/>
      <c r="E59" s="3227"/>
      <c r="F59" s="3215"/>
      <c r="G59" s="3228"/>
      <c r="H59" s="3217"/>
      <c r="I59" s="3228"/>
      <c r="J59" s="3219"/>
      <c r="K59" s="3214"/>
      <c r="L59" s="3229"/>
      <c r="M59" s="3229"/>
      <c r="N59" s="3220"/>
      <c r="O59" s="3215"/>
      <c r="P59" s="3214"/>
      <c r="Q59" s="3153"/>
      <c r="R59" s="3044"/>
      <c r="T59" s="3159"/>
      <c r="W59" s="3064"/>
      <c r="X59" s="3064"/>
      <c r="Y59" s="3064"/>
      <c r="Z59" s="3064"/>
      <c r="AF59" s="2945"/>
      <c r="AG59" s="2945"/>
      <c r="AJ59" s="2978"/>
      <c r="AK59" s="3066"/>
      <c r="AL59" s="3064"/>
      <c r="AM59" s="3064"/>
      <c r="AN59" s="3064"/>
      <c r="AO59" s="3064"/>
      <c r="AP59" s="3064"/>
    </row>
    <row r="60" spans="1:43" ht="17.100000000000001" customHeight="1">
      <c r="A60" s="2948"/>
      <c r="B60" s="3230"/>
      <c r="C60" s="3214"/>
      <c r="D60" s="3215"/>
      <c r="E60" s="3227"/>
      <c r="F60" s="3215"/>
      <c r="G60" s="3228"/>
      <c r="H60" s="3217"/>
      <c r="I60" s="3228"/>
      <c r="J60" s="3219"/>
      <c r="K60" s="3214"/>
      <c r="L60" s="3229"/>
      <c r="M60" s="3229"/>
      <c r="N60" s="3220"/>
      <c r="O60" s="3215"/>
      <c r="P60" s="3214"/>
      <c r="Q60" s="3153"/>
      <c r="R60" s="3044"/>
      <c r="T60" s="3159"/>
      <c r="W60" s="3064"/>
      <c r="X60" s="3064"/>
      <c r="Y60" s="3064"/>
      <c r="Z60" s="3064"/>
      <c r="AF60" s="2945"/>
      <c r="AG60" s="2945"/>
      <c r="AJ60" s="2978"/>
      <c r="AK60" s="3066"/>
      <c r="AL60" s="3064"/>
      <c r="AM60" s="3064"/>
      <c r="AN60" s="3064"/>
      <c r="AO60" s="3064"/>
      <c r="AP60" s="3064"/>
    </row>
    <row r="61" spans="1:43" ht="17.100000000000001" customHeight="1">
      <c r="A61" s="2948"/>
      <c r="B61" s="3230"/>
      <c r="C61" s="3219"/>
      <c r="D61" s="3215"/>
      <c r="E61" s="3215"/>
      <c r="F61" s="3215"/>
      <c r="G61" s="3226"/>
      <c r="H61" s="3219"/>
      <c r="I61" s="3226"/>
      <c r="J61" s="3219"/>
      <c r="K61" s="3219"/>
      <c r="L61" s="3229"/>
      <c r="M61" s="3229"/>
      <c r="N61" s="3215"/>
      <c r="O61" s="3215"/>
      <c r="P61" s="3219"/>
      <c r="Q61" s="3153"/>
      <c r="T61" s="3159"/>
      <c r="W61" s="3064"/>
      <c r="X61" s="3064"/>
      <c r="Y61" s="3064"/>
      <c r="Z61" s="3064"/>
      <c r="AF61" s="2945"/>
      <c r="AG61" s="2945"/>
      <c r="AJ61" s="2978"/>
      <c r="AK61" s="3066"/>
      <c r="AL61" s="3064"/>
      <c r="AM61" s="3064"/>
      <c r="AN61" s="3064"/>
      <c r="AO61" s="3064"/>
      <c r="AP61" s="3064"/>
    </row>
    <row r="62" spans="1:43" ht="17.100000000000001" customHeight="1">
      <c r="A62" s="2948"/>
      <c r="B62" s="3230"/>
      <c r="C62" s="3219"/>
      <c r="D62" s="3215"/>
      <c r="E62" s="3215"/>
      <c r="F62" s="3215"/>
      <c r="G62" s="3226"/>
      <c r="H62" s="3219"/>
      <c r="I62" s="3226"/>
      <c r="J62" s="3219"/>
      <c r="K62" s="3219"/>
      <c r="L62" s="3229"/>
      <c r="M62" s="3229"/>
      <c r="N62" s="3215"/>
      <c r="O62" s="3215"/>
      <c r="P62" s="3219"/>
      <c r="Q62" s="3153"/>
      <c r="T62" s="3159"/>
      <c r="W62" s="3064"/>
      <c r="X62" s="3064"/>
      <c r="Y62" s="3064"/>
      <c r="Z62" s="3064"/>
      <c r="AF62" s="2945"/>
      <c r="AG62" s="2945"/>
      <c r="AJ62" s="2978"/>
      <c r="AK62" s="3066"/>
      <c r="AL62" s="3064"/>
      <c r="AM62" s="3064"/>
      <c r="AN62" s="3064"/>
      <c r="AO62" s="3064"/>
      <c r="AP62" s="3064"/>
    </row>
    <row r="63" spans="1:43" ht="17.100000000000001" customHeight="1">
      <c r="A63" s="2948"/>
      <c r="B63" s="3231"/>
      <c r="C63" s="3232"/>
      <c r="D63" s="3233"/>
      <c r="E63" s="3233"/>
      <c r="F63" s="3233"/>
      <c r="G63" s="3234"/>
      <c r="H63" s="3232"/>
      <c r="I63" s="3234"/>
      <c r="J63" s="3232"/>
      <c r="K63" s="3232"/>
      <c r="L63" s="3235"/>
      <c r="M63" s="3235"/>
      <c r="N63" s="3233"/>
      <c r="O63" s="3233"/>
      <c r="P63" s="3232"/>
      <c r="Q63" s="2952"/>
      <c r="W63" s="3169"/>
      <c r="X63" s="3169"/>
      <c r="AA63" s="3170"/>
      <c r="AC63" s="2966"/>
      <c r="AM63" s="3169"/>
      <c r="AN63" s="3169"/>
      <c r="AQ63" s="3170"/>
    </row>
    <row r="64" spans="1:43" ht="17.100000000000001" customHeight="1">
      <c r="A64" s="2948"/>
      <c r="B64" s="2990"/>
      <c r="C64" s="2978"/>
      <c r="D64" s="2978"/>
      <c r="E64" s="2978"/>
      <c r="F64" s="2978"/>
      <c r="G64" s="2990"/>
      <c r="H64" s="2978"/>
      <c r="I64" s="2990"/>
      <c r="J64" s="2978"/>
      <c r="K64" s="2978"/>
      <c r="L64" s="3163"/>
      <c r="M64" s="3163"/>
      <c r="N64" s="2978"/>
      <c r="O64" s="2978"/>
      <c r="P64" s="2978"/>
      <c r="Q64" s="2952"/>
      <c r="W64" s="3169"/>
      <c r="X64" s="3169"/>
      <c r="AA64" s="3170"/>
      <c r="AC64" s="2966"/>
      <c r="AM64" s="3169"/>
      <c r="AN64" s="3169"/>
      <c r="AQ64" s="3170"/>
    </row>
    <row r="65" spans="1:43" ht="17.100000000000001" customHeight="1">
      <c r="A65" s="2948"/>
      <c r="B65" s="2990"/>
      <c r="C65" s="2978"/>
      <c r="D65" s="2978"/>
      <c r="E65" s="2978"/>
      <c r="F65" s="2978"/>
      <c r="G65" s="2990"/>
      <c r="H65" s="2978"/>
      <c r="I65" s="2990"/>
      <c r="J65" s="2978"/>
      <c r="K65" s="2978"/>
      <c r="L65" s="3163"/>
      <c r="M65" s="3163"/>
      <c r="N65" s="2978"/>
      <c r="O65" s="2978"/>
      <c r="P65" s="2978"/>
      <c r="Q65" s="2952"/>
      <c r="W65" s="3169"/>
      <c r="X65" s="3169"/>
      <c r="AA65" s="3170"/>
      <c r="AC65" s="2966"/>
      <c r="AM65" s="3169"/>
      <c r="AN65" s="3169"/>
      <c r="AQ65" s="3170"/>
    </row>
    <row r="66" spans="1:43" ht="17.100000000000001" customHeight="1">
      <c r="A66" s="2951"/>
      <c r="B66" s="2949"/>
      <c r="C66" s="2949"/>
      <c r="D66" s="2949"/>
      <c r="E66" s="2949"/>
      <c r="F66" s="2949"/>
      <c r="G66" s="3129"/>
      <c r="H66" s="2949"/>
      <c r="I66" s="3129"/>
      <c r="J66" s="2949"/>
      <c r="K66" s="2949"/>
      <c r="L66" s="2949"/>
      <c r="M66" s="2949"/>
      <c r="N66" s="2949"/>
      <c r="O66" s="2949"/>
      <c r="P66" s="2949"/>
      <c r="Q66" s="2969"/>
    </row>
    <row r="69" spans="1:43" ht="17.100000000000001" customHeight="1">
      <c r="A69" s="2941"/>
      <c r="B69" s="2942"/>
      <c r="C69" s="2942"/>
      <c r="D69" s="2942"/>
      <c r="E69" s="2942"/>
      <c r="F69" s="2942"/>
      <c r="G69" s="2942"/>
      <c r="H69" s="2942"/>
      <c r="I69" s="2942"/>
      <c r="J69" s="3100" t="s">
        <v>206</v>
      </c>
      <c r="K69" s="3071"/>
      <c r="L69" s="3072"/>
      <c r="M69" s="2974"/>
      <c r="N69" s="2974"/>
      <c r="O69" s="2974"/>
      <c r="P69" s="2974"/>
      <c r="Q69" s="2975"/>
      <c r="U69" s="2946"/>
      <c r="AK69" s="2946"/>
    </row>
    <row r="70" spans="1:43" ht="17.100000000000001" customHeight="1">
      <c r="A70" s="2948"/>
      <c r="J70" s="3102" t="s">
        <v>82</v>
      </c>
      <c r="K70" s="3073"/>
      <c r="L70" s="3074"/>
      <c r="M70" s="2984"/>
      <c r="N70" s="2984"/>
      <c r="O70" s="2984"/>
      <c r="P70" s="2984"/>
      <c r="Q70" s="2993"/>
      <c r="U70" s="2946"/>
      <c r="AK70" s="2946"/>
    </row>
    <row r="71" spans="1:43" ht="17.100000000000001" customHeight="1">
      <c r="A71" s="2948"/>
      <c r="J71" s="3102" t="s">
        <v>77</v>
      </c>
      <c r="K71" s="3074"/>
      <c r="L71" s="3074"/>
      <c r="M71" s="2984"/>
      <c r="N71" s="2984"/>
      <c r="O71" s="3102" t="s">
        <v>76</v>
      </c>
      <c r="P71" s="3236"/>
      <c r="Q71" s="2993"/>
      <c r="U71" s="2953"/>
      <c r="AA71" s="2954"/>
      <c r="AK71" s="2953"/>
      <c r="AQ71" s="2954"/>
    </row>
    <row r="72" spans="1:43" ht="17.100000000000001" customHeight="1">
      <c r="A72" s="2948"/>
      <c r="J72" s="3105" t="s">
        <v>75</v>
      </c>
      <c r="K72" s="3077"/>
      <c r="L72" s="3077"/>
      <c r="M72" s="3003"/>
      <c r="N72" s="3003"/>
      <c r="O72" s="3105" t="s">
        <v>74</v>
      </c>
      <c r="P72" s="3077"/>
      <c r="Q72" s="3078"/>
      <c r="U72" s="2953"/>
      <c r="AA72" s="2953"/>
      <c r="AK72" s="2953"/>
      <c r="AQ72" s="2953"/>
    </row>
    <row r="73" spans="1:43" ht="17.100000000000001" customHeight="1">
      <c r="A73" s="2941"/>
      <c r="B73" s="2957"/>
      <c r="C73" s="2957"/>
      <c r="D73" s="2957"/>
      <c r="E73" s="2957"/>
      <c r="F73" s="2957"/>
      <c r="G73" s="2957"/>
      <c r="H73" s="2957"/>
      <c r="I73" s="2957"/>
      <c r="J73" s="2957"/>
      <c r="K73" s="2957"/>
      <c r="L73" s="2957"/>
      <c r="M73" s="2957"/>
      <c r="N73" s="2957"/>
      <c r="O73" s="2957"/>
      <c r="P73" s="2957"/>
      <c r="Q73" s="3118"/>
      <c r="U73" s="2945"/>
      <c r="V73" s="2945"/>
      <c r="W73" s="2945"/>
      <c r="X73" s="2945"/>
      <c r="Y73" s="2945"/>
      <c r="Z73" s="2945"/>
      <c r="AA73" s="2945"/>
      <c r="AC73" s="2945"/>
      <c r="AD73" s="2945"/>
      <c r="AE73" s="2945"/>
      <c r="AF73" s="2945"/>
      <c r="AG73" s="2945"/>
      <c r="AH73" s="2945"/>
      <c r="AI73" s="2945"/>
      <c r="AJ73" s="2945"/>
      <c r="AK73" s="2945"/>
      <c r="AL73" s="2945"/>
      <c r="AM73" s="2945"/>
      <c r="AN73" s="2945"/>
      <c r="AO73" s="2945"/>
      <c r="AP73" s="2945"/>
      <c r="AQ73" s="2945"/>
    </row>
    <row r="74" spans="1:43" ht="17.100000000000001" customHeight="1">
      <c r="A74" s="2948"/>
      <c r="B74" s="2961" t="s">
        <v>945</v>
      </c>
      <c r="C74" s="2960"/>
      <c r="D74" s="2960"/>
      <c r="E74" s="2960"/>
      <c r="F74" s="2960"/>
      <c r="G74" s="2960"/>
      <c r="H74" s="2961"/>
      <c r="I74" s="2961"/>
      <c r="J74" s="2960"/>
      <c r="K74" s="2960"/>
      <c r="L74" s="2960"/>
      <c r="M74" s="2960"/>
      <c r="N74" s="2960"/>
      <c r="O74" s="2960"/>
      <c r="P74" s="2960"/>
      <c r="Q74" s="3119"/>
      <c r="S74" s="2963"/>
      <c r="U74" s="2960"/>
      <c r="V74" s="2960"/>
      <c r="W74" s="2960"/>
      <c r="X74" s="2960"/>
      <c r="Y74" s="2960"/>
      <c r="Z74" s="2960"/>
      <c r="AA74" s="2960"/>
      <c r="AC74" s="2961"/>
      <c r="AD74" s="2960"/>
      <c r="AE74" s="2960"/>
      <c r="AF74" s="2960"/>
      <c r="AG74" s="2960"/>
      <c r="AH74" s="2961"/>
      <c r="AI74" s="2961"/>
      <c r="AJ74" s="2960"/>
      <c r="AK74" s="2960"/>
      <c r="AL74" s="2960"/>
      <c r="AM74" s="2960"/>
      <c r="AN74" s="2960"/>
      <c r="AO74" s="2960"/>
      <c r="AP74" s="2960"/>
      <c r="AQ74" s="2960"/>
    </row>
    <row r="75" spans="1:43" ht="17.100000000000001" customHeight="1">
      <c r="A75" s="2948"/>
      <c r="B75" s="2965"/>
      <c r="C75" s="2960"/>
      <c r="D75" s="2960"/>
      <c r="E75" s="2960"/>
      <c r="F75" s="2960"/>
      <c r="G75" s="2960"/>
      <c r="H75" s="2960"/>
      <c r="I75" s="2960"/>
      <c r="J75" s="2960"/>
      <c r="K75" s="2960"/>
      <c r="L75" s="2960"/>
      <c r="M75" s="2960"/>
      <c r="N75" s="2960"/>
      <c r="O75" s="2960"/>
      <c r="P75" s="2960"/>
      <c r="Q75" s="3119"/>
      <c r="S75" s="3154" t="s">
        <v>1002</v>
      </c>
      <c r="T75" s="3182">
        <f>('Cu_Multi Consol pmdtn'!I102/'CU_Multi Saturasi pmdtn'!F99)*100</f>
        <v>1.9657724329324648</v>
      </c>
      <c r="U75" s="2960"/>
      <c r="V75" s="2960"/>
      <c r="W75" s="2960"/>
      <c r="X75" s="2960"/>
      <c r="Y75" s="2960"/>
      <c r="Z75" s="2960"/>
      <c r="AA75" s="2960"/>
      <c r="AC75" s="2965"/>
      <c r="AD75" s="2960"/>
      <c r="AE75" s="2960"/>
      <c r="AF75" s="2960"/>
      <c r="AG75" s="2960"/>
      <c r="AH75" s="2960"/>
      <c r="AI75" s="2960"/>
      <c r="AJ75" s="2960"/>
      <c r="AK75" s="2960"/>
      <c r="AL75" s="2960"/>
      <c r="AM75" s="2960"/>
      <c r="AN75" s="2960"/>
      <c r="AO75" s="2960"/>
      <c r="AP75" s="2960"/>
      <c r="AQ75" s="2960"/>
    </row>
    <row r="76" spans="1:43" ht="17.100000000000001" customHeight="1">
      <c r="A76" s="2948"/>
      <c r="C76" s="2947" t="s">
        <v>208</v>
      </c>
      <c r="D76" s="2947" t="s">
        <v>27</v>
      </c>
      <c r="E76" s="3081"/>
      <c r="F76" s="2953"/>
      <c r="L76" s="2947" t="s">
        <v>944</v>
      </c>
      <c r="N76" s="3081" t="s">
        <v>27</v>
      </c>
      <c r="O76" s="3081"/>
      <c r="Q76" s="2952"/>
      <c r="S76" s="3154" t="s">
        <v>1001</v>
      </c>
      <c r="T76" s="3182">
        <f>T75*(1/3)</f>
        <v>0.65525747764415487</v>
      </c>
      <c r="Z76" s="2953"/>
      <c r="AP76" s="2953"/>
    </row>
    <row r="77" spans="1:43" ht="17.100000000000001" customHeight="1">
      <c r="A77" s="2948"/>
      <c r="C77" s="2947" t="s">
        <v>1000</v>
      </c>
      <c r="D77" s="2947" t="s">
        <v>27</v>
      </c>
      <c r="E77" s="3081"/>
      <c r="F77" s="2953"/>
      <c r="G77" s="2953"/>
      <c r="L77" s="2947" t="s">
        <v>942</v>
      </c>
      <c r="N77" s="3081" t="s">
        <v>27</v>
      </c>
      <c r="O77" s="3081"/>
      <c r="Q77" s="2952"/>
      <c r="S77" s="3154" t="s">
        <v>999</v>
      </c>
      <c r="T77" s="3182">
        <f>T75*(2/3)</f>
        <v>1.3105149552883097</v>
      </c>
      <c r="AB77" s="2960"/>
      <c r="AC77" s="2960"/>
      <c r="AG77" s="2953"/>
    </row>
    <row r="78" spans="1:43" ht="17.100000000000001" customHeight="1">
      <c r="A78" s="2948"/>
      <c r="C78" s="2947" t="s">
        <v>210</v>
      </c>
      <c r="D78" s="2947" t="s">
        <v>27</v>
      </c>
      <c r="E78" s="3081"/>
      <c r="F78" s="2953"/>
      <c r="G78" s="2953" t="s">
        <v>68</v>
      </c>
      <c r="L78" s="2945" t="s">
        <v>941</v>
      </c>
      <c r="N78" s="3081" t="s">
        <v>27</v>
      </c>
      <c r="O78" s="3081"/>
      <c r="Q78" s="2952"/>
      <c r="S78" s="2947"/>
      <c r="T78" s="2947"/>
      <c r="V78" s="2977"/>
      <c r="W78" s="2960"/>
      <c r="X78" s="2960"/>
      <c r="Y78" s="2960"/>
      <c r="AB78" s="2978"/>
      <c r="AC78" s="2978"/>
      <c r="AD78" s="2978"/>
      <c r="AG78" s="2953"/>
      <c r="AL78" s="2945"/>
      <c r="AM78" s="2945"/>
      <c r="AN78" s="2945"/>
    </row>
    <row r="79" spans="1:43" ht="17.100000000000001" customHeight="1">
      <c r="A79" s="2948"/>
      <c r="O79" s="2960"/>
      <c r="P79" s="2960"/>
      <c r="Q79" s="2952"/>
      <c r="S79" s="2947"/>
      <c r="T79" s="2947"/>
      <c r="U79" s="2978"/>
      <c r="V79" s="2999"/>
      <c r="Y79" s="2988"/>
      <c r="AB79" s="2963"/>
      <c r="AC79" s="2963"/>
      <c r="AD79" s="2961"/>
      <c r="AE79" s="2960"/>
      <c r="AM79" s="2960"/>
      <c r="AN79" s="2960"/>
    </row>
    <row r="80" spans="1:43" ht="17.100000000000001" customHeight="1">
      <c r="A80" s="2948"/>
      <c r="C80" s="2947" t="s">
        <v>965</v>
      </c>
      <c r="F80" s="2947" t="s">
        <v>27</v>
      </c>
      <c r="G80" s="3184">
        <f>'Cu_Multi Consol pmdtn'!F79</f>
        <v>50</v>
      </c>
      <c r="H80" s="2947" t="s">
        <v>908</v>
      </c>
      <c r="L80" s="2947" t="s">
        <v>998</v>
      </c>
      <c r="N80" s="2947" t="s">
        <v>27</v>
      </c>
      <c r="O80" s="3185">
        <f>'CU_Multi Saturasi pmdtn'!F98*(1-('Cu_Multi Shear pmdtn'!T77/100))</f>
        <v>1120.2342136910268</v>
      </c>
      <c r="P80" s="2945" t="s">
        <v>721</v>
      </c>
      <c r="Q80" s="2952"/>
      <c r="U80" s="2978"/>
      <c r="V80" s="2979"/>
      <c r="Y80" s="2988"/>
      <c r="Z80" s="2989"/>
      <c r="AB80" s="2953"/>
      <c r="AC80" s="2953"/>
      <c r="AD80" s="2996"/>
      <c r="AE80" s="2999"/>
      <c r="AM80" s="2960"/>
      <c r="AN80" s="2960"/>
    </row>
    <row r="81" spans="1:40" ht="17.100000000000001" customHeight="1">
      <c r="A81" s="2948"/>
      <c r="C81" s="2947" t="s">
        <v>915</v>
      </c>
      <c r="F81" s="2947" t="s">
        <v>27</v>
      </c>
      <c r="G81" s="3184">
        <f>'Cu_Multi Consol pmdtn'!F80</f>
        <v>240</v>
      </c>
      <c r="H81" s="2947" t="s">
        <v>908</v>
      </c>
      <c r="L81" s="2947" t="s">
        <v>997</v>
      </c>
      <c r="N81" s="2947" t="s">
        <v>27</v>
      </c>
      <c r="O81" s="3185">
        <f>'CU_Multi Saturasi pmdtn'!D96*(1-('Cu_Multi Shear pmdtn'!T76/100))</f>
        <v>75.700693802035161</v>
      </c>
      <c r="P81" s="2945" t="s">
        <v>2</v>
      </c>
      <c r="Q81" s="2952"/>
      <c r="U81" s="2978"/>
      <c r="V81" s="2989"/>
      <c r="Y81" s="2988"/>
      <c r="Z81" s="2988"/>
      <c r="AD81" s="2953"/>
      <c r="AE81" s="2988"/>
      <c r="AM81" s="2960"/>
      <c r="AN81" s="2960"/>
    </row>
    <row r="82" spans="1:40" ht="17.100000000000001" customHeight="1">
      <c r="A82" s="2948"/>
      <c r="C82" s="2947" t="s">
        <v>914</v>
      </c>
      <c r="F82" s="2947" t="s">
        <v>27</v>
      </c>
      <c r="G82" s="3184">
        <f>'Cu_Multi Consol pmdtn'!F81</f>
        <v>190</v>
      </c>
      <c r="H82" s="2947" t="s">
        <v>908</v>
      </c>
      <c r="L82" s="2947" t="s">
        <v>996</v>
      </c>
      <c r="N82" s="2947" t="s">
        <v>27</v>
      </c>
      <c r="O82" s="3185">
        <f>'CU_Multi Saturasi pmdtn'!F99-'Cu_Multi Consol pmdtn'!I102</f>
        <v>84.78</v>
      </c>
      <c r="P82" s="2945" t="s">
        <v>615</v>
      </c>
      <c r="Q82" s="2952"/>
      <c r="U82" s="2978"/>
      <c r="V82" s="2979"/>
      <c r="W82" s="2978"/>
      <c r="X82" s="2978"/>
      <c r="Y82" s="2979"/>
      <c r="Z82" s="2977"/>
      <c r="AE82" s="2977"/>
      <c r="AM82" s="2960"/>
      <c r="AN82" s="2960"/>
    </row>
    <row r="83" spans="1:40" ht="17.100000000000001" customHeight="1">
      <c r="A83" s="2948"/>
      <c r="C83" s="2947" t="s">
        <v>973</v>
      </c>
      <c r="F83" s="2947" t="s">
        <v>27</v>
      </c>
      <c r="G83" s="3185">
        <f>'Cu_Multi Consol pmdtn'!J89</f>
        <v>276</v>
      </c>
      <c r="H83" s="2947" t="s">
        <v>908</v>
      </c>
      <c r="L83" s="2947" t="s">
        <v>995</v>
      </c>
      <c r="N83" s="2947" t="s">
        <v>27</v>
      </c>
      <c r="O83" s="3184"/>
      <c r="P83" s="2960"/>
      <c r="Q83" s="2952"/>
      <c r="S83" s="2947"/>
      <c r="T83" s="2947"/>
      <c r="W83" s="2978"/>
      <c r="X83" s="2978"/>
      <c r="Y83" s="2988"/>
      <c r="Z83" s="2988"/>
      <c r="AD83" s="2989"/>
      <c r="AE83" s="2989"/>
      <c r="AM83" s="2960"/>
      <c r="AN83" s="2960"/>
    </row>
    <row r="84" spans="1:40" ht="17.100000000000001" customHeight="1">
      <c r="A84" s="2948"/>
      <c r="C84" s="2947" t="s">
        <v>963</v>
      </c>
      <c r="F84" s="2947" t="s">
        <v>27</v>
      </c>
      <c r="G84" s="3184">
        <f>G83-G82</f>
        <v>86</v>
      </c>
      <c r="H84" s="2947" t="s">
        <v>908</v>
      </c>
      <c r="L84" s="2947" t="s">
        <v>994</v>
      </c>
      <c r="N84" s="2947" t="s">
        <v>27</v>
      </c>
      <c r="O84" s="3187">
        <f>O17</f>
        <v>1.1830000000000001</v>
      </c>
      <c r="P84" s="2945" t="s">
        <v>595</v>
      </c>
      <c r="Q84" s="2952"/>
      <c r="W84" s="2960"/>
      <c r="X84" s="2960"/>
      <c r="AM84" s="2960"/>
      <c r="AN84" s="2960"/>
    </row>
    <row r="85" spans="1:40" ht="17.100000000000001" customHeight="1">
      <c r="A85" s="2948"/>
      <c r="C85" s="2978" t="str">
        <f>C18</f>
        <v>With</v>
      </c>
      <c r="E85" s="2947" t="str">
        <f>E18</f>
        <v>Side drains</v>
      </c>
      <c r="O85" s="2960"/>
      <c r="Q85" s="2952"/>
      <c r="W85" s="2960"/>
      <c r="X85" s="2960"/>
      <c r="AM85" s="2960"/>
      <c r="AN85" s="2960"/>
    </row>
    <row r="86" spans="1:40" ht="17.100000000000001" customHeight="1">
      <c r="A86" s="2948"/>
      <c r="O86" s="2960"/>
      <c r="Q86" s="2952"/>
      <c r="W86" s="2960"/>
      <c r="X86" s="2960"/>
      <c r="AM86" s="2960"/>
      <c r="AN86" s="2960"/>
    </row>
    <row r="87" spans="1:40" ht="17.100000000000001" customHeight="1">
      <c r="A87" s="2948"/>
      <c r="B87" s="2966" t="s">
        <v>993</v>
      </c>
      <c r="O87" s="2960"/>
      <c r="Q87" s="2952"/>
      <c r="W87" s="2960"/>
      <c r="X87" s="2960"/>
      <c r="AM87" s="2960"/>
      <c r="AN87" s="2960"/>
    </row>
    <row r="88" spans="1:40" ht="17.100000000000001" customHeight="1">
      <c r="A88" s="2948"/>
      <c r="O88" s="2960"/>
      <c r="P88" s="2945"/>
      <c r="Q88" s="3122"/>
      <c r="W88" s="2960"/>
      <c r="X88" s="2960"/>
      <c r="AM88" s="2960"/>
      <c r="AN88" s="2960"/>
    </row>
    <row r="89" spans="1:40" s="3019" customFormat="1" ht="25.5" customHeight="1">
      <c r="A89" s="3011"/>
      <c r="B89" s="4868" t="s">
        <v>992</v>
      </c>
      <c r="C89" s="4868"/>
      <c r="D89" s="3188"/>
      <c r="E89" s="4869" t="s">
        <v>358</v>
      </c>
      <c r="F89" s="3189"/>
      <c r="G89" s="4845" t="s">
        <v>991</v>
      </c>
      <c r="H89" s="4868"/>
      <c r="I89" s="4843" t="s">
        <v>913</v>
      </c>
      <c r="J89" s="4845"/>
      <c r="K89" s="3016" t="s">
        <v>577</v>
      </c>
      <c r="L89" s="4843" t="s">
        <v>990</v>
      </c>
      <c r="M89" s="4844"/>
      <c r="N89" s="4844"/>
      <c r="O89" s="4844"/>
      <c r="P89" s="4845"/>
      <c r="Q89" s="3190"/>
      <c r="S89" s="3020"/>
      <c r="T89" s="3020"/>
      <c r="U89" s="3020"/>
      <c r="V89" s="3191"/>
      <c r="W89" s="3020"/>
      <c r="X89" s="3020"/>
      <c r="Y89" s="3020"/>
      <c r="Z89" s="3020"/>
      <c r="AA89" s="3191"/>
      <c r="AB89" s="3191"/>
      <c r="AC89" s="3018"/>
      <c r="AD89" s="3020"/>
      <c r="AE89" s="3192"/>
      <c r="AM89" s="3020"/>
      <c r="AN89" s="3020"/>
    </row>
    <row r="90" spans="1:40" s="3019" customFormat="1" ht="25.5" customHeight="1">
      <c r="A90" s="3011"/>
      <c r="B90" s="3016" t="s">
        <v>6</v>
      </c>
      <c r="C90" s="3016" t="s">
        <v>989</v>
      </c>
      <c r="D90" s="3193"/>
      <c r="E90" s="4870"/>
      <c r="F90" s="3194"/>
      <c r="G90" s="3195" t="s">
        <v>6</v>
      </c>
      <c r="H90" s="3016" t="s">
        <v>174</v>
      </c>
      <c r="I90" s="3016" t="s">
        <v>978</v>
      </c>
      <c r="J90" s="3016" t="s">
        <v>988</v>
      </c>
      <c r="K90" s="3196" t="s">
        <v>987</v>
      </c>
      <c r="L90" s="3016" t="s">
        <v>986</v>
      </c>
      <c r="M90" s="3016" t="s">
        <v>985</v>
      </c>
      <c r="N90" s="3197"/>
      <c r="O90" s="3197" t="s">
        <v>984</v>
      </c>
      <c r="P90" s="3016" t="s">
        <v>983</v>
      </c>
      <c r="Q90" s="3190"/>
      <c r="S90" s="3020"/>
      <c r="T90" s="3020"/>
      <c r="U90" s="3020"/>
      <c r="V90" s="3191"/>
      <c r="W90" s="3020"/>
      <c r="X90" s="3020"/>
      <c r="Y90" s="3020"/>
      <c r="Z90" s="3192"/>
      <c r="AA90" s="3198"/>
      <c r="AB90" s="3198"/>
      <c r="AC90" s="3199"/>
      <c r="AD90" s="3191"/>
      <c r="AE90" s="3198"/>
      <c r="AM90" s="3020"/>
      <c r="AN90" s="3020"/>
    </row>
    <row r="91" spans="1:40" ht="17.100000000000001" customHeight="1">
      <c r="A91" s="2948"/>
      <c r="B91" s="3200"/>
      <c r="C91" s="3130" t="s">
        <v>2</v>
      </c>
      <c r="D91" s="2949"/>
      <c r="E91" s="3129" t="s">
        <v>1</v>
      </c>
      <c r="F91" s="2969"/>
      <c r="G91" s="3201" t="s">
        <v>982</v>
      </c>
      <c r="H91" s="3130" t="s">
        <v>120</v>
      </c>
      <c r="I91" s="3130" t="s">
        <v>908</v>
      </c>
      <c r="J91" s="3130"/>
      <c r="K91" s="3130" t="s">
        <v>908</v>
      </c>
      <c r="L91" s="3130" t="s">
        <v>908</v>
      </c>
      <c r="M91" s="3130" t="s">
        <v>908</v>
      </c>
      <c r="N91" s="3129"/>
      <c r="O91" s="3129" t="s">
        <v>908</v>
      </c>
      <c r="P91" s="3202"/>
      <c r="Q91" s="3122"/>
      <c r="S91" s="2960"/>
      <c r="T91" s="2960"/>
      <c r="U91" s="2960"/>
      <c r="V91" s="2996"/>
      <c r="W91" s="2960"/>
      <c r="X91" s="2960"/>
      <c r="Y91" s="2960"/>
      <c r="Z91" s="2960"/>
      <c r="AA91" s="2977"/>
      <c r="AB91" s="2977"/>
      <c r="AC91" s="2945"/>
      <c r="AD91" s="2960"/>
      <c r="AE91" s="2960"/>
      <c r="AM91" s="2960"/>
      <c r="AN91" s="2960"/>
    </row>
    <row r="92" spans="1:40" ht="17.100000000000001" customHeight="1">
      <c r="A92" s="2948"/>
      <c r="B92" s="3237">
        <v>500</v>
      </c>
      <c r="C92" s="3238">
        <f t="shared" ref="C92:C117" si="9">(B92-$B$25)/100</f>
        <v>5</v>
      </c>
      <c r="D92" s="3239"/>
      <c r="E92" s="3240">
        <f>(C92/$O$14)*100</f>
        <v>6.6015315553208342</v>
      </c>
      <c r="F92" s="3241"/>
      <c r="G92" s="3242">
        <v>0</v>
      </c>
      <c r="H92" s="3243">
        <v>0</v>
      </c>
      <c r="I92" s="3243">
        <v>190</v>
      </c>
      <c r="J92" s="3244">
        <v>0</v>
      </c>
      <c r="K92" s="3244">
        <v>0</v>
      </c>
      <c r="L92" s="3245">
        <f t="shared" ref="L92:L117" si="10">$G$81+K92</f>
        <v>240</v>
      </c>
      <c r="M92" s="3245">
        <f t="shared" ref="M92:M117" si="11">L92-I92</f>
        <v>50</v>
      </c>
      <c r="N92" s="3239"/>
      <c r="O92" s="3239">
        <f t="shared" ref="O92:O117" si="12">$G$81-I92</f>
        <v>50</v>
      </c>
      <c r="P92" s="3244">
        <f t="shared" ref="P92:P117" si="13">M92/O92</f>
        <v>1</v>
      </c>
      <c r="Q92" s="3122"/>
      <c r="T92" s="2960"/>
      <c r="U92" s="2960"/>
      <c r="V92" s="2977"/>
      <c r="W92" s="3066"/>
      <c r="X92" s="3212"/>
      <c r="Y92" s="2965"/>
      <c r="Z92" s="2965"/>
      <c r="AA92" s="2977"/>
      <c r="AB92" s="2979"/>
      <c r="AC92" s="2945"/>
      <c r="AD92" s="3064"/>
      <c r="AE92" s="3064"/>
      <c r="AM92" s="2960"/>
      <c r="AN92" s="2960"/>
    </row>
    <row r="93" spans="1:40" ht="17.100000000000001" customHeight="1">
      <c r="A93" s="2948"/>
      <c r="B93" s="3246">
        <f t="shared" ref="B93:B117" si="14">B92+20</f>
        <v>520</v>
      </c>
      <c r="C93" s="3247">
        <f t="shared" si="9"/>
        <v>5.2</v>
      </c>
      <c r="D93" s="3248"/>
      <c r="E93" s="3249">
        <f t="shared" ref="E93:E117" si="15">E92+(C93-C92)/$O$81*100</f>
        <v>6.8657299265048817</v>
      </c>
      <c r="F93" s="3250"/>
      <c r="G93" s="3251">
        <v>47</v>
      </c>
      <c r="H93" s="3252">
        <f t="shared" ref="H93:H117" si="16">G93*$O$84</f>
        <v>55.600999999999999</v>
      </c>
      <c r="I93" s="3253">
        <v>191</v>
      </c>
      <c r="J93" s="3254">
        <f t="shared" ref="J93:J117" si="17">I93-$I$92</f>
        <v>1</v>
      </c>
      <c r="K93" s="3255">
        <f t="shared" ref="K93:K117" si="18">(H93/$O$80)*((1-(E93-$E$92)/100))*1000</f>
        <v>49.502240143981922</v>
      </c>
      <c r="L93" s="3256">
        <f t="shared" si="10"/>
        <v>289.50224014398191</v>
      </c>
      <c r="M93" s="3256">
        <f t="shared" si="11"/>
        <v>98.502240143981908</v>
      </c>
      <c r="N93" s="3248"/>
      <c r="O93" s="3248">
        <f t="shared" si="12"/>
        <v>49</v>
      </c>
      <c r="P93" s="3255">
        <f t="shared" si="13"/>
        <v>2.0102497988567736</v>
      </c>
      <c r="Q93" s="3122"/>
      <c r="R93" s="3044"/>
      <c r="W93" s="2960"/>
      <c r="X93" s="2960"/>
      <c r="AM93" s="2960"/>
      <c r="AN93" s="2960"/>
    </row>
    <row r="94" spans="1:40" ht="17.100000000000001" customHeight="1">
      <c r="A94" s="2948"/>
      <c r="B94" s="3246">
        <f t="shared" si="14"/>
        <v>540</v>
      </c>
      <c r="C94" s="3247">
        <f t="shared" si="9"/>
        <v>5.4</v>
      </c>
      <c r="D94" s="3248"/>
      <c r="E94" s="3249">
        <f t="shared" si="15"/>
        <v>7.1299282976889291</v>
      </c>
      <c r="F94" s="3250"/>
      <c r="G94" s="3251">
        <v>60</v>
      </c>
      <c r="H94" s="3252">
        <f t="shared" si="16"/>
        <v>70.98</v>
      </c>
      <c r="I94" s="3253">
        <v>192.5</v>
      </c>
      <c r="J94" s="3254">
        <f t="shared" si="17"/>
        <v>2.5</v>
      </c>
      <c r="K94" s="3255">
        <f t="shared" si="18"/>
        <v>63.02694840896973</v>
      </c>
      <c r="L94" s="3256">
        <f t="shared" si="10"/>
        <v>303.0269484089697</v>
      </c>
      <c r="M94" s="3256">
        <f t="shared" si="11"/>
        <v>110.5269484089697</v>
      </c>
      <c r="N94" s="3248"/>
      <c r="O94" s="3248">
        <f t="shared" si="12"/>
        <v>47.5</v>
      </c>
      <c r="P94" s="3255">
        <f t="shared" si="13"/>
        <v>2.326883124399362</v>
      </c>
      <c r="Q94" s="3122"/>
      <c r="R94" s="3044"/>
      <c r="W94" s="2960"/>
      <c r="X94" s="2960"/>
      <c r="AM94" s="2960"/>
      <c r="AN94" s="2960"/>
    </row>
    <row r="95" spans="1:40" ht="17.100000000000001" customHeight="1">
      <c r="A95" s="2948"/>
      <c r="B95" s="3246">
        <f t="shared" si="14"/>
        <v>560</v>
      </c>
      <c r="C95" s="3247">
        <f t="shared" si="9"/>
        <v>5.6</v>
      </c>
      <c r="D95" s="3248"/>
      <c r="E95" s="3249">
        <f t="shared" si="15"/>
        <v>7.3941266688729756</v>
      </c>
      <c r="F95" s="3250"/>
      <c r="G95" s="3251">
        <v>96</v>
      </c>
      <c r="H95" s="3252">
        <f t="shared" si="16"/>
        <v>113.56800000000001</v>
      </c>
      <c r="I95" s="3253">
        <v>193.9</v>
      </c>
      <c r="J95" s="3254">
        <f t="shared" si="17"/>
        <v>3.9000000000000057</v>
      </c>
      <c r="K95" s="3255">
        <f t="shared" si="18"/>
        <v>100.57527631674013</v>
      </c>
      <c r="L95" s="3256">
        <f t="shared" si="10"/>
        <v>340.57527631674014</v>
      </c>
      <c r="M95" s="3256">
        <f t="shared" si="11"/>
        <v>146.67527631674014</v>
      </c>
      <c r="N95" s="3248"/>
      <c r="O95" s="3248">
        <f t="shared" si="12"/>
        <v>46.099999999999994</v>
      </c>
      <c r="P95" s="3255">
        <f t="shared" si="13"/>
        <v>3.1816762758511965</v>
      </c>
      <c r="Q95" s="3122"/>
      <c r="R95" s="3044"/>
      <c r="T95" s="3145"/>
      <c r="W95" s="2960"/>
      <c r="X95" s="2960"/>
      <c r="AM95" s="2960"/>
      <c r="AN95" s="2960"/>
    </row>
    <row r="96" spans="1:40" ht="17.100000000000001" customHeight="1">
      <c r="A96" s="2948"/>
      <c r="B96" s="3246">
        <f t="shared" si="14"/>
        <v>580</v>
      </c>
      <c r="C96" s="3247">
        <f t="shared" si="9"/>
        <v>5.8</v>
      </c>
      <c r="D96" s="3248"/>
      <c r="E96" s="3249">
        <f t="shared" si="15"/>
        <v>7.6583250400570231</v>
      </c>
      <c r="F96" s="3250"/>
      <c r="G96" s="3251">
        <v>134</v>
      </c>
      <c r="H96" s="3252">
        <f t="shared" si="16"/>
        <v>158.52200000000002</v>
      </c>
      <c r="I96" s="3253">
        <v>195.2</v>
      </c>
      <c r="J96" s="3254">
        <f t="shared" si="17"/>
        <v>5.1999999999999886</v>
      </c>
      <c r="K96" s="3255">
        <f t="shared" si="18"/>
        <v>140.01246160420041</v>
      </c>
      <c r="L96" s="3256">
        <f t="shared" si="10"/>
        <v>380.01246160420044</v>
      </c>
      <c r="M96" s="3256">
        <f t="shared" si="11"/>
        <v>184.81246160420045</v>
      </c>
      <c r="N96" s="3248"/>
      <c r="O96" s="3248">
        <f t="shared" si="12"/>
        <v>44.800000000000011</v>
      </c>
      <c r="P96" s="3255">
        <f t="shared" si="13"/>
        <v>4.1252781608080449</v>
      </c>
      <c r="Q96" s="3122"/>
      <c r="R96" s="3044"/>
      <c r="T96" s="3222" t="s">
        <v>573</v>
      </c>
      <c r="U96" s="3223">
        <f>W96</f>
        <v>13.206490834922013</v>
      </c>
      <c r="V96" s="3223"/>
      <c r="W96" s="3009">
        <f>IF($U$97=K93,E93,IF($U$97=K94,E94,IF($U$97=K95,E95,IF($U$97=K96,E96,IF($U$97=K97,E97,IF($U$97=K98,E98,IF($U$97=K99,E99,X96)))))))</f>
        <v>13.206490834922013</v>
      </c>
      <c r="X96" s="3009">
        <f>IF($U$97=K100,E100,IF($U$97=K101,E101,IF($U$97=K102,E102,IF($U$97=K103,E103,IF($U$97=K104,E104,IF($U$97=K105,E105,IF($U$97=K106,E106,Y96)))))))</f>
        <v>13.206490834922013</v>
      </c>
      <c r="Y96" s="3009">
        <f>IF($U$97=K107,E107,IF($U$97=K108,E108,IF($U$97=K109,E109,IF($U$97=K110,E110,IF($U$97=K111,E111,IF($U$97=K112,E112,IF($U$97=K113,E113,Z96)))))))</f>
        <v>13.206490834922013</v>
      </c>
      <c r="Z96" s="3009">
        <f>IF($U$97=K114,E114,IF($U$97=K115,E115,IF($U$97=K116,E116,IF($U$97=K117,E117,IF($U$97=K118,E118,IF($U$97=K119,E119,IF($U$97=K120,E120,AA96)))))))</f>
        <v>13.206490834922013</v>
      </c>
      <c r="AA96" s="3009">
        <f>IF($U$97=K121,E121,IF($U$97=K122,E122,IF($U$97=K123,E123,IF($U$97=K124,E124,IF($U$97=K125,E125,IF($U$97=K126,E126,IF($U$97=K127,E127,AB96)))))))</f>
        <v>0</v>
      </c>
      <c r="AM96" s="2960"/>
      <c r="AN96" s="2960"/>
    </row>
    <row r="97" spans="1:40" ht="17.100000000000001" customHeight="1">
      <c r="A97" s="2948"/>
      <c r="B97" s="3246">
        <f t="shared" si="14"/>
        <v>600</v>
      </c>
      <c r="C97" s="3247">
        <f t="shared" si="9"/>
        <v>6</v>
      </c>
      <c r="D97" s="3248"/>
      <c r="E97" s="3249">
        <f t="shared" si="15"/>
        <v>7.9225234112410705</v>
      </c>
      <c r="F97" s="3250"/>
      <c r="G97" s="3251">
        <v>152</v>
      </c>
      <c r="H97" s="3252">
        <f t="shared" si="16"/>
        <v>179.816</v>
      </c>
      <c r="I97" s="3253">
        <v>198.5</v>
      </c>
      <c r="J97" s="3254">
        <f t="shared" si="17"/>
        <v>8.5</v>
      </c>
      <c r="K97" s="3255">
        <f t="shared" si="18"/>
        <v>158.39602389906884</v>
      </c>
      <c r="L97" s="3256">
        <f t="shared" si="10"/>
        <v>398.39602389906884</v>
      </c>
      <c r="M97" s="3256">
        <f t="shared" si="11"/>
        <v>199.89602389906884</v>
      </c>
      <c r="N97" s="3248"/>
      <c r="O97" s="3248">
        <f t="shared" si="12"/>
        <v>41.5</v>
      </c>
      <c r="P97" s="3255">
        <f t="shared" si="13"/>
        <v>4.8167716602185262</v>
      </c>
      <c r="Q97" s="3122"/>
      <c r="R97" s="3044"/>
      <c r="T97" s="3222" t="s">
        <v>979</v>
      </c>
      <c r="U97" s="3223">
        <f>MAX(K92:K130)</f>
        <v>312.65040102816874</v>
      </c>
      <c r="V97" s="3224"/>
      <c r="W97" s="3066"/>
      <c r="X97" s="3066"/>
      <c r="Y97" s="3224"/>
      <c r="Z97" s="3224"/>
      <c r="AA97" s="3224"/>
      <c r="AM97" s="2960"/>
      <c r="AN97" s="2960"/>
    </row>
    <row r="98" spans="1:40" ht="17.100000000000001" customHeight="1">
      <c r="A98" s="2948"/>
      <c r="B98" s="3246">
        <f t="shared" si="14"/>
        <v>620</v>
      </c>
      <c r="C98" s="3247">
        <f t="shared" si="9"/>
        <v>6.2</v>
      </c>
      <c r="D98" s="3248"/>
      <c r="E98" s="3249">
        <f t="shared" si="15"/>
        <v>8.1867217824251188</v>
      </c>
      <c r="F98" s="3250"/>
      <c r="G98" s="3251">
        <v>171</v>
      </c>
      <c r="H98" s="3252">
        <f t="shared" si="16"/>
        <v>202.29300000000001</v>
      </c>
      <c r="I98" s="3253">
        <v>201.9</v>
      </c>
      <c r="J98" s="3254">
        <f t="shared" si="17"/>
        <v>11.900000000000006</v>
      </c>
      <c r="K98" s="3255">
        <f t="shared" si="18"/>
        <v>177.71843486008203</v>
      </c>
      <c r="L98" s="3256">
        <f t="shared" si="10"/>
        <v>417.71843486008203</v>
      </c>
      <c r="M98" s="3256">
        <f t="shared" si="11"/>
        <v>215.81843486008202</v>
      </c>
      <c r="N98" s="3248"/>
      <c r="O98" s="3248">
        <f t="shared" si="12"/>
        <v>38.099999999999994</v>
      </c>
      <c r="P98" s="3255">
        <f t="shared" si="13"/>
        <v>5.6645258493459858</v>
      </c>
      <c r="Q98" s="3122"/>
      <c r="R98" s="3044"/>
      <c r="T98" s="3222" t="s">
        <v>978</v>
      </c>
      <c r="U98" s="3224">
        <f>W98</f>
        <v>221</v>
      </c>
      <c r="V98" s="3224"/>
      <c r="W98" s="3066">
        <f>IF($U$97=K93,I93,IF($U$97=K94,I94,IF($U$97=K95,I95,IF($U$97=K96,I96,IF($U$97=K97,I97,IF($U$97=K98,I98,IF($U$97=K99,I99,X98)))))))</f>
        <v>221</v>
      </c>
      <c r="X98" s="3066">
        <f>IF($U$97=K100,I100,IF($U$97=K101,I101,IF($U$97=K102,I102,IF($U$97=K103,I103,IF($U$97=K104,I104,IF($U$97=K105,I105,IF($U$97=K106,I106,Y98)))))))</f>
        <v>221</v>
      </c>
      <c r="Y98" s="3066">
        <f>IF($U$97=K107,I107,IF($U$97=K108,I108,IF($U$97=K109,I109,IF($U$97=K110,I110,IF($U$97=K111,I111,IF($U$97=K112,I112,IF($U$97=K113,I113,Z98)))))))</f>
        <v>221</v>
      </c>
      <c r="Z98" s="3066">
        <f>IF($U$97=K114,I114,IF($U$97=K115,I115,IF($U$97=K116,I116,IF($U$97=K117,I117,IF($U$97=K118,I118,IF($U$97=K119,I119,IF($U$97=K120,I120,AA98)))))))</f>
        <v>221</v>
      </c>
      <c r="AA98" s="3066">
        <f>IF($U$97=K121,I121,IF($U$97=K122,I122,IF($U$97=K123,I123,IF($U$97=K124,I124,IF($U$97=K125,I125,IF($U$97=K126,I126,IF($U$97=K127,I127,AB98)))))))</f>
        <v>0</v>
      </c>
      <c r="AM98" s="2960"/>
      <c r="AN98" s="2960"/>
    </row>
    <row r="99" spans="1:40" ht="17.100000000000001" customHeight="1">
      <c r="A99" s="2948"/>
      <c r="B99" s="3246">
        <f t="shared" si="14"/>
        <v>640</v>
      </c>
      <c r="C99" s="3247">
        <f t="shared" si="9"/>
        <v>6.4</v>
      </c>
      <c r="D99" s="3248"/>
      <c r="E99" s="3249">
        <f t="shared" si="15"/>
        <v>8.4509201536091663</v>
      </c>
      <c r="F99" s="3250"/>
      <c r="G99" s="3251">
        <v>192</v>
      </c>
      <c r="H99" s="3252">
        <f t="shared" si="16"/>
        <v>227.13600000000002</v>
      </c>
      <c r="I99" s="3253">
        <v>203.9</v>
      </c>
      <c r="J99" s="3254">
        <f t="shared" si="17"/>
        <v>13.900000000000006</v>
      </c>
      <c r="K99" s="3255">
        <f t="shared" si="18"/>
        <v>199.00782353258845</v>
      </c>
      <c r="L99" s="3256">
        <f t="shared" si="10"/>
        <v>439.00782353258842</v>
      </c>
      <c r="M99" s="3256">
        <f t="shared" si="11"/>
        <v>235.10782353258841</v>
      </c>
      <c r="N99" s="3248"/>
      <c r="O99" s="3248">
        <f t="shared" si="12"/>
        <v>36.099999999999994</v>
      </c>
      <c r="P99" s="3255">
        <f t="shared" si="13"/>
        <v>6.5126820923154698</v>
      </c>
      <c r="Q99" s="3122"/>
      <c r="R99" s="3044"/>
      <c r="T99" s="3222" t="s">
        <v>977</v>
      </c>
      <c r="U99" s="3224">
        <f>W99</f>
        <v>19</v>
      </c>
      <c r="V99" s="3224"/>
      <c r="W99" s="3066">
        <f>IF($U$97=K93,O93,IF($U$97=K94,O94,IF($U$97=K95,O95,IF($U$97=K96,O96,IF($U$97=K97,O97,IF($U$97=K98,O98,IF($U$97=K99,O99,X99)))))))</f>
        <v>19</v>
      </c>
      <c r="X99" s="3066">
        <f>IF($U$97=K100,O100,IF($U$97=K101,O101,IF($U$97=K102,O102,IF($U$97=K103,O103,IF($U$97=K104,O104,IF($U$97=K105,O105,IF($U$97=K106,O106,Y99)))))))</f>
        <v>19</v>
      </c>
      <c r="Y99" s="3066">
        <f>IF($U$97=K107,O107,IF($U$97=K108,O108,IF($U$97=K109,O109,IF($U$97=K110,O110,IF($U$97=K111,O111,IF($U$97=K112,O112,IF($U$97=K113,O113,Z99)))))))</f>
        <v>19</v>
      </c>
      <c r="Z99" s="3066">
        <f>IF($U$97=K114,O114,IF($U$97=K115,O115,IF($U$97=K116,O116,IF($U$97=K117,O117,IF($U$97=K118,O118,IF($U$97=K119,O119,IF($U$97=K120,O120,AA99)))))))</f>
        <v>19</v>
      </c>
      <c r="AA99" s="3066">
        <f>IF($U$97=K121,O121,IF($U$97=K122,O122,IF($U$97=K123,O123,IF($U$97=K124,O124,IF($U$97=K125,O125,IF($U$97=K126,O126,IF($U$97=K127,O127,AB99)))))))</f>
        <v>0</v>
      </c>
      <c r="AM99" s="2960"/>
      <c r="AN99" s="2960"/>
    </row>
    <row r="100" spans="1:40" ht="17.100000000000001" customHeight="1">
      <c r="A100" s="2948"/>
      <c r="B100" s="3246">
        <f t="shared" si="14"/>
        <v>660</v>
      </c>
      <c r="C100" s="3247">
        <f t="shared" si="9"/>
        <v>6.6</v>
      </c>
      <c r="D100" s="3248"/>
      <c r="E100" s="3249">
        <f t="shared" si="15"/>
        <v>8.7151185247932119</v>
      </c>
      <c r="F100" s="3250"/>
      <c r="G100" s="3251">
        <v>209</v>
      </c>
      <c r="H100" s="3252">
        <f t="shared" si="16"/>
        <v>247.24700000000001</v>
      </c>
      <c r="I100" s="3253">
        <v>205.5</v>
      </c>
      <c r="J100" s="3254">
        <f t="shared" si="17"/>
        <v>15.5</v>
      </c>
      <c r="K100" s="3255">
        <f t="shared" si="18"/>
        <v>216.04519543119474</v>
      </c>
      <c r="L100" s="3256">
        <f t="shared" si="10"/>
        <v>456.04519543119477</v>
      </c>
      <c r="M100" s="3256">
        <f t="shared" si="11"/>
        <v>250.54519543119477</v>
      </c>
      <c r="N100" s="3248"/>
      <c r="O100" s="3248">
        <f t="shared" si="12"/>
        <v>34.5</v>
      </c>
      <c r="P100" s="3255">
        <f t="shared" si="13"/>
        <v>7.2621795777157905</v>
      </c>
      <c r="Q100" s="3122"/>
      <c r="R100" s="3044"/>
      <c r="T100" s="3222" t="s">
        <v>976</v>
      </c>
      <c r="U100" s="3224">
        <f>W100</f>
        <v>331.65040102816874</v>
      </c>
      <c r="V100" s="3224"/>
      <c r="W100" s="3066">
        <f>IF($U$97=K93,M93,IF($U$97=K94,M94,IF($U$97=K95,M95,IF($U$97=K96,M96,IF($U$97=K97,M97,IF($U$97=K98,M98,IF($U$97=K99,M99,X100)))))))</f>
        <v>331.65040102816874</v>
      </c>
      <c r="X100" s="3066">
        <f>IF($U$97=K100,M100,IF($U$97=K101,M101,IF($U$97=K102,M102,IF($U$97=K103,M103,IF($U$97=K104,M104,IF($U$97=K105,M105,IF($U$97=K106,M106,Y100)))))))</f>
        <v>331.65040102816874</v>
      </c>
      <c r="Y100" s="3066">
        <f>IF($U$97=K107,M107,IF($U$97=K108,M108,IF($U$97=K109,M109,IF($U$97=K110,M110,IF($U$97=K111,M111,IF($U$97=K112,M112,IF($U$97=K113,M113,Z100)))))))</f>
        <v>331.65040102816874</v>
      </c>
      <c r="Z100" s="3066">
        <f>IF($U$97=K114,M114,IF($U$97=K115,M115,IF($U$97=K116,M116,IF($U$97=K117,M117,IF($U$97=K118,M118,IF($U$97=K119,M119,IF($U$97=K120,M120,AA100)))))))</f>
        <v>331.65040102816874</v>
      </c>
      <c r="AA100" s="3066">
        <f>IF($U$97=K121,M121,IF($U$97=K122,M122,IF($U$97=K123,M123,IF($U$97=K124,M124,IF($U$97=K125,M125,IF($U$97=K126,M126,IF($U$97=K127,M127,AB100)))))))</f>
        <v>0</v>
      </c>
      <c r="AM100" s="2960"/>
      <c r="AN100" s="2960"/>
    </row>
    <row r="101" spans="1:40" ht="17.100000000000001" customHeight="1">
      <c r="A101" s="2948"/>
      <c r="B101" s="3246">
        <f t="shared" si="14"/>
        <v>680</v>
      </c>
      <c r="C101" s="3247">
        <f t="shared" si="9"/>
        <v>6.8</v>
      </c>
      <c r="D101" s="3248"/>
      <c r="E101" s="3249">
        <f t="shared" si="15"/>
        <v>8.9793168959772593</v>
      </c>
      <c r="F101" s="3250"/>
      <c r="G101" s="3251">
        <v>222</v>
      </c>
      <c r="H101" s="3252">
        <f t="shared" si="16"/>
        <v>262.62600000000003</v>
      </c>
      <c r="I101" s="3253">
        <v>207.4</v>
      </c>
      <c r="J101" s="3254">
        <f t="shared" si="17"/>
        <v>17.400000000000006</v>
      </c>
      <c r="K101" s="3255">
        <f t="shared" si="18"/>
        <v>228.86403069810234</v>
      </c>
      <c r="L101" s="3256">
        <f t="shared" si="10"/>
        <v>468.86403069810234</v>
      </c>
      <c r="M101" s="3256">
        <f t="shared" si="11"/>
        <v>261.46403069810231</v>
      </c>
      <c r="N101" s="3248"/>
      <c r="O101" s="3248">
        <f t="shared" si="12"/>
        <v>32.599999999999994</v>
      </c>
      <c r="P101" s="3255">
        <f t="shared" si="13"/>
        <v>8.0203690398190908</v>
      </c>
      <c r="Q101" s="3122"/>
      <c r="R101" s="3044"/>
      <c r="T101" s="3222" t="s">
        <v>975</v>
      </c>
      <c r="U101" s="3224">
        <f>W101</f>
        <v>552.65040102816874</v>
      </c>
      <c r="W101" s="3066">
        <f>IF($U$97=K93,L93,IF($U$97=K94,L94,IF($U$97=K95,L95,IF($U$97=K96,L96,IF($U$97=K97,L97,IF($U$97=K98,L98,IF($U$97=K99,L99,X101)))))))</f>
        <v>552.65040102816874</v>
      </c>
      <c r="X101" s="3066">
        <f>IF($U$97=K100,L100,IF($U$97=K101,L101,IF($U$97=K102,L102,IF($U$97=K103,L103,IF($U$97=K104,L104,IF($U$97=K105,L105,IF($U$97=K106,L106,Y101)))))))</f>
        <v>552.65040102816874</v>
      </c>
      <c r="Y101" s="3066">
        <f>IF($U$97=K107,L107,IF($U$97=K108,L108,IF($U$97=K109,L109,IF($U$97=K110,L110,IF($U$97=K111,L111,IF($U$97=K112,L112,IF($U$97=K113,L113,Z101)))))))</f>
        <v>552.65040102816874</v>
      </c>
      <c r="Z101" s="3066">
        <f>IF($U$97=K114,L114,IF($U$97=K115,L115,IF($U$97=K116,L116,IF($U$97=K117,L117,IF($U$97=K118,L118,IF($U$97=K119,L119,IF($U$97=K120,L120,AA101)))))))</f>
        <v>552.65040102816874</v>
      </c>
      <c r="AA101" s="3066">
        <f>IF($U$97=K121,L121,IF($U$97=K122,L122,IF($U$97=K123,L123,IF($U$97=K124,L124,IF($U$97=K125,L125,IF($U$97=K126,L126,IF($U$97=K127,L127,AB101)))))))</f>
        <v>0</v>
      </c>
      <c r="AM101" s="2960"/>
      <c r="AN101" s="2960"/>
    </row>
    <row r="102" spans="1:40" ht="17.100000000000001" customHeight="1">
      <c r="A102" s="2948"/>
      <c r="B102" s="3246">
        <f t="shared" si="14"/>
        <v>700</v>
      </c>
      <c r="C102" s="3247">
        <f t="shared" si="9"/>
        <v>7</v>
      </c>
      <c r="D102" s="3248"/>
      <c r="E102" s="3249">
        <f t="shared" si="15"/>
        <v>9.2435152671613068</v>
      </c>
      <c r="F102" s="3250"/>
      <c r="G102" s="3251">
        <v>235</v>
      </c>
      <c r="H102" s="3252">
        <f t="shared" si="16"/>
        <v>278.005</v>
      </c>
      <c r="I102" s="3253">
        <v>209.1</v>
      </c>
      <c r="J102" s="3254">
        <f t="shared" si="17"/>
        <v>19.099999999999994</v>
      </c>
      <c r="K102" s="3255">
        <f t="shared" si="18"/>
        <v>241.61032565690678</v>
      </c>
      <c r="L102" s="3256">
        <f t="shared" si="10"/>
        <v>481.61032565690675</v>
      </c>
      <c r="M102" s="3256">
        <f t="shared" si="11"/>
        <v>272.51032565690673</v>
      </c>
      <c r="N102" s="3248"/>
      <c r="O102" s="3248">
        <f t="shared" si="12"/>
        <v>30.900000000000006</v>
      </c>
      <c r="P102" s="3255">
        <f t="shared" si="13"/>
        <v>8.8191043901911552</v>
      </c>
      <c r="Q102" s="3122"/>
      <c r="R102" s="3044"/>
      <c r="T102" s="3222" t="s">
        <v>974</v>
      </c>
      <c r="U102" s="3223">
        <f>U101-U97</f>
        <v>240</v>
      </c>
      <c r="W102" s="2960"/>
      <c r="X102" s="2960"/>
      <c r="AM102" s="2960"/>
      <c r="AN102" s="2960"/>
    </row>
    <row r="103" spans="1:40" ht="17.100000000000001" customHeight="1">
      <c r="A103" s="2948"/>
      <c r="B103" s="3246">
        <f t="shared" si="14"/>
        <v>720</v>
      </c>
      <c r="C103" s="3247">
        <f t="shared" si="9"/>
        <v>7.2</v>
      </c>
      <c r="D103" s="3248"/>
      <c r="E103" s="3249">
        <f t="shared" si="15"/>
        <v>9.5077136383453542</v>
      </c>
      <c r="F103" s="3250"/>
      <c r="G103" s="3251">
        <v>238</v>
      </c>
      <c r="H103" s="3252">
        <f t="shared" si="16"/>
        <v>281.55400000000003</v>
      </c>
      <c r="I103" s="3253">
        <v>210.7</v>
      </c>
      <c r="J103" s="3254">
        <f t="shared" si="17"/>
        <v>20.699999999999989</v>
      </c>
      <c r="K103" s="3255">
        <f t="shared" si="18"/>
        <v>244.03068997262397</v>
      </c>
      <c r="L103" s="3256">
        <f t="shared" si="10"/>
        <v>484.03068997262397</v>
      </c>
      <c r="M103" s="3256">
        <f t="shared" si="11"/>
        <v>273.33068997262399</v>
      </c>
      <c r="N103" s="3248"/>
      <c r="O103" s="3248">
        <f t="shared" si="12"/>
        <v>29.300000000000011</v>
      </c>
      <c r="P103" s="3255">
        <f t="shared" si="13"/>
        <v>9.3286924905332373</v>
      </c>
      <c r="Q103" s="3122"/>
      <c r="R103" s="3044"/>
      <c r="W103" s="2960"/>
      <c r="X103" s="2960"/>
      <c r="AM103" s="2960"/>
      <c r="AN103" s="2960"/>
    </row>
    <row r="104" spans="1:40" ht="17.100000000000001" customHeight="1">
      <c r="A104" s="2948"/>
      <c r="B104" s="3246">
        <f t="shared" si="14"/>
        <v>740</v>
      </c>
      <c r="C104" s="3247">
        <f t="shared" si="9"/>
        <v>7.4</v>
      </c>
      <c r="D104" s="3248"/>
      <c r="E104" s="3249">
        <f t="shared" si="15"/>
        <v>9.7719120095294016</v>
      </c>
      <c r="F104" s="3250"/>
      <c r="G104" s="3251">
        <v>243</v>
      </c>
      <c r="H104" s="3252">
        <f t="shared" si="16"/>
        <v>287.46899999999999</v>
      </c>
      <c r="I104" s="3253">
        <v>211.5</v>
      </c>
      <c r="J104" s="3254">
        <f t="shared" si="17"/>
        <v>21.5</v>
      </c>
      <c r="K104" s="3255">
        <f t="shared" si="18"/>
        <v>248.47941226053703</v>
      </c>
      <c r="L104" s="3256">
        <f t="shared" si="10"/>
        <v>488.47941226053706</v>
      </c>
      <c r="M104" s="3256">
        <f t="shared" si="11"/>
        <v>276.97941226053706</v>
      </c>
      <c r="N104" s="3248"/>
      <c r="O104" s="3248">
        <f t="shared" si="12"/>
        <v>28.5</v>
      </c>
      <c r="P104" s="3255">
        <f t="shared" si="13"/>
        <v>9.718575868790774</v>
      </c>
      <c r="Q104" s="3122"/>
      <c r="R104" s="3044"/>
      <c r="W104" s="2960"/>
      <c r="X104" s="2960"/>
      <c r="AM104" s="2960"/>
      <c r="AN104" s="2960"/>
    </row>
    <row r="105" spans="1:40" ht="17.100000000000001" customHeight="1">
      <c r="A105" s="2948"/>
      <c r="B105" s="3246">
        <f t="shared" si="14"/>
        <v>760</v>
      </c>
      <c r="C105" s="3247">
        <f t="shared" si="9"/>
        <v>7.6</v>
      </c>
      <c r="D105" s="3248"/>
      <c r="E105" s="3249">
        <f t="shared" si="15"/>
        <v>10.036110380713447</v>
      </c>
      <c r="F105" s="3250"/>
      <c r="G105" s="3251">
        <v>248</v>
      </c>
      <c r="H105" s="3252">
        <f t="shared" si="16"/>
        <v>293.38400000000001</v>
      </c>
      <c r="I105" s="3253">
        <v>211.9</v>
      </c>
      <c r="J105" s="3254">
        <f t="shared" si="17"/>
        <v>21.900000000000006</v>
      </c>
      <c r="K105" s="3255">
        <f t="shared" si="18"/>
        <v>252.90023442994897</v>
      </c>
      <c r="L105" s="3256">
        <f t="shared" si="10"/>
        <v>492.90023442994897</v>
      </c>
      <c r="M105" s="3256">
        <f t="shared" si="11"/>
        <v>281.00023442994893</v>
      </c>
      <c r="N105" s="3248"/>
      <c r="O105" s="3248">
        <f t="shared" si="12"/>
        <v>28.099999999999994</v>
      </c>
      <c r="P105" s="3255">
        <f t="shared" si="13"/>
        <v>10.000008342702811</v>
      </c>
      <c r="Q105" s="3122"/>
      <c r="R105" s="3044"/>
      <c r="W105" s="2960"/>
      <c r="X105" s="2960"/>
      <c r="AM105" s="2960"/>
      <c r="AN105" s="2960"/>
    </row>
    <row r="106" spans="1:40" ht="17.100000000000001" customHeight="1">
      <c r="A106" s="2948"/>
      <c r="B106" s="3246">
        <f t="shared" si="14"/>
        <v>780</v>
      </c>
      <c r="C106" s="3247">
        <f t="shared" si="9"/>
        <v>7.8</v>
      </c>
      <c r="D106" s="3248"/>
      <c r="E106" s="3249">
        <f t="shared" si="15"/>
        <v>10.300308751897495</v>
      </c>
      <c r="F106" s="3250"/>
      <c r="G106" s="3251">
        <v>255</v>
      </c>
      <c r="H106" s="3252">
        <f t="shared" si="16"/>
        <v>301.66500000000002</v>
      </c>
      <c r="I106" s="3253">
        <v>212.5</v>
      </c>
      <c r="J106" s="3254">
        <f t="shared" si="17"/>
        <v>22.5</v>
      </c>
      <c r="K106" s="3255">
        <f t="shared" si="18"/>
        <v>259.32709447675575</v>
      </c>
      <c r="L106" s="3256">
        <f t="shared" si="10"/>
        <v>499.32709447675575</v>
      </c>
      <c r="M106" s="3256">
        <f t="shared" si="11"/>
        <v>286.82709447675575</v>
      </c>
      <c r="N106" s="3248"/>
      <c r="O106" s="3248">
        <f t="shared" si="12"/>
        <v>27.5</v>
      </c>
      <c r="P106" s="3255">
        <f t="shared" si="13"/>
        <v>10.430076162791119</v>
      </c>
      <c r="Q106" s="3122"/>
      <c r="R106" s="3044"/>
      <c r="W106" s="2960"/>
      <c r="X106" s="2960"/>
      <c r="AM106" s="2960"/>
      <c r="AN106" s="2960"/>
    </row>
    <row r="107" spans="1:40" ht="17.100000000000001" customHeight="1">
      <c r="A107" s="2948"/>
      <c r="B107" s="3246">
        <f t="shared" si="14"/>
        <v>800</v>
      </c>
      <c r="C107" s="3247">
        <f t="shared" si="9"/>
        <v>8</v>
      </c>
      <c r="D107" s="3248"/>
      <c r="E107" s="3249">
        <f t="shared" si="15"/>
        <v>10.564507123081542</v>
      </c>
      <c r="F107" s="3248"/>
      <c r="G107" s="3253">
        <v>262</v>
      </c>
      <c r="H107" s="3252">
        <f t="shared" si="16"/>
        <v>309.94600000000003</v>
      </c>
      <c r="I107" s="3253">
        <v>213.4</v>
      </c>
      <c r="J107" s="3254">
        <f t="shared" si="17"/>
        <v>23.400000000000006</v>
      </c>
      <c r="K107" s="3255">
        <f t="shared" si="18"/>
        <v>265.7148943576608</v>
      </c>
      <c r="L107" s="3256">
        <f t="shared" si="10"/>
        <v>505.7148943576608</v>
      </c>
      <c r="M107" s="3256">
        <f t="shared" si="11"/>
        <v>292.31489435766082</v>
      </c>
      <c r="N107" s="3248"/>
      <c r="O107" s="3248">
        <f t="shared" si="12"/>
        <v>26.599999999999994</v>
      </c>
      <c r="P107" s="3255">
        <f t="shared" si="13"/>
        <v>10.989281742769206</v>
      </c>
      <c r="Q107" s="3122"/>
      <c r="R107" s="3044"/>
      <c r="W107" s="2960"/>
      <c r="X107" s="2960"/>
      <c r="AM107" s="2960"/>
      <c r="AN107" s="2960"/>
    </row>
    <row r="108" spans="1:40" ht="17.100000000000001" customHeight="1">
      <c r="A108" s="2948"/>
      <c r="B108" s="3246">
        <f t="shared" si="14"/>
        <v>820</v>
      </c>
      <c r="C108" s="3247">
        <f t="shared" si="9"/>
        <v>8.1999999999999993</v>
      </c>
      <c r="D108" s="3248"/>
      <c r="E108" s="3249">
        <f t="shared" si="15"/>
        <v>10.828705494265588</v>
      </c>
      <c r="F108" s="3248"/>
      <c r="G108" s="3253">
        <v>265</v>
      </c>
      <c r="H108" s="3252">
        <f t="shared" si="16"/>
        <v>313.495</v>
      </c>
      <c r="I108" s="3253">
        <v>214.4</v>
      </c>
      <c r="J108" s="3254">
        <f t="shared" si="17"/>
        <v>24.400000000000006</v>
      </c>
      <c r="K108" s="3255">
        <f t="shared" si="18"/>
        <v>268.018078175673</v>
      </c>
      <c r="L108" s="3256">
        <f t="shared" si="10"/>
        <v>508.018078175673</v>
      </c>
      <c r="M108" s="3256">
        <f t="shared" si="11"/>
        <v>293.61807817567296</v>
      </c>
      <c r="N108" s="3248"/>
      <c r="O108" s="3248">
        <f t="shared" si="12"/>
        <v>25.599999999999994</v>
      </c>
      <c r="P108" s="3255">
        <f t="shared" si="13"/>
        <v>11.469456178737227</v>
      </c>
      <c r="Q108" s="2952"/>
      <c r="R108" s="3044"/>
      <c r="W108" s="2960"/>
      <c r="X108" s="2960"/>
      <c r="AM108" s="2960"/>
      <c r="AN108" s="2960"/>
    </row>
    <row r="109" spans="1:40" ht="17.100000000000001" customHeight="1">
      <c r="A109" s="2948"/>
      <c r="B109" s="3246">
        <f t="shared" si="14"/>
        <v>840</v>
      </c>
      <c r="C109" s="3247">
        <f t="shared" si="9"/>
        <v>8.4</v>
      </c>
      <c r="D109" s="3248"/>
      <c r="E109" s="3249">
        <f t="shared" si="15"/>
        <v>11.092903865449637</v>
      </c>
      <c r="F109" s="3248"/>
      <c r="G109" s="3253">
        <v>271</v>
      </c>
      <c r="H109" s="3252">
        <f t="shared" si="16"/>
        <v>320.59300000000002</v>
      </c>
      <c r="I109" s="3253">
        <v>217.1</v>
      </c>
      <c r="J109" s="3254">
        <f t="shared" si="17"/>
        <v>27.099999999999994</v>
      </c>
      <c r="K109" s="3255">
        <f t="shared" si="18"/>
        <v>273.33031880977751</v>
      </c>
      <c r="L109" s="3256">
        <f t="shared" si="10"/>
        <v>513.33031880977751</v>
      </c>
      <c r="M109" s="3256">
        <f t="shared" si="11"/>
        <v>296.23031880977749</v>
      </c>
      <c r="N109" s="3248"/>
      <c r="O109" s="3248">
        <f t="shared" si="12"/>
        <v>22.900000000000006</v>
      </c>
      <c r="P109" s="3255">
        <f t="shared" si="13"/>
        <v>12.93582178208635</v>
      </c>
      <c r="Q109" s="2952"/>
      <c r="R109" s="3044"/>
      <c r="W109" s="2960"/>
      <c r="X109" s="2960"/>
      <c r="AM109" s="2960"/>
      <c r="AN109" s="2960"/>
    </row>
    <row r="110" spans="1:40" ht="17.100000000000001" customHeight="1">
      <c r="A110" s="2948"/>
      <c r="B110" s="3246">
        <f t="shared" si="14"/>
        <v>860</v>
      </c>
      <c r="C110" s="3247">
        <f t="shared" si="9"/>
        <v>8.6</v>
      </c>
      <c r="D110" s="3248"/>
      <c r="E110" s="3249">
        <f t="shared" si="15"/>
        <v>11.357102236633683</v>
      </c>
      <c r="F110" s="3248"/>
      <c r="G110" s="3253">
        <v>277</v>
      </c>
      <c r="H110" s="3252">
        <f t="shared" si="16"/>
        <v>327.69100000000003</v>
      </c>
      <c r="I110" s="3253">
        <v>218.1</v>
      </c>
      <c r="J110" s="3254">
        <f t="shared" si="17"/>
        <v>28.099999999999994</v>
      </c>
      <c r="K110" s="3255">
        <f t="shared" si="18"/>
        <v>278.60907930168065</v>
      </c>
      <c r="L110" s="3256">
        <f t="shared" si="10"/>
        <v>518.60907930168059</v>
      </c>
      <c r="M110" s="3256">
        <f t="shared" si="11"/>
        <v>300.50907930168057</v>
      </c>
      <c r="N110" s="3248"/>
      <c r="O110" s="3248">
        <f t="shared" si="12"/>
        <v>21.900000000000006</v>
      </c>
      <c r="P110" s="3255">
        <f t="shared" si="13"/>
        <v>13.721875767200023</v>
      </c>
      <c r="Q110" s="2952"/>
      <c r="R110" s="3044"/>
    </row>
    <row r="111" spans="1:40" ht="17.100000000000001" customHeight="1">
      <c r="A111" s="2948"/>
      <c r="B111" s="3246">
        <f t="shared" si="14"/>
        <v>880</v>
      </c>
      <c r="C111" s="3247">
        <f t="shared" si="9"/>
        <v>8.8000000000000007</v>
      </c>
      <c r="D111" s="3248"/>
      <c r="E111" s="3249">
        <f t="shared" si="15"/>
        <v>11.621300607817732</v>
      </c>
      <c r="F111" s="3248"/>
      <c r="G111" s="3253">
        <v>282</v>
      </c>
      <c r="H111" s="3252">
        <f t="shared" si="16"/>
        <v>333.60599999999999</v>
      </c>
      <c r="I111" s="3253">
        <v>219.5</v>
      </c>
      <c r="J111" s="3254">
        <f t="shared" si="17"/>
        <v>29.5</v>
      </c>
      <c r="K111" s="3255">
        <f t="shared" si="18"/>
        <v>282.85134071268482</v>
      </c>
      <c r="L111" s="3256">
        <f t="shared" si="10"/>
        <v>522.85134071268476</v>
      </c>
      <c r="M111" s="3256">
        <f t="shared" si="11"/>
        <v>303.35134071268476</v>
      </c>
      <c r="N111" s="3248"/>
      <c r="O111" s="3248">
        <f t="shared" si="12"/>
        <v>20.5</v>
      </c>
      <c r="P111" s="3255">
        <f t="shared" si="13"/>
        <v>14.797626376228525</v>
      </c>
      <c r="Q111" s="2952"/>
      <c r="R111" s="3044"/>
    </row>
    <row r="112" spans="1:40" ht="17.100000000000001" customHeight="1">
      <c r="A112" s="2948"/>
      <c r="B112" s="3246">
        <f t="shared" si="14"/>
        <v>900</v>
      </c>
      <c r="C112" s="3247">
        <f t="shared" si="9"/>
        <v>9</v>
      </c>
      <c r="D112" s="3248"/>
      <c r="E112" s="3249">
        <f t="shared" si="15"/>
        <v>11.885498979001778</v>
      </c>
      <c r="F112" s="3248"/>
      <c r="G112" s="3253">
        <v>288</v>
      </c>
      <c r="H112" s="3252">
        <f t="shared" si="16"/>
        <v>340.70400000000001</v>
      </c>
      <c r="I112" s="3253">
        <v>220.5</v>
      </c>
      <c r="J112" s="3254">
        <f t="shared" si="17"/>
        <v>30.5</v>
      </c>
      <c r="K112" s="3255">
        <f t="shared" si="18"/>
        <v>288.0659309320352</v>
      </c>
      <c r="L112" s="3256">
        <f t="shared" si="10"/>
        <v>528.06593093203514</v>
      </c>
      <c r="M112" s="3256">
        <f t="shared" si="11"/>
        <v>307.56593093203514</v>
      </c>
      <c r="N112" s="3248"/>
      <c r="O112" s="3248">
        <f t="shared" si="12"/>
        <v>19.5</v>
      </c>
      <c r="P112" s="3255">
        <f t="shared" si="13"/>
        <v>15.77261184266847</v>
      </c>
      <c r="Q112" s="2952"/>
      <c r="R112" s="3044"/>
    </row>
    <row r="113" spans="1:43" ht="17.100000000000001" customHeight="1">
      <c r="A113" s="2948"/>
      <c r="B113" s="3246">
        <f t="shared" si="14"/>
        <v>920</v>
      </c>
      <c r="C113" s="3247">
        <f t="shared" si="9"/>
        <v>9.1999999999999993</v>
      </c>
      <c r="D113" s="3248"/>
      <c r="E113" s="3249">
        <f t="shared" si="15"/>
        <v>12.149697350185823</v>
      </c>
      <c r="F113" s="3248"/>
      <c r="G113" s="3253">
        <v>294</v>
      </c>
      <c r="H113" s="3252">
        <f t="shared" si="16"/>
        <v>347.80200000000002</v>
      </c>
      <c r="I113" s="3253">
        <v>221</v>
      </c>
      <c r="J113" s="3254">
        <f t="shared" si="17"/>
        <v>31</v>
      </c>
      <c r="K113" s="3255">
        <f t="shared" si="18"/>
        <v>293.24704100918416</v>
      </c>
      <c r="L113" s="3256">
        <f t="shared" si="10"/>
        <v>533.24704100918416</v>
      </c>
      <c r="M113" s="3256">
        <f t="shared" si="11"/>
        <v>312.24704100918416</v>
      </c>
      <c r="N113" s="3248"/>
      <c r="O113" s="3248">
        <f t="shared" si="12"/>
        <v>19</v>
      </c>
      <c r="P113" s="3255">
        <f t="shared" si="13"/>
        <v>16.434054789957059</v>
      </c>
      <c r="Q113" s="2952"/>
      <c r="R113" s="3044"/>
    </row>
    <row r="114" spans="1:43" ht="17.100000000000001" customHeight="1">
      <c r="A114" s="2948"/>
      <c r="B114" s="3246">
        <f t="shared" si="14"/>
        <v>940</v>
      </c>
      <c r="C114" s="3247">
        <f t="shared" si="9"/>
        <v>9.4</v>
      </c>
      <c r="D114" s="3248"/>
      <c r="E114" s="3249">
        <f t="shared" si="15"/>
        <v>12.413895721369872</v>
      </c>
      <c r="F114" s="3248"/>
      <c r="G114" s="3253">
        <v>300</v>
      </c>
      <c r="H114" s="3252">
        <f t="shared" si="16"/>
        <v>354.90000000000003</v>
      </c>
      <c r="I114" s="3253">
        <v>221</v>
      </c>
      <c r="J114" s="3254">
        <f t="shared" si="17"/>
        <v>31</v>
      </c>
      <c r="K114" s="3255">
        <f t="shared" si="18"/>
        <v>298.39467094413169</v>
      </c>
      <c r="L114" s="3256">
        <f t="shared" si="10"/>
        <v>538.39467094413169</v>
      </c>
      <c r="M114" s="3256">
        <f t="shared" si="11"/>
        <v>317.39467094413169</v>
      </c>
      <c r="N114" s="3248"/>
      <c r="O114" s="3248">
        <f t="shared" si="12"/>
        <v>19</v>
      </c>
      <c r="P114" s="3255">
        <f t="shared" si="13"/>
        <v>16.704982681270089</v>
      </c>
      <c r="Q114" s="2952"/>
      <c r="R114" s="3044"/>
    </row>
    <row r="115" spans="1:43" ht="17.100000000000001" customHeight="1">
      <c r="A115" s="2948"/>
      <c r="B115" s="3246">
        <f t="shared" si="14"/>
        <v>960</v>
      </c>
      <c r="C115" s="3247">
        <f t="shared" si="9"/>
        <v>9.6</v>
      </c>
      <c r="D115" s="3248"/>
      <c r="E115" s="3249">
        <f t="shared" si="15"/>
        <v>12.678094092553918</v>
      </c>
      <c r="F115" s="3248"/>
      <c r="G115" s="3253">
        <v>306</v>
      </c>
      <c r="H115" s="3252">
        <f t="shared" si="16"/>
        <v>361.99799999999999</v>
      </c>
      <c r="I115" s="3253">
        <v>221</v>
      </c>
      <c r="J115" s="3254">
        <f t="shared" si="17"/>
        <v>31</v>
      </c>
      <c r="K115" s="3255">
        <f t="shared" si="18"/>
        <v>303.50882073687768</v>
      </c>
      <c r="L115" s="3256">
        <f t="shared" si="10"/>
        <v>543.50882073687762</v>
      </c>
      <c r="M115" s="3256">
        <f t="shared" si="11"/>
        <v>322.50882073687762</v>
      </c>
      <c r="N115" s="3248"/>
      <c r="O115" s="3248">
        <f t="shared" si="12"/>
        <v>19</v>
      </c>
      <c r="P115" s="3255">
        <f t="shared" si="13"/>
        <v>16.974148459835664</v>
      </c>
      <c r="Q115" s="3119"/>
      <c r="R115" s="3044"/>
      <c r="W115" s="2960"/>
      <c r="X115" s="2960"/>
      <c r="Y115" s="2960"/>
      <c r="Z115" s="2960"/>
      <c r="AA115" s="2960"/>
      <c r="AC115" s="2961"/>
      <c r="AD115" s="2960"/>
      <c r="AE115" s="2960"/>
      <c r="AF115" s="2960"/>
      <c r="AG115" s="2960"/>
      <c r="AH115" s="2960"/>
      <c r="AI115" s="2960"/>
      <c r="AJ115" s="2960"/>
      <c r="AK115" s="2960"/>
      <c r="AL115" s="2960"/>
      <c r="AM115" s="2960"/>
      <c r="AN115" s="2960"/>
      <c r="AO115" s="2960"/>
      <c r="AP115" s="2960"/>
      <c r="AQ115" s="2960"/>
    </row>
    <row r="116" spans="1:43" ht="17.100000000000001" customHeight="1">
      <c r="A116" s="2948"/>
      <c r="B116" s="3246">
        <f t="shared" si="14"/>
        <v>980</v>
      </c>
      <c r="C116" s="3247">
        <f t="shared" si="9"/>
        <v>9.8000000000000007</v>
      </c>
      <c r="D116" s="3248"/>
      <c r="E116" s="3249">
        <f t="shared" si="15"/>
        <v>12.942292463737967</v>
      </c>
      <c r="F116" s="3248"/>
      <c r="G116" s="3253">
        <v>311</v>
      </c>
      <c r="H116" s="3252">
        <f t="shared" si="16"/>
        <v>367.91300000000001</v>
      </c>
      <c r="I116" s="3253">
        <v>221</v>
      </c>
      <c r="J116" s="3254">
        <f t="shared" si="17"/>
        <v>31</v>
      </c>
      <c r="K116" s="3255">
        <f t="shared" si="18"/>
        <v>307.60042150797545</v>
      </c>
      <c r="L116" s="3256">
        <f t="shared" si="10"/>
        <v>547.6004215079754</v>
      </c>
      <c r="M116" s="3256">
        <f t="shared" si="11"/>
        <v>326.6004215079754</v>
      </c>
      <c r="N116" s="3248"/>
      <c r="O116" s="3248">
        <f t="shared" si="12"/>
        <v>19</v>
      </c>
      <c r="P116" s="3255">
        <f t="shared" si="13"/>
        <v>17.189495868840812</v>
      </c>
      <c r="Q116" s="3153"/>
      <c r="R116" s="3044"/>
      <c r="W116" s="3064"/>
      <c r="X116" s="3064"/>
      <c r="Y116" s="3064"/>
      <c r="Z116" s="3064"/>
      <c r="AF116" s="2945"/>
      <c r="AG116" s="2945"/>
      <c r="AJ116" s="2978"/>
      <c r="AK116" s="3065"/>
      <c r="AL116" s="3064"/>
      <c r="AM116" s="3064"/>
      <c r="AN116" s="3064"/>
      <c r="AO116" s="3064"/>
      <c r="AP116" s="3064"/>
    </row>
    <row r="117" spans="1:43" ht="17.100000000000001" customHeight="1">
      <c r="A117" s="2948"/>
      <c r="B117" s="3246">
        <f t="shared" si="14"/>
        <v>1000</v>
      </c>
      <c r="C117" s="3247">
        <f t="shared" si="9"/>
        <v>10</v>
      </c>
      <c r="D117" s="3248"/>
      <c r="E117" s="3249">
        <f t="shared" si="15"/>
        <v>13.206490834922013</v>
      </c>
      <c r="F117" s="3248"/>
      <c r="G117" s="3253">
        <v>317</v>
      </c>
      <c r="H117" s="3252">
        <f t="shared" si="16"/>
        <v>375.01100000000002</v>
      </c>
      <c r="I117" s="3253">
        <v>221</v>
      </c>
      <c r="J117" s="3254">
        <f t="shared" si="17"/>
        <v>31</v>
      </c>
      <c r="K117" s="3255">
        <f t="shared" si="18"/>
        <v>312.65040102816874</v>
      </c>
      <c r="L117" s="3256">
        <f t="shared" si="10"/>
        <v>552.65040102816874</v>
      </c>
      <c r="M117" s="3256">
        <f t="shared" si="11"/>
        <v>331.65040102816874</v>
      </c>
      <c r="N117" s="3248"/>
      <c r="O117" s="3248">
        <f t="shared" si="12"/>
        <v>19</v>
      </c>
      <c r="P117" s="3255">
        <f t="shared" si="13"/>
        <v>17.455284264640461</v>
      </c>
      <c r="Q117" s="3153"/>
      <c r="R117" s="3044"/>
      <c r="W117" s="3156"/>
      <c r="X117" s="3156"/>
      <c r="Y117" s="3064"/>
      <c r="Z117" s="3064"/>
      <c r="AF117" s="2945"/>
      <c r="AG117" s="2945"/>
      <c r="AJ117" s="2978"/>
      <c r="AK117" s="3066"/>
      <c r="AL117" s="3156"/>
      <c r="AM117" s="3156"/>
      <c r="AN117" s="3156"/>
      <c r="AO117" s="3064"/>
      <c r="AP117" s="3064"/>
    </row>
    <row r="118" spans="1:43" ht="17.100000000000001" customHeight="1">
      <c r="A118" s="2948"/>
      <c r="B118" s="3246"/>
      <c r="C118" s="3247"/>
      <c r="D118" s="3248"/>
      <c r="E118" s="3249"/>
      <c r="F118" s="3248"/>
      <c r="G118" s="3253"/>
      <c r="H118" s="3252"/>
      <c r="I118" s="3253"/>
      <c r="J118" s="3254"/>
      <c r="K118" s="3255"/>
      <c r="L118" s="3256"/>
      <c r="M118" s="3256"/>
      <c r="N118" s="3248"/>
      <c r="O118" s="3248"/>
      <c r="P118" s="3255"/>
      <c r="Q118" s="3153"/>
      <c r="R118" s="3044"/>
      <c r="W118" s="3064"/>
      <c r="X118" s="3064"/>
      <c r="Y118" s="3064"/>
      <c r="Z118" s="3064"/>
      <c r="AF118" s="2945"/>
      <c r="AG118" s="2945"/>
      <c r="AJ118" s="2978"/>
      <c r="AK118" s="3066"/>
      <c r="AL118" s="3064"/>
      <c r="AM118" s="3064"/>
      <c r="AN118" s="3064"/>
      <c r="AO118" s="3064"/>
      <c r="AP118" s="3064"/>
    </row>
    <row r="119" spans="1:43" ht="17.100000000000001" customHeight="1">
      <c r="A119" s="2948"/>
      <c r="B119" s="3246"/>
      <c r="C119" s="3247"/>
      <c r="D119" s="3248"/>
      <c r="E119" s="3249"/>
      <c r="F119" s="3248"/>
      <c r="G119" s="3253"/>
      <c r="H119" s="3252"/>
      <c r="I119" s="3253"/>
      <c r="J119" s="3254"/>
      <c r="K119" s="3255"/>
      <c r="L119" s="3256"/>
      <c r="M119" s="3256"/>
      <c r="N119" s="3248"/>
      <c r="O119" s="3248"/>
      <c r="P119" s="3255"/>
      <c r="Q119" s="3153"/>
      <c r="R119" s="3044"/>
      <c r="W119" s="3064"/>
      <c r="X119" s="3064"/>
      <c r="Y119" s="3064"/>
      <c r="Z119" s="3064"/>
      <c r="AF119" s="2945"/>
      <c r="AG119" s="2945"/>
      <c r="AJ119" s="2978"/>
      <c r="AK119" s="3066"/>
      <c r="AL119" s="3064"/>
      <c r="AM119" s="3064"/>
      <c r="AN119" s="3064"/>
      <c r="AO119" s="3064"/>
      <c r="AP119" s="3064"/>
    </row>
    <row r="120" spans="1:43" ht="17.100000000000001" customHeight="1">
      <c r="A120" s="2948"/>
      <c r="B120" s="3246"/>
      <c r="C120" s="3247"/>
      <c r="D120" s="3248"/>
      <c r="E120" s="3249"/>
      <c r="F120" s="3248"/>
      <c r="G120" s="3253"/>
      <c r="H120" s="3252"/>
      <c r="I120" s="3253"/>
      <c r="J120" s="3254"/>
      <c r="K120" s="3255"/>
      <c r="L120" s="3256"/>
      <c r="M120" s="3256"/>
      <c r="N120" s="3248"/>
      <c r="O120" s="3248"/>
      <c r="P120" s="3255"/>
      <c r="Q120" s="3153"/>
      <c r="R120" s="3044"/>
      <c r="W120" s="3064"/>
      <c r="X120" s="3064"/>
      <c r="Y120" s="3064"/>
      <c r="Z120" s="3064"/>
      <c r="AF120" s="2945"/>
      <c r="AG120" s="2945"/>
      <c r="AJ120" s="2978"/>
      <c r="AK120" s="3066"/>
      <c r="AL120" s="3064"/>
      <c r="AM120" s="3064"/>
      <c r="AN120" s="3064"/>
      <c r="AO120" s="3064"/>
      <c r="AP120" s="3064"/>
    </row>
    <row r="121" spans="1:43" ht="17.100000000000001" customHeight="1">
      <c r="A121" s="2948"/>
      <c r="B121" s="3246"/>
      <c r="C121" s="3247"/>
      <c r="D121" s="3248"/>
      <c r="E121" s="3249"/>
      <c r="F121" s="3248"/>
      <c r="G121" s="3253"/>
      <c r="H121" s="3252"/>
      <c r="I121" s="3253"/>
      <c r="J121" s="3254"/>
      <c r="K121" s="3255"/>
      <c r="L121" s="3256"/>
      <c r="M121" s="3256"/>
      <c r="N121" s="3248"/>
      <c r="O121" s="3248"/>
      <c r="P121" s="3255"/>
      <c r="Q121" s="3153"/>
      <c r="R121" s="3044"/>
      <c r="W121" s="3064"/>
      <c r="X121" s="3064"/>
      <c r="Y121" s="3064"/>
      <c r="Z121" s="3064"/>
      <c r="AF121" s="2945"/>
      <c r="AG121" s="2945"/>
      <c r="AJ121" s="2978"/>
      <c r="AK121" s="3066"/>
      <c r="AL121" s="3064"/>
      <c r="AM121" s="3064"/>
      <c r="AN121" s="3064"/>
      <c r="AO121" s="3064"/>
      <c r="AP121" s="3064"/>
    </row>
    <row r="122" spans="1:43" ht="17.100000000000001" customHeight="1">
      <c r="A122" s="2948"/>
      <c r="B122" s="3246"/>
      <c r="C122" s="3247"/>
      <c r="D122" s="3248"/>
      <c r="E122" s="3249"/>
      <c r="F122" s="3248"/>
      <c r="G122" s="3253"/>
      <c r="H122" s="3252"/>
      <c r="I122" s="3253"/>
      <c r="J122" s="3254"/>
      <c r="K122" s="3255"/>
      <c r="L122" s="3256"/>
      <c r="M122" s="3256"/>
      <c r="N122" s="3248"/>
      <c r="O122" s="3248"/>
      <c r="P122" s="3255"/>
      <c r="Q122" s="3153"/>
      <c r="R122" s="3044"/>
      <c r="T122" s="3159"/>
      <c r="W122" s="3064"/>
      <c r="X122" s="3064"/>
      <c r="Y122" s="3064"/>
      <c r="Z122" s="3064"/>
      <c r="AF122" s="2945"/>
      <c r="AG122" s="2945"/>
      <c r="AJ122" s="2978"/>
      <c r="AK122" s="3066"/>
      <c r="AL122" s="3064"/>
      <c r="AM122" s="3064"/>
      <c r="AN122" s="3064"/>
      <c r="AO122" s="3064"/>
      <c r="AP122" s="3064"/>
    </row>
    <row r="123" spans="1:43" ht="17.100000000000001" customHeight="1">
      <c r="A123" s="2948"/>
      <c r="B123" s="3257"/>
      <c r="C123" s="3247"/>
      <c r="D123" s="3248"/>
      <c r="E123" s="3249"/>
      <c r="F123" s="3248"/>
      <c r="G123" s="3258"/>
      <c r="H123" s="3252"/>
      <c r="I123" s="3258"/>
      <c r="J123" s="3254"/>
      <c r="K123" s="3255"/>
      <c r="L123" s="3256"/>
      <c r="M123" s="3256"/>
      <c r="N123" s="3248"/>
      <c r="O123" s="3248"/>
      <c r="P123" s="3255"/>
      <c r="Q123" s="3153"/>
      <c r="R123" s="3044"/>
      <c r="T123" s="3159"/>
      <c r="W123" s="3064"/>
      <c r="X123" s="3064"/>
      <c r="Y123" s="3064"/>
      <c r="Z123" s="3064"/>
      <c r="AF123" s="2945"/>
      <c r="AG123" s="2945"/>
      <c r="AJ123" s="2978"/>
      <c r="AK123" s="3066"/>
      <c r="AL123" s="3064"/>
      <c r="AM123" s="3064"/>
      <c r="AN123" s="3064"/>
      <c r="AO123" s="3064"/>
      <c r="AP123" s="3064"/>
    </row>
    <row r="124" spans="1:43" ht="17.100000000000001" customHeight="1">
      <c r="A124" s="2948"/>
      <c r="B124" s="3257"/>
      <c r="C124" s="3247"/>
      <c r="D124" s="3248"/>
      <c r="E124" s="3249"/>
      <c r="F124" s="3248"/>
      <c r="G124" s="3258"/>
      <c r="H124" s="3252"/>
      <c r="I124" s="3258"/>
      <c r="J124" s="3254"/>
      <c r="K124" s="3255"/>
      <c r="L124" s="3256"/>
      <c r="M124" s="3256"/>
      <c r="N124" s="3248"/>
      <c r="O124" s="3248"/>
      <c r="P124" s="3255"/>
      <c r="Q124" s="3153"/>
      <c r="R124" s="3044"/>
      <c r="T124" s="3159"/>
      <c r="W124" s="3064"/>
      <c r="X124" s="3064"/>
      <c r="Y124" s="3064"/>
      <c r="Z124" s="3064"/>
      <c r="AF124" s="2945"/>
      <c r="AG124" s="2945"/>
      <c r="AJ124" s="2978"/>
      <c r="AK124" s="3066"/>
      <c r="AL124" s="3064"/>
      <c r="AM124" s="3064"/>
      <c r="AN124" s="3064"/>
      <c r="AO124" s="3064"/>
      <c r="AP124" s="3064"/>
    </row>
    <row r="125" spans="1:43" ht="17.100000000000001" customHeight="1">
      <c r="A125" s="2948"/>
      <c r="B125" s="3257"/>
      <c r="C125" s="3247"/>
      <c r="D125" s="3248"/>
      <c r="E125" s="3249"/>
      <c r="F125" s="3248"/>
      <c r="G125" s="3258"/>
      <c r="H125" s="3252"/>
      <c r="I125" s="3258"/>
      <c r="J125" s="3254"/>
      <c r="K125" s="3255"/>
      <c r="L125" s="3256"/>
      <c r="M125" s="3256"/>
      <c r="N125" s="3248"/>
      <c r="O125" s="3248"/>
      <c r="P125" s="3255"/>
      <c r="Q125" s="3153"/>
      <c r="R125" s="3044"/>
      <c r="T125" s="3159"/>
      <c r="W125" s="3064"/>
      <c r="X125" s="3064"/>
      <c r="Y125" s="3064"/>
      <c r="Z125" s="3064"/>
      <c r="AF125" s="2945"/>
      <c r="AG125" s="2945"/>
      <c r="AJ125" s="2978"/>
      <c r="AK125" s="3066"/>
      <c r="AL125" s="3064"/>
      <c r="AM125" s="3064"/>
      <c r="AN125" s="3064"/>
      <c r="AO125" s="3064"/>
      <c r="AP125" s="3064"/>
    </row>
    <row r="126" spans="1:43" ht="17.100000000000001" customHeight="1">
      <c r="A126" s="2948"/>
      <c r="B126" s="3257"/>
      <c r="C126" s="3255"/>
      <c r="D126" s="3248"/>
      <c r="E126" s="3249"/>
      <c r="F126" s="3248"/>
      <c r="G126" s="3258"/>
      <c r="H126" s="3252"/>
      <c r="I126" s="3258"/>
      <c r="J126" s="3254"/>
      <c r="K126" s="3255"/>
      <c r="L126" s="3256"/>
      <c r="M126" s="3256"/>
      <c r="N126" s="3248"/>
      <c r="O126" s="3248"/>
      <c r="P126" s="3255"/>
      <c r="Q126" s="3153"/>
      <c r="R126" s="3044"/>
      <c r="T126" s="3159"/>
      <c r="W126" s="3064"/>
      <c r="X126" s="3064"/>
      <c r="Y126" s="3064"/>
      <c r="Z126" s="3064"/>
      <c r="AF126" s="2945"/>
      <c r="AG126" s="2945"/>
      <c r="AJ126" s="2978"/>
      <c r="AK126" s="3066"/>
      <c r="AL126" s="3064"/>
      <c r="AM126" s="3064"/>
      <c r="AN126" s="3064"/>
      <c r="AO126" s="3064"/>
      <c r="AP126" s="3064"/>
    </row>
    <row r="127" spans="1:43" ht="17.100000000000001" customHeight="1">
      <c r="A127" s="2948"/>
      <c r="B127" s="3257"/>
      <c r="C127" s="3255"/>
      <c r="D127" s="3248"/>
      <c r="E127" s="3249"/>
      <c r="F127" s="3248"/>
      <c r="G127" s="3258"/>
      <c r="H127" s="3252"/>
      <c r="I127" s="3258"/>
      <c r="J127" s="3254"/>
      <c r="K127" s="3255"/>
      <c r="L127" s="3256"/>
      <c r="M127" s="3256"/>
      <c r="N127" s="3248"/>
      <c r="O127" s="3248"/>
      <c r="P127" s="3255"/>
      <c r="Q127" s="3153"/>
      <c r="R127" s="3044"/>
      <c r="T127" s="3159"/>
      <c r="W127" s="3064"/>
      <c r="X127" s="3064"/>
      <c r="Y127" s="3064"/>
      <c r="Z127" s="3064"/>
      <c r="AF127" s="2945"/>
      <c r="AG127" s="2945"/>
      <c r="AJ127" s="2978"/>
      <c r="AK127" s="3066"/>
      <c r="AL127" s="3064"/>
      <c r="AM127" s="3064"/>
      <c r="AN127" s="3064"/>
      <c r="AO127" s="3064"/>
      <c r="AP127" s="3064"/>
    </row>
    <row r="128" spans="1:43" ht="17.100000000000001" customHeight="1">
      <c r="A128" s="2948"/>
      <c r="B128" s="3257"/>
      <c r="C128" s="3254"/>
      <c r="D128" s="3248"/>
      <c r="E128" s="3248"/>
      <c r="F128" s="3248"/>
      <c r="G128" s="3258"/>
      <c r="H128" s="3252"/>
      <c r="I128" s="3258"/>
      <c r="J128" s="3254"/>
      <c r="K128" s="3254"/>
      <c r="L128" s="3254"/>
      <c r="M128" s="3254"/>
      <c r="N128" s="3248"/>
      <c r="O128" s="3248"/>
      <c r="P128" s="3254"/>
      <c r="Q128" s="3153"/>
      <c r="T128" s="3159"/>
      <c r="W128" s="3064"/>
      <c r="X128" s="3064"/>
      <c r="Y128" s="3064"/>
      <c r="Z128" s="3064"/>
      <c r="AF128" s="2945"/>
      <c r="AG128" s="2945"/>
      <c r="AJ128" s="2978"/>
      <c r="AK128" s="3066"/>
      <c r="AL128" s="3064"/>
      <c r="AM128" s="3064"/>
      <c r="AN128" s="3064"/>
      <c r="AO128" s="3064"/>
      <c r="AP128" s="3064"/>
    </row>
    <row r="129" spans="1:43" ht="17.100000000000001" customHeight="1">
      <c r="A129" s="2948"/>
      <c r="B129" s="3257"/>
      <c r="C129" s="3254"/>
      <c r="D129" s="3248"/>
      <c r="E129" s="3248"/>
      <c r="F129" s="3248"/>
      <c r="G129" s="3258"/>
      <c r="H129" s="3252"/>
      <c r="I129" s="3258"/>
      <c r="J129" s="3254"/>
      <c r="K129" s="3254"/>
      <c r="L129" s="3254"/>
      <c r="M129" s="3254"/>
      <c r="N129" s="3248"/>
      <c r="O129" s="3248"/>
      <c r="P129" s="3254"/>
      <c r="Q129" s="3153"/>
      <c r="T129" s="3159"/>
      <c r="W129" s="3064"/>
      <c r="X129" s="3064"/>
      <c r="Y129" s="3064"/>
      <c r="Z129" s="3064"/>
      <c r="AF129" s="2945"/>
      <c r="AG129" s="2945"/>
      <c r="AJ129" s="2978"/>
      <c r="AK129" s="3066"/>
      <c r="AL129" s="3064"/>
      <c r="AM129" s="3064"/>
      <c r="AN129" s="3064"/>
      <c r="AO129" s="3064"/>
      <c r="AP129" s="3064"/>
    </row>
    <row r="130" spans="1:43" ht="17.100000000000001" customHeight="1">
      <c r="A130" s="2948"/>
      <c r="B130" s="3259"/>
      <c r="C130" s="3260"/>
      <c r="D130" s="3261"/>
      <c r="E130" s="3261"/>
      <c r="F130" s="3261"/>
      <c r="G130" s="3262"/>
      <c r="H130" s="3260"/>
      <c r="I130" s="3262"/>
      <c r="J130" s="3260"/>
      <c r="K130" s="3260"/>
      <c r="L130" s="3260"/>
      <c r="M130" s="3260"/>
      <c r="N130" s="3261"/>
      <c r="O130" s="3261"/>
      <c r="P130" s="3260"/>
      <c r="Q130" s="2952"/>
    </row>
    <row r="131" spans="1:43" ht="17.100000000000001" customHeight="1">
      <c r="A131" s="2948"/>
      <c r="B131" s="3263"/>
      <c r="C131" s="2960"/>
      <c r="D131" s="2960"/>
      <c r="E131" s="2960"/>
      <c r="F131" s="2960"/>
      <c r="G131" s="2989"/>
      <c r="H131" s="2960"/>
      <c r="I131" s="2989"/>
      <c r="J131" s="2960"/>
      <c r="K131" s="2960"/>
      <c r="L131" s="2960"/>
      <c r="M131" s="2960"/>
      <c r="N131" s="2960"/>
      <c r="O131" s="2960"/>
      <c r="P131" s="2960"/>
      <c r="Q131" s="2952"/>
    </row>
    <row r="132" spans="1:43" ht="17.100000000000001" customHeight="1">
      <c r="A132" s="2948"/>
      <c r="B132" s="3263"/>
      <c r="C132" s="2960"/>
      <c r="D132" s="2960"/>
      <c r="E132" s="2960"/>
      <c r="F132" s="2960"/>
      <c r="G132" s="2989"/>
      <c r="H132" s="2960"/>
      <c r="I132" s="2989"/>
      <c r="J132" s="2960"/>
      <c r="K132" s="2960"/>
      <c r="L132" s="2960"/>
      <c r="M132" s="2960"/>
      <c r="N132" s="2960"/>
      <c r="O132" s="2960"/>
      <c r="P132" s="2960"/>
      <c r="Q132" s="2952"/>
    </row>
    <row r="133" spans="1:43" ht="17.100000000000001" customHeight="1">
      <c r="A133" s="2951"/>
      <c r="B133" s="2949"/>
      <c r="C133" s="2949"/>
      <c r="D133" s="2949"/>
      <c r="E133" s="2949"/>
      <c r="F133" s="2949"/>
      <c r="G133" s="3129"/>
      <c r="H133" s="2949"/>
      <c r="I133" s="3129"/>
      <c r="J133" s="2949"/>
      <c r="K133" s="2949"/>
      <c r="L133" s="2949"/>
      <c r="M133" s="2949"/>
      <c r="N133" s="2949"/>
      <c r="O133" s="2949"/>
      <c r="P133" s="2949"/>
      <c r="Q133" s="2969"/>
    </row>
    <row r="134" spans="1:43" ht="17.100000000000001" customHeight="1">
      <c r="G134" s="2977"/>
      <c r="I134" s="2977"/>
    </row>
    <row r="136" spans="1:43" ht="17.100000000000001" customHeight="1">
      <c r="A136" s="2941"/>
      <c r="B136" s="2942"/>
      <c r="C136" s="2942"/>
      <c r="D136" s="2942"/>
      <c r="E136" s="2942"/>
      <c r="F136" s="2942"/>
      <c r="G136" s="2942"/>
      <c r="H136" s="2942"/>
      <c r="I136" s="2942"/>
      <c r="J136" s="3100" t="s">
        <v>206</v>
      </c>
      <c r="K136" s="3071"/>
      <c r="L136" s="2974"/>
      <c r="M136" s="2974"/>
      <c r="N136" s="2974"/>
      <c r="O136" s="2974"/>
      <c r="P136" s="2974"/>
      <c r="Q136" s="2975"/>
      <c r="U136" s="2946"/>
      <c r="AK136" s="2946"/>
    </row>
    <row r="137" spans="1:43" ht="17.100000000000001" customHeight="1">
      <c r="A137" s="2948"/>
      <c r="J137" s="3102" t="s">
        <v>82</v>
      </c>
      <c r="K137" s="3073"/>
      <c r="L137" s="2984"/>
      <c r="M137" s="2984"/>
      <c r="N137" s="2984"/>
      <c r="O137" s="2984"/>
      <c r="P137" s="2984"/>
      <c r="Q137" s="2993"/>
      <c r="U137" s="2946"/>
      <c r="AK137" s="2946"/>
    </row>
    <row r="138" spans="1:43" ht="17.100000000000001" customHeight="1">
      <c r="A138" s="2948"/>
      <c r="J138" s="3102" t="s">
        <v>77</v>
      </c>
      <c r="K138" s="3074"/>
      <c r="L138" s="2984"/>
      <c r="M138" s="2984"/>
      <c r="N138" s="2984"/>
      <c r="O138" s="3102" t="s">
        <v>76</v>
      </c>
      <c r="P138" s="3236"/>
      <c r="Q138" s="2993"/>
      <c r="U138" s="2953"/>
      <c r="AA138" s="2954"/>
      <c r="AK138" s="2953"/>
      <c r="AQ138" s="2954"/>
    </row>
    <row r="139" spans="1:43" ht="17.100000000000001" customHeight="1">
      <c r="A139" s="2948"/>
      <c r="J139" s="3105" t="s">
        <v>75</v>
      </c>
      <c r="K139" s="3077"/>
      <c r="L139" s="3003"/>
      <c r="M139" s="3003"/>
      <c r="N139" s="3003"/>
      <c r="O139" s="3105" t="s">
        <v>74</v>
      </c>
      <c r="P139" s="3077"/>
      <c r="Q139" s="3078"/>
      <c r="U139" s="2953"/>
      <c r="AA139" s="2953"/>
      <c r="AK139" s="2953"/>
      <c r="AQ139" s="2953"/>
    </row>
    <row r="140" spans="1:43" ht="17.100000000000001" customHeight="1">
      <c r="A140" s="2941"/>
      <c r="B140" s="2957"/>
      <c r="C140" s="2957"/>
      <c r="D140" s="2957"/>
      <c r="E140" s="2957"/>
      <c r="F140" s="2957"/>
      <c r="G140" s="2957"/>
      <c r="H140" s="2957"/>
      <c r="I140" s="2957"/>
      <c r="J140" s="2957"/>
      <c r="K140" s="2957"/>
      <c r="L140" s="2957"/>
      <c r="M140" s="2957"/>
      <c r="N140" s="2957"/>
      <c r="O140" s="2957"/>
      <c r="P140" s="2957"/>
      <c r="Q140" s="3118"/>
      <c r="U140" s="2945"/>
      <c r="V140" s="2945"/>
      <c r="W140" s="2945"/>
      <c r="X140" s="2945"/>
      <c r="Y140" s="2945"/>
      <c r="Z140" s="2945"/>
      <c r="AA140" s="2945"/>
      <c r="AC140" s="2945"/>
      <c r="AD140" s="2945"/>
      <c r="AE140" s="2945"/>
      <c r="AF140" s="2945"/>
      <c r="AG140" s="2945"/>
      <c r="AH140" s="2945"/>
      <c r="AI140" s="2945"/>
      <c r="AJ140" s="2945"/>
      <c r="AK140" s="2945"/>
      <c r="AL140" s="2945"/>
      <c r="AM140" s="2945"/>
      <c r="AN140" s="2945"/>
      <c r="AO140" s="2945"/>
      <c r="AP140" s="2945"/>
      <c r="AQ140" s="2945"/>
    </row>
    <row r="141" spans="1:43" ht="17.100000000000001" customHeight="1">
      <c r="A141" s="2948"/>
      <c r="B141" s="2961" t="s">
        <v>945</v>
      </c>
      <c r="C141" s="2960"/>
      <c r="D141" s="2960"/>
      <c r="E141" s="2960"/>
      <c r="F141" s="2960"/>
      <c r="G141" s="2960"/>
      <c r="H141" s="2961"/>
      <c r="I141" s="2961"/>
      <c r="J141" s="2960"/>
      <c r="K141" s="2960"/>
      <c r="L141" s="2960"/>
      <c r="M141" s="2960"/>
      <c r="N141" s="2960"/>
      <c r="O141" s="2960"/>
      <c r="P141" s="2960"/>
      <c r="Q141" s="3119"/>
      <c r="S141" s="2963"/>
      <c r="U141" s="2960"/>
      <c r="V141" s="2960"/>
      <c r="W141" s="2960"/>
      <c r="X141" s="2960"/>
      <c r="Y141" s="2960"/>
      <c r="Z141" s="2960"/>
      <c r="AA141" s="2960"/>
      <c r="AC141" s="2961"/>
      <c r="AD141" s="2960"/>
      <c r="AE141" s="2960"/>
      <c r="AF141" s="2960"/>
      <c r="AG141" s="2960"/>
      <c r="AH141" s="2961"/>
      <c r="AI141" s="2961"/>
      <c r="AJ141" s="2960"/>
      <c r="AK141" s="2960"/>
      <c r="AL141" s="2960"/>
      <c r="AM141" s="2960"/>
      <c r="AN141" s="2960"/>
      <c r="AO141" s="2960"/>
      <c r="AP141" s="2960"/>
      <c r="AQ141" s="2960"/>
    </row>
    <row r="142" spans="1:43" ht="17.100000000000001" customHeight="1">
      <c r="A142" s="2948"/>
      <c r="B142" s="2965"/>
      <c r="C142" s="2960"/>
      <c r="D142" s="2960"/>
      <c r="E142" s="2960"/>
      <c r="F142" s="2960"/>
      <c r="G142" s="2960"/>
      <c r="H142" s="2960"/>
      <c r="I142" s="2960"/>
      <c r="J142" s="2960"/>
      <c r="K142" s="2960"/>
      <c r="L142" s="2960"/>
      <c r="M142" s="2960"/>
      <c r="N142" s="2960"/>
      <c r="O142" s="2960"/>
      <c r="P142" s="2960"/>
      <c r="Q142" s="3119"/>
      <c r="S142" s="3154" t="s">
        <v>1002</v>
      </c>
      <c r="T142" s="3182">
        <f>('Cu_Multi Consol pmdtn'!I166/'CU_Multi Saturasi pmdtn'!F176)*100</f>
        <v>2.9480260461955976</v>
      </c>
      <c r="U142" s="2960"/>
      <c r="V142" s="2960"/>
      <c r="W142" s="2960"/>
      <c r="X142" s="2960"/>
      <c r="Y142" s="2960"/>
      <c r="Z142" s="2960"/>
      <c r="AA142" s="2960"/>
      <c r="AC142" s="2965"/>
      <c r="AD142" s="2960"/>
      <c r="AE142" s="2960"/>
      <c r="AF142" s="2960"/>
      <c r="AG142" s="2960"/>
      <c r="AH142" s="2960"/>
      <c r="AI142" s="2960"/>
      <c r="AJ142" s="2960"/>
      <c r="AK142" s="2960"/>
      <c r="AL142" s="2960"/>
      <c r="AM142" s="2960"/>
      <c r="AN142" s="2960"/>
      <c r="AO142" s="2960"/>
      <c r="AP142" s="2960"/>
      <c r="AQ142" s="2960"/>
    </row>
    <row r="143" spans="1:43" ht="17.100000000000001" customHeight="1">
      <c r="A143" s="2948"/>
      <c r="C143" s="2947" t="s">
        <v>208</v>
      </c>
      <c r="D143" s="2947" t="s">
        <v>27</v>
      </c>
      <c r="E143" s="3081">
        <f>E76</f>
        <v>0</v>
      </c>
      <c r="F143" s="2953"/>
      <c r="L143" s="2947" t="s">
        <v>944</v>
      </c>
      <c r="N143" s="2947" t="s">
        <v>27</v>
      </c>
      <c r="O143" s="3081"/>
      <c r="Q143" s="2952"/>
      <c r="S143" s="3154" t="s">
        <v>1001</v>
      </c>
      <c r="T143" s="3182">
        <f>T142*(1/3)</f>
        <v>0.98267534873186579</v>
      </c>
      <c r="Z143" s="2953"/>
      <c r="AP143" s="2953"/>
    </row>
    <row r="144" spans="1:43" ht="17.100000000000001" customHeight="1">
      <c r="A144" s="2948"/>
      <c r="C144" s="2947" t="s">
        <v>1000</v>
      </c>
      <c r="D144" s="2947" t="s">
        <v>27</v>
      </c>
      <c r="E144" s="3081">
        <f>E77</f>
        <v>0</v>
      </c>
      <c r="F144" s="2953"/>
      <c r="G144" s="2953"/>
      <c r="L144" s="2947" t="s">
        <v>942</v>
      </c>
      <c r="N144" s="2947" t="s">
        <v>27</v>
      </c>
      <c r="O144" s="3081"/>
      <c r="Q144" s="2952"/>
      <c r="S144" s="3154" t="s">
        <v>999</v>
      </c>
      <c r="T144" s="3182">
        <f>T142*(2/3)</f>
        <v>1.9653506974637316</v>
      </c>
      <c r="AB144" s="2960"/>
      <c r="AC144" s="2960"/>
      <c r="AG144" s="2953"/>
    </row>
    <row r="145" spans="1:40" ht="17.100000000000001" customHeight="1">
      <c r="A145" s="2948"/>
      <c r="C145" s="2947" t="s">
        <v>210</v>
      </c>
      <c r="D145" s="2947" t="s">
        <v>27</v>
      </c>
      <c r="E145" s="3081">
        <f>E78</f>
        <v>0</v>
      </c>
      <c r="F145" s="2953"/>
      <c r="G145" s="2953" t="s">
        <v>68</v>
      </c>
      <c r="L145" s="2945" t="s">
        <v>941</v>
      </c>
      <c r="N145" s="2945" t="s">
        <v>27</v>
      </c>
      <c r="O145" s="3081"/>
      <c r="Q145" s="2952"/>
      <c r="S145" s="2947"/>
      <c r="T145" s="2947"/>
      <c r="V145" s="2977"/>
      <c r="W145" s="2960"/>
      <c r="X145" s="2960"/>
      <c r="Y145" s="2960"/>
      <c r="AB145" s="2978"/>
      <c r="AC145" s="2978"/>
      <c r="AD145" s="2978"/>
      <c r="AG145" s="2953"/>
      <c r="AL145" s="2945"/>
      <c r="AM145" s="2945"/>
      <c r="AN145" s="2945"/>
    </row>
    <row r="146" spans="1:40" ht="17.100000000000001" customHeight="1">
      <c r="A146" s="2948"/>
      <c r="O146" s="2960"/>
      <c r="P146" s="2960"/>
      <c r="Q146" s="2952"/>
      <c r="S146" s="2947"/>
      <c r="T146" s="2947"/>
      <c r="U146" s="2978"/>
      <c r="V146" s="2999"/>
      <c r="Y146" s="2988"/>
      <c r="AB146" s="2963"/>
      <c r="AC146" s="2963"/>
      <c r="AD146" s="2961"/>
      <c r="AE146" s="2960"/>
      <c r="AM146" s="2960"/>
      <c r="AN146" s="2960"/>
    </row>
    <row r="147" spans="1:40" ht="17.100000000000001" customHeight="1">
      <c r="A147" s="2948"/>
      <c r="C147" s="2947" t="s">
        <v>965</v>
      </c>
      <c r="F147" s="2947" t="s">
        <v>27</v>
      </c>
      <c r="G147" s="3184">
        <f>'Cu_Multi Consol pmdtn'!F143</f>
        <v>200</v>
      </c>
      <c r="H147" s="2947" t="s">
        <v>908</v>
      </c>
      <c r="L147" s="2947" t="s">
        <v>998</v>
      </c>
      <c r="N147" s="2947" t="s">
        <v>27</v>
      </c>
      <c r="O147" s="3185">
        <v>1113.23</v>
      </c>
      <c r="P147" s="2945" t="s">
        <v>721</v>
      </c>
      <c r="Q147" s="2952"/>
      <c r="U147" s="2978"/>
      <c r="V147" s="2979"/>
      <c r="Y147" s="2988"/>
      <c r="Z147" s="2989"/>
      <c r="AB147" s="2953"/>
      <c r="AC147" s="2953"/>
      <c r="AD147" s="2996"/>
      <c r="AE147" s="2999"/>
      <c r="AM147" s="2960"/>
      <c r="AN147" s="2960"/>
    </row>
    <row r="148" spans="1:40" ht="17.100000000000001" customHeight="1">
      <c r="A148" s="2948"/>
      <c r="C148" s="2947" t="s">
        <v>915</v>
      </c>
      <c r="F148" s="2947" t="s">
        <v>27</v>
      </c>
      <c r="G148" s="3184">
        <f>'Cu_Multi Consol pmdtn'!F144</f>
        <v>390</v>
      </c>
      <c r="H148" s="2947" t="s">
        <v>908</v>
      </c>
      <c r="L148" s="2947" t="s">
        <v>997</v>
      </c>
      <c r="N148" s="2947" t="s">
        <v>27</v>
      </c>
      <c r="O148" s="3185">
        <v>75.45</v>
      </c>
      <c r="P148" s="2945" t="s">
        <v>2</v>
      </c>
      <c r="Q148" s="2952"/>
      <c r="U148" s="2978"/>
      <c r="V148" s="2989"/>
      <c r="Y148" s="2988"/>
      <c r="Z148" s="2988"/>
      <c r="AD148" s="2953"/>
      <c r="AE148" s="2988"/>
      <c r="AM148" s="2960"/>
      <c r="AN148" s="2960"/>
    </row>
    <row r="149" spans="1:40" ht="17.100000000000001" customHeight="1">
      <c r="A149" s="2948"/>
      <c r="C149" s="2947" t="s">
        <v>914</v>
      </c>
      <c r="F149" s="2947" t="s">
        <v>27</v>
      </c>
      <c r="G149" s="3184">
        <f>'Cu_Multi Consol pmdtn'!F145</f>
        <v>190</v>
      </c>
      <c r="H149" s="2947" t="s">
        <v>908</v>
      </c>
      <c r="L149" s="2947" t="s">
        <v>996</v>
      </c>
      <c r="N149" s="2947" t="s">
        <v>27</v>
      </c>
      <c r="O149" s="3185">
        <v>83.98</v>
      </c>
      <c r="P149" s="2945" t="s">
        <v>615</v>
      </c>
      <c r="Q149" s="2952"/>
      <c r="U149" s="2978"/>
      <c r="V149" s="2979"/>
      <c r="W149" s="2978"/>
      <c r="X149" s="2978"/>
      <c r="Y149" s="2979"/>
      <c r="Z149" s="2977"/>
      <c r="AE149" s="2977"/>
      <c r="AM149" s="2960"/>
      <c r="AN149" s="2960"/>
    </row>
    <row r="150" spans="1:40" ht="17.100000000000001" customHeight="1">
      <c r="A150" s="2948"/>
      <c r="C150" s="2947" t="s">
        <v>973</v>
      </c>
      <c r="F150" s="2947" t="s">
        <v>27</v>
      </c>
      <c r="G150" s="3186">
        <f>'Cu_Multi Consol pmdtn'!J153</f>
        <v>373</v>
      </c>
      <c r="H150" s="2947" t="s">
        <v>908</v>
      </c>
      <c r="L150" s="2947" t="s">
        <v>995</v>
      </c>
      <c r="N150" s="2947" t="s">
        <v>27</v>
      </c>
      <c r="O150" s="3184"/>
      <c r="P150" s="2960"/>
      <c r="Q150" s="2952"/>
      <c r="S150" s="2947"/>
      <c r="T150" s="2947"/>
      <c r="W150" s="2978"/>
      <c r="X150" s="2978"/>
      <c r="Y150" s="2988"/>
      <c r="Z150" s="2988"/>
      <c r="AD150" s="2989"/>
      <c r="AE150" s="2989"/>
      <c r="AM150" s="2960"/>
      <c r="AN150" s="2960"/>
    </row>
    <row r="151" spans="1:40" ht="17.100000000000001" customHeight="1">
      <c r="A151" s="2948"/>
      <c r="C151" s="2947" t="s">
        <v>963</v>
      </c>
      <c r="F151" s="2947" t="s">
        <v>27</v>
      </c>
      <c r="G151" s="3184">
        <f>G150-G149</f>
        <v>183</v>
      </c>
      <c r="H151" s="2947" t="s">
        <v>908</v>
      </c>
      <c r="L151" s="2947" t="s">
        <v>994</v>
      </c>
      <c r="N151" s="2947" t="s">
        <v>27</v>
      </c>
      <c r="O151" s="3187">
        <f>O17</f>
        <v>1.1830000000000001</v>
      </c>
      <c r="P151" s="2945" t="s">
        <v>595</v>
      </c>
      <c r="Q151" s="2952"/>
      <c r="W151" s="2960"/>
      <c r="X151" s="2960"/>
      <c r="AM151" s="2960"/>
      <c r="AN151" s="2960"/>
    </row>
    <row r="152" spans="1:40" ht="17.100000000000001" customHeight="1">
      <c r="A152" s="2948"/>
      <c r="C152" s="2947" t="str">
        <f>C85</f>
        <v>With</v>
      </c>
      <c r="E152" s="2947" t="str">
        <f>E85</f>
        <v>Side drains</v>
      </c>
      <c r="O152" s="2960"/>
      <c r="Q152" s="2952"/>
      <c r="W152" s="2960"/>
      <c r="X152" s="2960"/>
      <c r="AM152" s="2960"/>
      <c r="AN152" s="2960"/>
    </row>
    <row r="153" spans="1:40" ht="17.100000000000001" customHeight="1">
      <c r="A153" s="2948"/>
      <c r="O153" s="2960"/>
      <c r="Q153" s="2952"/>
      <c r="W153" s="2960"/>
      <c r="X153" s="2960"/>
      <c r="AM153" s="2960"/>
      <c r="AN153" s="2960"/>
    </row>
    <row r="154" spans="1:40" ht="17.100000000000001" customHeight="1">
      <c r="A154" s="2948"/>
      <c r="B154" s="2966" t="s">
        <v>993</v>
      </c>
      <c r="O154" s="2960"/>
      <c r="Q154" s="2952"/>
      <c r="W154" s="2960"/>
      <c r="X154" s="2960"/>
      <c r="AM154" s="2960"/>
      <c r="AN154" s="2960"/>
    </row>
    <row r="155" spans="1:40" ht="17.100000000000001" customHeight="1">
      <c r="A155" s="2948"/>
      <c r="O155" s="2960"/>
      <c r="P155" s="2945"/>
      <c r="Q155" s="3122"/>
      <c r="W155" s="2960"/>
      <c r="X155" s="2960"/>
      <c r="AM155" s="2960"/>
      <c r="AN155" s="2960"/>
    </row>
    <row r="156" spans="1:40" s="3019" customFormat="1" ht="25.5" customHeight="1">
      <c r="A156" s="3011"/>
      <c r="B156" s="4868" t="s">
        <v>992</v>
      </c>
      <c r="C156" s="4868"/>
      <c r="D156" s="3188"/>
      <c r="E156" s="4869" t="s">
        <v>358</v>
      </c>
      <c r="F156" s="3189"/>
      <c r="G156" s="4845" t="s">
        <v>991</v>
      </c>
      <c r="H156" s="4868"/>
      <c r="I156" s="4843" t="s">
        <v>913</v>
      </c>
      <c r="J156" s="4845"/>
      <c r="K156" s="3016" t="s">
        <v>577</v>
      </c>
      <c r="L156" s="4843" t="s">
        <v>990</v>
      </c>
      <c r="M156" s="4844"/>
      <c r="N156" s="4844"/>
      <c r="O156" s="4844"/>
      <c r="P156" s="4845"/>
      <c r="Q156" s="3190"/>
      <c r="S156" s="3020"/>
      <c r="T156" s="3020"/>
      <c r="U156" s="3020"/>
      <c r="V156" s="3191"/>
      <c r="W156" s="3020"/>
      <c r="X156" s="3020"/>
      <c r="Y156" s="3020"/>
      <c r="Z156" s="3020"/>
      <c r="AA156" s="3191"/>
      <c r="AB156" s="3191"/>
      <c r="AC156" s="3018"/>
      <c r="AD156" s="3020"/>
      <c r="AE156" s="3192"/>
      <c r="AM156" s="3020"/>
      <c r="AN156" s="3020"/>
    </row>
    <row r="157" spans="1:40" s="3019" customFormat="1" ht="25.5" customHeight="1">
      <c r="A157" s="3011"/>
      <c r="B157" s="3016" t="s">
        <v>6</v>
      </c>
      <c r="C157" s="3016" t="s">
        <v>989</v>
      </c>
      <c r="D157" s="3193"/>
      <c r="E157" s="4870"/>
      <c r="F157" s="3194"/>
      <c r="G157" s="3195" t="s">
        <v>6</v>
      </c>
      <c r="H157" s="3016" t="s">
        <v>174</v>
      </c>
      <c r="I157" s="3016" t="s">
        <v>978</v>
      </c>
      <c r="J157" s="3016" t="s">
        <v>988</v>
      </c>
      <c r="K157" s="3196" t="s">
        <v>987</v>
      </c>
      <c r="L157" s="3016" t="s">
        <v>986</v>
      </c>
      <c r="M157" s="3016" t="s">
        <v>985</v>
      </c>
      <c r="N157" s="3197"/>
      <c r="O157" s="3197" t="s">
        <v>984</v>
      </c>
      <c r="P157" s="3016" t="s">
        <v>983</v>
      </c>
      <c r="Q157" s="3190"/>
      <c r="S157" s="3020"/>
      <c r="T157" s="3020"/>
      <c r="U157" s="3020"/>
      <c r="V157" s="3191"/>
      <c r="W157" s="3020"/>
      <c r="X157" s="3020"/>
      <c r="Y157" s="3020"/>
      <c r="Z157" s="3192"/>
      <c r="AA157" s="3198"/>
      <c r="AB157" s="3198"/>
      <c r="AC157" s="3199"/>
      <c r="AD157" s="3191"/>
      <c r="AE157" s="3198"/>
      <c r="AM157" s="3020"/>
      <c r="AN157" s="3020"/>
    </row>
    <row r="158" spans="1:40" ht="17.100000000000001" customHeight="1">
      <c r="A158" s="2948"/>
      <c r="B158" s="3200"/>
      <c r="C158" s="3130" t="s">
        <v>2</v>
      </c>
      <c r="D158" s="2949"/>
      <c r="E158" s="3129" t="s">
        <v>1</v>
      </c>
      <c r="F158" s="2969"/>
      <c r="G158" s="3201" t="s">
        <v>982</v>
      </c>
      <c r="H158" s="3130" t="s">
        <v>120</v>
      </c>
      <c r="I158" s="3130" t="s">
        <v>908</v>
      </c>
      <c r="J158" s="3130"/>
      <c r="K158" s="3130" t="s">
        <v>908</v>
      </c>
      <c r="L158" s="3130" t="s">
        <v>908</v>
      </c>
      <c r="M158" s="3130" t="s">
        <v>908</v>
      </c>
      <c r="N158" s="3129"/>
      <c r="O158" s="3129" t="s">
        <v>908</v>
      </c>
      <c r="P158" s="3202"/>
      <c r="Q158" s="3122"/>
      <c r="S158" s="2960"/>
      <c r="T158" s="2960"/>
      <c r="U158" s="2960"/>
      <c r="V158" s="2996"/>
      <c r="W158" s="2960"/>
      <c r="X158" s="2960"/>
      <c r="Y158" s="2960"/>
      <c r="Z158" s="2960"/>
      <c r="AA158" s="2977"/>
      <c r="AB158" s="2977"/>
      <c r="AC158" s="2945"/>
      <c r="AD158" s="2960"/>
      <c r="AE158" s="2960"/>
      <c r="AM158" s="2960"/>
      <c r="AN158" s="2960"/>
    </row>
    <row r="159" spans="1:40" ht="17.100000000000001" customHeight="1">
      <c r="A159" s="2948"/>
      <c r="B159" s="3237">
        <v>0</v>
      </c>
      <c r="C159" s="3264">
        <f t="shared" ref="C159:C190" si="19">(B159-$B$25)/100</f>
        <v>0</v>
      </c>
      <c r="D159" s="3239"/>
      <c r="E159" s="3265">
        <f t="shared" ref="E159:E190" si="20">(C159/$O$14)*100</f>
        <v>0</v>
      </c>
      <c r="F159" s="3241"/>
      <c r="G159" s="3246">
        <v>0</v>
      </c>
      <c r="H159" s="3243">
        <v>0</v>
      </c>
      <c r="I159" s="3243">
        <v>190</v>
      </c>
      <c r="J159" s="3244">
        <v>0</v>
      </c>
      <c r="K159" s="3244">
        <v>0</v>
      </c>
      <c r="L159" s="3245">
        <f t="shared" ref="L159:L190" si="21">$G$148+K159</f>
        <v>390</v>
      </c>
      <c r="M159" s="3245">
        <f t="shared" ref="M159:M190" si="22">L159-I159</f>
        <v>200</v>
      </c>
      <c r="N159" s="3239"/>
      <c r="O159" s="3239">
        <f t="shared" ref="O159:O190" si="23">$G$148-I159</f>
        <v>200</v>
      </c>
      <c r="P159" s="3244">
        <f t="shared" ref="P159:P190" si="24">M159/O159</f>
        <v>1</v>
      </c>
      <c r="Q159" s="3122"/>
      <c r="S159" s="2965"/>
      <c r="T159" s="2960"/>
      <c r="U159" s="2960"/>
      <c r="V159" s="2977"/>
      <c r="W159" s="3066"/>
      <c r="X159" s="3212"/>
      <c r="Y159" s="2965"/>
      <c r="Z159" s="2965"/>
      <c r="AA159" s="2977"/>
      <c r="AB159" s="2979"/>
      <c r="AC159" s="2945"/>
      <c r="AD159" s="3064"/>
      <c r="AE159" s="3064"/>
      <c r="AM159" s="2960"/>
      <c r="AN159" s="2960"/>
    </row>
    <row r="160" spans="1:40" ht="17.100000000000001" customHeight="1">
      <c r="A160" s="2948"/>
      <c r="B160" s="3246">
        <v>10</v>
      </c>
      <c r="C160" s="3247">
        <f t="shared" si="19"/>
        <v>0.1</v>
      </c>
      <c r="D160" s="3248"/>
      <c r="E160" s="3265">
        <f t="shared" si="20"/>
        <v>0.13203063110641672</v>
      </c>
      <c r="F160" s="3250"/>
      <c r="G160" s="3246">
        <v>39.1</v>
      </c>
      <c r="H160" s="3252">
        <f t="shared" ref="H160:H190" si="25">G160*$O$151</f>
        <v>46.255300000000005</v>
      </c>
      <c r="I160" s="3253">
        <v>192.9</v>
      </c>
      <c r="J160" s="3254">
        <f t="shared" ref="J160:J190" si="26">I160-$I$159</f>
        <v>2.9000000000000057</v>
      </c>
      <c r="K160" s="3255">
        <f>(H160/$O$147)*((1-(E160-$E$159)/100))*1000</f>
        <v>41.495673702190771</v>
      </c>
      <c r="L160" s="3256">
        <f t="shared" si="21"/>
        <v>431.49567370219074</v>
      </c>
      <c r="M160" s="3256">
        <f t="shared" si="22"/>
        <v>238.59567370219074</v>
      </c>
      <c r="N160" s="3248"/>
      <c r="O160" s="3248">
        <f t="shared" si="23"/>
        <v>197.1</v>
      </c>
      <c r="P160" s="3255">
        <f t="shared" si="24"/>
        <v>1.2105310690116222</v>
      </c>
      <c r="Q160" s="3122"/>
      <c r="R160" s="3044"/>
      <c r="W160" s="2960"/>
      <c r="X160" s="2960"/>
      <c r="AM160" s="2960"/>
      <c r="AN160" s="2960"/>
    </row>
    <row r="161" spans="1:40" ht="17.100000000000001" customHeight="1">
      <c r="A161" s="2948"/>
      <c r="B161" s="3246">
        <v>20</v>
      </c>
      <c r="C161" s="3247">
        <f t="shared" si="19"/>
        <v>0.2</v>
      </c>
      <c r="D161" s="3248"/>
      <c r="E161" s="3265">
        <f t="shared" si="20"/>
        <v>0.26406126221283344</v>
      </c>
      <c r="F161" s="3250"/>
      <c r="G161" s="3246">
        <v>93.4</v>
      </c>
      <c r="H161" s="3252">
        <f t="shared" si="25"/>
        <v>110.49220000000001</v>
      </c>
      <c r="I161" s="3253">
        <v>195.7</v>
      </c>
      <c r="J161" s="3254">
        <f t="shared" si="26"/>
        <v>5.6999999999999886</v>
      </c>
      <c r="K161" s="3255">
        <f t="shared" ref="K161:K190" si="27">(H161/$O$147)*((1-(E161-$E$159)/100))*1000</f>
        <v>98.991612606589186</v>
      </c>
      <c r="L161" s="3256">
        <f t="shared" si="21"/>
        <v>488.99161260658917</v>
      </c>
      <c r="M161" s="3256">
        <f t="shared" si="22"/>
        <v>293.29161260658918</v>
      </c>
      <c r="N161" s="3248"/>
      <c r="O161" s="3248">
        <f t="shared" si="23"/>
        <v>194.3</v>
      </c>
      <c r="P161" s="3255">
        <f t="shared" si="24"/>
        <v>1.5094781914904229</v>
      </c>
      <c r="Q161" s="3122"/>
      <c r="R161" s="3044"/>
      <c r="W161" s="2960"/>
      <c r="X161" s="2960"/>
      <c r="AM161" s="2960"/>
      <c r="AN161" s="2960"/>
    </row>
    <row r="162" spans="1:40" ht="17.100000000000001" customHeight="1">
      <c r="A162" s="2948"/>
      <c r="B162" s="3246">
        <v>40</v>
      </c>
      <c r="C162" s="3247">
        <f t="shared" si="19"/>
        <v>0.4</v>
      </c>
      <c r="D162" s="3248"/>
      <c r="E162" s="3265">
        <f t="shared" si="20"/>
        <v>0.52812252442566687</v>
      </c>
      <c r="F162" s="3250"/>
      <c r="G162" s="3246">
        <v>151</v>
      </c>
      <c r="H162" s="3252">
        <f t="shared" si="25"/>
        <v>178.63300000000001</v>
      </c>
      <c r="I162" s="3253">
        <v>198.6</v>
      </c>
      <c r="J162" s="3254">
        <f t="shared" si="26"/>
        <v>8.5999999999999943</v>
      </c>
      <c r="K162" s="3255">
        <f t="shared" si="27"/>
        <v>159.61625081155083</v>
      </c>
      <c r="L162" s="3256">
        <f t="shared" si="21"/>
        <v>549.6162508115508</v>
      </c>
      <c r="M162" s="3256">
        <f t="shared" si="22"/>
        <v>351.01625081155078</v>
      </c>
      <c r="N162" s="3248"/>
      <c r="O162" s="3248">
        <f t="shared" si="23"/>
        <v>191.4</v>
      </c>
      <c r="P162" s="3255">
        <f t="shared" si="24"/>
        <v>1.8339407043445703</v>
      </c>
      <c r="Q162" s="3122"/>
      <c r="R162" s="3044"/>
      <c r="T162" s="3145"/>
      <c r="W162" s="2960"/>
      <c r="X162" s="2960"/>
      <c r="AM162" s="2960"/>
      <c r="AN162" s="2960"/>
    </row>
    <row r="163" spans="1:40" ht="17.100000000000001" customHeight="1">
      <c r="A163" s="2948"/>
      <c r="B163" s="3246">
        <v>60</v>
      </c>
      <c r="C163" s="3247">
        <f t="shared" si="19"/>
        <v>0.6</v>
      </c>
      <c r="D163" s="3248"/>
      <c r="E163" s="3265">
        <f t="shared" si="20"/>
        <v>0.79218378663850009</v>
      </c>
      <c r="F163" s="3250"/>
      <c r="G163" s="3246">
        <v>203.7</v>
      </c>
      <c r="H163" s="3252">
        <f t="shared" si="25"/>
        <v>240.97710000000001</v>
      </c>
      <c r="I163" s="3253">
        <v>203.5</v>
      </c>
      <c r="J163" s="3254">
        <f t="shared" si="26"/>
        <v>13.5</v>
      </c>
      <c r="K163" s="3255">
        <f t="shared" si="27"/>
        <v>214.75177500093272</v>
      </c>
      <c r="L163" s="3256">
        <f t="shared" si="21"/>
        <v>604.75177500093275</v>
      </c>
      <c r="M163" s="3256">
        <f t="shared" si="22"/>
        <v>401.25177500093275</v>
      </c>
      <c r="N163" s="3248"/>
      <c r="O163" s="3248">
        <f t="shared" si="23"/>
        <v>186.5</v>
      </c>
      <c r="P163" s="3255">
        <f t="shared" si="24"/>
        <v>2.151484048262374</v>
      </c>
      <c r="Q163" s="3122"/>
      <c r="R163" s="3044"/>
      <c r="S163" s="3222" t="s">
        <v>981</v>
      </c>
      <c r="T163" s="3222" t="s">
        <v>573</v>
      </c>
      <c r="U163" s="3223">
        <f>W163</f>
        <v>11.882756799577503</v>
      </c>
      <c r="V163" s="3223"/>
      <c r="W163" s="3009">
        <f>IF($U$164=K160,E160,IF($U$164=K161,E161,IF($U$164=K162,E162,IF($U$164=K163,E163,IF($U$164=K164,E164,IF($U$164=K165,E165,IF($U$164=K166,E166,X163)))))))</f>
        <v>11.882756799577503</v>
      </c>
      <c r="X163" s="3009">
        <f>IF($U$164=K167,E167,IF($U$164=K168,E168,IF($U$164=K169,E169,IF($U$164=K170,E170,IF($U$164=K171,E171,IF($U$164=K172,E172,IF($U$164=K173,E173,Y163)))))))</f>
        <v>11.882756799577503</v>
      </c>
      <c r="Y163" s="3009">
        <f>IF($U$164=K174,E174,IF($U$164=K175,E175,IF($U$164=K176,E176,IF($U$164=K177,E177,IF($U$164=K178,E178,IF($U$164=K179,E179,IF($U$164=K180,E180,Z163)))))))</f>
        <v>11.882756799577503</v>
      </c>
      <c r="Z163" s="3009">
        <f>IF($U$164=K181,E181,IF($U$164=K182,E182,IF($U$164=K183,E183,IF($U$164=K184,E184,IF($U$164=K185,E185,IF($U$164=K186,E186,IF($U$164=K187,E187,AA163)))))))</f>
        <v>11.882756799577503</v>
      </c>
      <c r="AA163" s="3009">
        <f>IF($U$164=K188,E188,IF($U$164=K189,E189,IF($U$164=K190,E190,IF($U$164=K191,E191,IF($U$164=K192,E192,IF($U$164=K193,E193,IF($U$164=K194,E194,AB163)))))))</f>
        <v>0</v>
      </c>
      <c r="AM163" s="2960"/>
      <c r="AN163" s="2960"/>
    </row>
    <row r="164" spans="1:40" ht="17.100000000000001" customHeight="1">
      <c r="A164" s="2948"/>
      <c r="B164" s="3246">
        <v>80</v>
      </c>
      <c r="C164" s="3247">
        <f t="shared" si="19"/>
        <v>0.8</v>
      </c>
      <c r="D164" s="3248"/>
      <c r="E164" s="3265">
        <f t="shared" si="20"/>
        <v>1.0562450488513337</v>
      </c>
      <c r="F164" s="3250"/>
      <c r="G164" s="3246">
        <v>332.5</v>
      </c>
      <c r="H164" s="3252">
        <f t="shared" si="25"/>
        <v>393.34750000000003</v>
      </c>
      <c r="I164" s="3253">
        <v>207.3</v>
      </c>
      <c r="J164" s="3254">
        <f t="shared" si="26"/>
        <v>17.300000000000011</v>
      </c>
      <c r="K164" s="3255">
        <f t="shared" si="27"/>
        <v>349.606807673589</v>
      </c>
      <c r="L164" s="3256">
        <f t="shared" si="21"/>
        <v>739.60680767358895</v>
      </c>
      <c r="M164" s="3256">
        <f t="shared" si="22"/>
        <v>532.30680767358899</v>
      </c>
      <c r="N164" s="3248"/>
      <c r="O164" s="3248">
        <f t="shared" si="23"/>
        <v>182.7</v>
      </c>
      <c r="P164" s="3255">
        <f t="shared" si="24"/>
        <v>2.9135566922473402</v>
      </c>
      <c r="Q164" s="3122"/>
      <c r="R164" s="3044"/>
      <c r="S164" s="3222" t="s">
        <v>980</v>
      </c>
      <c r="T164" s="3222" t="s">
        <v>979</v>
      </c>
      <c r="U164" s="3223">
        <f>MAX(K159:K197)</f>
        <v>800.43350299555448</v>
      </c>
      <c r="V164" s="3224"/>
      <c r="W164" s="3066"/>
      <c r="X164" s="3066"/>
      <c r="Y164" s="3224"/>
      <c r="Z164" s="3224"/>
      <c r="AA164" s="3224"/>
      <c r="AM164" s="2960"/>
      <c r="AN164" s="2960"/>
    </row>
    <row r="165" spans="1:40" ht="17.100000000000001" customHeight="1">
      <c r="A165" s="2948"/>
      <c r="B165" s="3246">
        <v>100</v>
      </c>
      <c r="C165" s="3247">
        <f t="shared" si="19"/>
        <v>1</v>
      </c>
      <c r="D165" s="3248"/>
      <c r="E165" s="3265">
        <f t="shared" si="20"/>
        <v>1.3203063110641671</v>
      </c>
      <c r="F165" s="3250"/>
      <c r="G165" s="3246">
        <v>394.2</v>
      </c>
      <c r="H165" s="3252">
        <f t="shared" si="25"/>
        <v>466.33859999999999</v>
      </c>
      <c r="I165" s="3253">
        <v>209.4</v>
      </c>
      <c r="J165" s="3254">
        <f t="shared" si="26"/>
        <v>19.400000000000006</v>
      </c>
      <c r="K165" s="3255">
        <f t="shared" si="27"/>
        <v>413.37504561795106</v>
      </c>
      <c r="L165" s="3256">
        <f t="shared" si="21"/>
        <v>803.37504561795106</v>
      </c>
      <c r="M165" s="3256">
        <f t="shared" si="22"/>
        <v>593.97504561795108</v>
      </c>
      <c r="N165" s="3248"/>
      <c r="O165" s="3248">
        <f t="shared" si="23"/>
        <v>180.6</v>
      </c>
      <c r="P165" s="3255">
        <f t="shared" si="24"/>
        <v>3.2888983699775807</v>
      </c>
      <c r="Q165" s="3122"/>
      <c r="R165" s="3044"/>
      <c r="S165" s="3222"/>
      <c r="T165" s="3222" t="s">
        <v>978</v>
      </c>
      <c r="U165" s="3224">
        <f>W165</f>
        <v>239</v>
      </c>
      <c r="V165" s="3224"/>
      <c r="W165" s="3066">
        <f>IF($U$164=K160,I160,IF($U$164=K161,I161,IF($U$164=K162,I162,IF($U$164=K163,I163,IF($U$164=K164,I164,IF($U$164=K165,I165,IF($U$164=K166,I166,X165)))))))</f>
        <v>239</v>
      </c>
      <c r="X165" s="3066">
        <f>IF($U$164=K167,I167,IF($U$164=K168,I168,IF($U$164=K169,I169,IF($U$164=K170,I170,IF($U$164=K171,I171,IF($U$164=K172,I172,IF($U$164=K173,I173,Y165)))))))</f>
        <v>239</v>
      </c>
      <c r="Y165" s="3066">
        <f>IF($U$164=K174,I174,IF($U$164=K175,I175,IF($U$164=K176,I176,IF($U$164=K177,I177,IF($U$164=K178,I178,IF($U$164=K179,I179,IF($U$164=K180,I180,Z165)))))))</f>
        <v>239</v>
      </c>
      <c r="Z165" s="3066">
        <f>IF($U$164=K181,I181,IF($U$164=K182,I182,IF($U$164=K183,I183,IF($U$164=K184,I184,IF($U$164=K185,I185,IF($U$164=K186,I186,IF($U$164=K187,I187,AA165)))))))</f>
        <v>239</v>
      </c>
      <c r="AA165" s="3066">
        <f>IF($U$164=K188,I188,IF($U$164=K189,I189,IF($U$164=K190,I190,IF($U$164=K191,I191,IF($U$164=K192,I192,IF($U$164=K193,I193,IF($U$164=K194,I194,AB165)))))))</f>
        <v>0</v>
      </c>
      <c r="AM165" s="2960"/>
      <c r="AN165" s="2960"/>
    </row>
    <row r="166" spans="1:40" ht="17.100000000000001" customHeight="1">
      <c r="A166" s="2948"/>
      <c r="B166" s="3246">
        <v>120</v>
      </c>
      <c r="C166" s="3247">
        <f t="shared" si="19"/>
        <v>1.2</v>
      </c>
      <c r="D166" s="3248"/>
      <c r="E166" s="3265">
        <f t="shared" si="20"/>
        <v>1.5843675732770002</v>
      </c>
      <c r="F166" s="3250"/>
      <c r="G166" s="3246">
        <v>430.1</v>
      </c>
      <c r="H166" s="3252">
        <f t="shared" si="25"/>
        <v>508.80830000000003</v>
      </c>
      <c r="I166" s="3253">
        <v>210.8</v>
      </c>
      <c r="J166" s="3254">
        <f t="shared" si="26"/>
        <v>20.800000000000011</v>
      </c>
      <c r="K166" s="3255">
        <f t="shared" si="27"/>
        <v>449.81441955809493</v>
      </c>
      <c r="L166" s="3256">
        <f t="shared" si="21"/>
        <v>839.81441955809487</v>
      </c>
      <c r="M166" s="3256">
        <f t="shared" si="22"/>
        <v>629.01441955809491</v>
      </c>
      <c r="N166" s="3248"/>
      <c r="O166" s="3248">
        <f t="shared" si="23"/>
        <v>179.2</v>
      </c>
      <c r="P166" s="3255">
        <f t="shared" si="24"/>
        <v>3.5101251091411547</v>
      </c>
      <c r="Q166" s="3122"/>
      <c r="R166" s="3044"/>
      <c r="S166" s="3222"/>
      <c r="T166" s="3222" t="s">
        <v>977</v>
      </c>
      <c r="U166" s="3224">
        <f>W166</f>
        <v>151</v>
      </c>
      <c r="V166" s="3224"/>
      <c r="W166" s="3066">
        <f>IF($U$164=K160,O160,IF($U$164=K161,O161,IF($U$164=K162,O162,IF($U$164=K163,O163,IF($U$164=K164,O164,IF($U$164=K165,O165,IF($U$164=K166,O166,X166)))))))</f>
        <v>151</v>
      </c>
      <c r="X166" s="3066">
        <f>IF($U$164=K167,O167,IF($U$164=K168,O168,IF($U$164=K169,O169,IF($U$164=K170,O170,IF($U$164=K171,O171,IF($U$164=K172,O172,IF($U$164=K173,O173,Y166)))))))</f>
        <v>151</v>
      </c>
      <c r="Y166" s="3066">
        <f>IF($U$164=K174,O174,IF($U$164=K175,O175,IF($U$164=K176,O176,IF($U$164=K177,O177,IF($U$164=K178,O178,IF($U$164=K179,O179,IF($U$164=K180,O180,Z166)))))))</f>
        <v>151</v>
      </c>
      <c r="Z166" s="3066">
        <f>IF($U$164=K181,O181,IF($U$164=K182,O182,IF($U$164=K183,O183,IF($U$164=K184,O184,IF($U$164=K185,O185,IF($U$164=K186,O186,IF($U$164=K187,O187,AA166)))))))</f>
        <v>151</v>
      </c>
      <c r="AA166" s="3066">
        <f>IF($U$164=K188,O188,IF($U$164=K189,O189,IF($U$164=K190,O190,IF($U$164=K191,O191,IF($U$164=K192,O192,IF($U$164=K193,O193,IF($U$164=K194,O194,AB166)))))))</f>
        <v>0</v>
      </c>
      <c r="AM166" s="2960"/>
      <c r="AN166" s="2960"/>
    </row>
    <row r="167" spans="1:40" ht="17.100000000000001" customHeight="1">
      <c r="A167" s="2948"/>
      <c r="B167" s="3246">
        <v>140</v>
      </c>
      <c r="C167" s="3247">
        <f t="shared" si="19"/>
        <v>1.4</v>
      </c>
      <c r="D167" s="3248"/>
      <c r="E167" s="3265">
        <f t="shared" si="20"/>
        <v>1.8484288354898337</v>
      </c>
      <c r="F167" s="3250"/>
      <c r="G167" s="3246">
        <v>458.6</v>
      </c>
      <c r="H167" s="3252">
        <f t="shared" si="25"/>
        <v>542.52380000000005</v>
      </c>
      <c r="I167" s="3253">
        <v>215.2</v>
      </c>
      <c r="J167" s="3254">
        <f t="shared" si="26"/>
        <v>25.199999999999989</v>
      </c>
      <c r="K167" s="3255">
        <f t="shared" si="27"/>
        <v>478.33388755369941</v>
      </c>
      <c r="L167" s="3256">
        <f t="shared" si="21"/>
        <v>868.33388755369947</v>
      </c>
      <c r="M167" s="3256">
        <f t="shared" si="22"/>
        <v>653.13388755369942</v>
      </c>
      <c r="N167" s="3248"/>
      <c r="O167" s="3248">
        <f t="shared" si="23"/>
        <v>174.8</v>
      </c>
      <c r="P167" s="3255">
        <f t="shared" si="24"/>
        <v>3.736463887606976</v>
      </c>
      <c r="Q167" s="3122"/>
      <c r="R167" s="3044"/>
      <c r="S167" s="3222"/>
      <c r="T167" s="3222" t="s">
        <v>976</v>
      </c>
      <c r="U167" s="3224">
        <f>W167</f>
        <v>951.43350299555459</v>
      </c>
      <c r="V167" s="3224"/>
      <c r="W167" s="3066">
        <f>IF($U$164=K160,M160,IF($U$164=K161,M161,IF($U$164=K162,M162,IF($U$164=K163,M163,IF($U$164=K164,M164,IF($U$164=K165,M165,IF($U$164=K166,M166,X167)))))))</f>
        <v>951.43350299555459</v>
      </c>
      <c r="X167" s="3066">
        <f>IF($U$164=K167,M167,IF($U$164=K168,M168,IF($U$164=K169,M169,IF($U$164=K170,M170,IF($U$164=K171,M171,IF($U$164=K172,M172,IF($U$164=K173,M173,Y167)))))))</f>
        <v>951.43350299555459</v>
      </c>
      <c r="Y167" s="3066">
        <f>IF($U$164=K174,M174,IF($U$164=K175,M175,IF($U$164=K176,M176,IF($U$164=K177,M177,IF($U$164=K178,M178,IF($U$164=K179,M179,IF($U$164=K180,M180,Z167)))))))</f>
        <v>951.43350299555459</v>
      </c>
      <c r="Z167" s="3066">
        <f>IF($U$164=K181,M181,IF($U$164=K182,M182,IF($U$164=K183,M183,IF($U$164=K184,M184,IF($U$164=K185,M185,IF($U$164=K186,M186,IF($U$164=K187,M187,AA167)))))))</f>
        <v>951.43350299555459</v>
      </c>
      <c r="AA167" s="3066">
        <f>IF($U$164=K188,M188,IF($U$164=K189,M189,IF($U$164=K190,M190,IF($U$164=K191,M191,IF($U$164=K192,M192,IF($U$164=K193,M193,IF($U$164=K194,M194,AB167)))))))</f>
        <v>0</v>
      </c>
      <c r="AM167" s="2960"/>
      <c r="AN167" s="2960"/>
    </row>
    <row r="168" spans="1:40" ht="17.100000000000001" customHeight="1">
      <c r="A168" s="2948"/>
      <c r="B168" s="3246">
        <v>160</v>
      </c>
      <c r="C168" s="3247">
        <f t="shared" si="19"/>
        <v>1.6</v>
      </c>
      <c r="D168" s="3248"/>
      <c r="E168" s="3265">
        <f t="shared" si="20"/>
        <v>2.1124900977026675</v>
      </c>
      <c r="F168" s="3250"/>
      <c r="G168" s="3246">
        <v>486.6</v>
      </c>
      <c r="H168" s="3252">
        <f t="shared" si="25"/>
        <v>575.64780000000007</v>
      </c>
      <c r="I168" s="3253">
        <v>218</v>
      </c>
      <c r="J168" s="3254">
        <f t="shared" si="26"/>
        <v>28</v>
      </c>
      <c r="K168" s="3255">
        <f t="shared" si="27"/>
        <v>506.17329503099705</v>
      </c>
      <c r="L168" s="3256">
        <f t="shared" si="21"/>
        <v>896.173295030997</v>
      </c>
      <c r="M168" s="3256">
        <f t="shared" si="22"/>
        <v>678.173295030997</v>
      </c>
      <c r="N168" s="3248"/>
      <c r="O168" s="3248">
        <f t="shared" si="23"/>
        <v>172</v>
      </c>
      <c r="P168" s="3255">
        <f t="shared" si="24"/>
        <v>3.9428679943662615</v>
      </c>
      <c r="Q168" s="3122"/>
      <c r="R168" s="3044"/>
      <c r="T168" s="3222" t="s">
        <v>975</v>
      </c>
      <c r="U168" s="3224">
        <f>W168</f>
        <v>1190.4335029955546</v>
      </c>
      <c r="W168" s="3066">
        <f>IF($U$164=K160,L160,IF($U$164=K161,L161,IF($U$164=K162,L162,IF($U$164=K163,L163,IF($U$164=K164,L164,IF($U$164=K165,L165,IF($U$164=K166,L166,X168)))))))</f>
        <v>1190.4335029955546</v>
      </c>
      <c r="X168" s="3066">
        <f>IF($U$164=K167,L167,IF($U$164=K168,L168,IF($U$164=K169,L169,IF($U$164=K170,L170,IF($U$164=K171,L171,IF($U$164=K172,L172,IF($U$164=K173,L173,Y168)))))))</f>
        <v>1190.4335029955546</v>
      </c>
      <c r="Y168" s="3066">
        <f>IF($U$164=K174,L174,IF($U$164=K175,L175,IF($U$164=K176,L176,IF($U$164=K177,L177,IF($U$164=K178,L178,IF($U$164=K179,L179,IF($U$164=K180,L180,Z168)))))))</f>
        <v>1190.4335029955546</v>
      </c>
      <c r="Z168" s="3066">
        <f>IF($U$164=K181,L181,IF($U$164=K182,L182,IF($U$164=K183,L183,IF($U$164=K184,L184,IF($U$164=K185,L185,IF($U$164=K186,L186,IF($U$164=K187,L187,AA168)))))))</f>
        <v>1190.4335029955546</v>
      </c>
      <c r="AA168" s="3066">
        <f>IF($U$164=K188,L188,IF($U$164=K189,L189,IF($U$164=K190,L190,IF($U$164=K191,L191,IF($U$164=K192,L192,IF($U$164=K193,L193,IF($U$164=K194,L194,AB168)))))))</f>
        <v>0</v>
      </c>
      <c r="AM168" s="2960"/>
      <c r="AN168" s="2960"/>
    </row>
    <row r="169" spans="1:40" ht="17.100000000000001" customHeight="1">
      <c r="A169" s="2948"/>
      <c r="B169" s="3246">
        <v>180</v>
      </c>
      <c r="C169" s="3247">
        <f t="shared" si="19"/>
        <v>1.8</v>
      </c>
      <c r="D169" s="3248"/>
      <c r="E169" s="3265">
        <f t="shared" si="20"/>
        <v>2.3765513599155006</v>
      </c>
      <c r="F169" s="3250"/>
      <c r="G169" s="3246">
        <v>519</v>
      </c>
      <c r="H169" s="3252">
        <f t="shared" si="25"/>
        <v>613.97699999999998</v>
      </c>
      <c r="I169" s="3253">
        <v>221.6</v>
      </c>
      <c r="J169" s="3254">
        <f t="shared" si="26"/>
        <v>31.599999999999994</v>
      </c>
      <c r="K169" s="3255">
        <f t="shared" si="27"/>
        <v>538.42020180639361</v>
      </c>
      <c r="L169" s="3256">
        <f t="shared" si="21"/>
        <v>928.42020180639361</v>
      </c>
      <c r="M169" s="3256">
        <f t="shared" si="22"/>
        <v>706.82020180639358</v>
      </c>
      <c r="N169" s="3248"/>
      <c r="O169" s="3248">
        <f t="shared" si="23"/>
        <v>168.4</v>
      </c>
      <c r="P169" s="3255">
        <f t="shared" si="24"/>
        <v>4.1972696069263273</v>
      </c>
      <c r="Q169" s="3122"/>
      <c r="R169" s="3044"/>
      <c r="T169" s="3222" t="s">
        <v>974</v>
      </c>
      <c r="U169" s="3223">
        <f>U168-U164</f>
        <v>390.00000000000011</v>
      </c>
      <c r="W169" s="2960"/>
      <c r="X169" s="2960"/>
      <c r="AM169" s="2960"/>
      <c r="AN169" s="2960"/>
    </row>
    <row r="170" spans="1:40" ht="17.100000000000001" customHeight="1">
      <c r="A170" s="2948"/>
      <c r="B170" s="3246">
        <v>200</v>
      </c>
      <c r="C170" s="3247">
        <f t="shared" si="19"/>
        <v>2</v>
      </c>
      <c r="D170" s="3248"/>
      <c r="E170" s="3265">
        <f t="shared" si="20"/>
        <v>2.6406126221283341</v>
      </c>
      <c r="F170" s="3250"/>
      <c r="G170" s="3246">
        <v>550.9</v>
      </c>
      <c r="H170" s="3252">
        <f t="shared" si="25"/>
        <v>651.71469999999999</v>
      </c>
      <c r="I170" s="3253">
        <v>223.5</v>
      </c>
      <c r="J170" s="3254">
        <f t="shared" si="26"/>
        <v>33.5</v>
      </c>
      <c r="K170" s="3255">
        <f t="shared" si="27"/>
        <v>569.96796652222281</v>
      </c>
      <c r="L170" s="3256">
        <f t="shared" si="21"/>
        <v>959.96796652222281</v>
      </c>
      <c r="M170" s="3256">
        <f t="shared" si="22"/>
        <v>736.46796652222281</v>
      </c>
      <c r="N170" s="3248"/>
      <c r="O170" s="3248">
        <f t="shared" si="23"/>
        <v>166.5</v>
      </c>
      <c r="P170" s="3255">
        <f t="shared" si="24"/>
        <v>4.4232310301635005</v>
      </c>
      <c r="Q170" s="3122"/>
      <c r="R170" s="3044"/>
      <c r="W170" s="2960"/>
      <c r="X170" s="2960"/>
      <c r="AM170" s="2960"/>
      <c r="AN170" s="2960"/>
    </row>
    <row r="171" spans="1:40" ht="17.100000000000001" customHeight="1">
      <c r="A171" s="2948"/>
      <c r="B171" s="3246">
        <v>220</v>
      </c>
      <c r="C171" s="3247">
        <f t="shared" si="19"/>
        <v>2.2000000000000002</v>
      </c>
      <c r="D171" s="3248"/>
      <c r="E171" s="3265">
        <f t="shared" si="20"/>
        <v>2.9046738843411677</v>
      </c>
      <c r="F171" s="3250"/>
      <c r="G171" s="3246">
        <v>574</v>
      </c>
      <c r="H171" s="3252">
        <f t="shared" si="25"/>
        <v>679.04200000000003</v>
      </c>
      <c r="I171" s="3253">
        <v>224.5</v>
      </c>
      <c r="J171" s="3254">
        <f t="shared" si="26"/>
        <v>34.5</v>
      </c>
      <c r="K171" s="3255">
        <f t="shared" si="27"/>
        <v>592.25680619664581</v>
      </c>
      <c r="L171" s="3256">
        <f t="shared" si="21"/>
        <v>982.25680619664581</v>
      </c>
      <c r="M171" s="3256">
        <f t="shared" si="22"/>
        <v>757.75680619664581</v>
      </c>
      <c r="N171" s="3248"/>
      <c r="O171" s="3248">
        <f t="shared" si="23"/>
        <v>165.5</v>
      </c>
      <c r="P171" s="3255">
        <f t="shared" si="24"/>
        <v>4.5785909739978603</v>
      </c>
      <c r="Q171" s="3122"/>
      <c r="R171" s="3044"/>
      <c r="W171" s="2960"/>
      <c r="X171" s="2960"/>
      <c r="AM171" s="2960"/>
      <c r="AN171" s="2960"/>
    </row>
    <row r="172" spans="1:40" ht="17.100000000000001" customHeight="1">
      <c r="A172" s="2948"/>
      <c r="B172" s="3246">
        <v>240</v>
      </c>
      <c r="C172" s="3247">
        <f t="shared" si="19"/>
        <v>2.4</v>
      </c>
      <c r="D172" s="3248"/>
      <c r="E172" s="3265">
        <f t="shared" si="20"/>
        <v>3.1687351465540003</v>
      </c>
      <c r="F172" s="3250"/>
      <c r="G172" s="3246">
        <v>591.79999999999995</v>
      </c>
      <c r="H172" s="3252">
        <f t="shared" si="25"/>
        <v>700.09939999999995</v>
      </c>
      <c r="I172" s="3253">
        <v>226.7</v>
      </c>
      <c r="J172" s="3254">
        <f t="shared" si="26"/>
        <v>36.699999999999989</v>
      </c>
      <c r="K172" s="3255">
        <f t="shared" si="27"/>
        <v>608.96230271497018</v>
      </c>
      <c r="L172" s="3256">
        <f t="shared" si="21"/>
        <v>998.96230271497018</v>
      </c>
      <c r="M172" s="3256">
        <f t="shared" si="22"/>
        <v>772.26230271497025</v>
      </c>
      <c r="N172" s="3248"/>
      <c r="O172" s="3248">
        <f t="shared" si="23"/>
        <v>163.30000000000001</v>
      </c>
      <c r="P172" s="3255">
        <f t="shared" si="24"/>
        <v>4.7291016700243125</v>
      </c>
      <c r="Q172" s="3122"/>
      <c r="R172" s="3044"/>
      <c r="W172" s="2960"/>
      <c r="X172" s="2960"/>
      <c r="AM172" s="2960"/>
      <c r="AN172" s="2960"/>
    </row>
    <row r="173" spans="1:40" ht="17.100000000000001" customHeight="1">
      <c r="A173" s="2948"/>
      <c r="B173" s="3246">
        <v>260</v>
      </c>
      <c r="C173" s="3247">
        <f t="shared" si="19"/>
        <v>2.6</v>
      </c>
      <c r="D173" s="3248"/>
      <c r="E173" s="3265">
        <f t="shared" si="20"/>
        <v>3.4327964087668339</v>
      </c>
      <c r="F173" s="3250"/>
      <c r="G173" s="3246">
        <v>609.1</v>
      </c>
      <c r="H173" s="3252">
        <f t="shared" si="25"/>
        <v>720.56530000000009</v>
      </c>
      <c r="I173" s="3253">
        <v>230.2</v>
      </c>
      <c r="J173" s="3254">
        <f t="shared" si="26"/>
        <v>40.199999999999989</v>
      </c>
      <c r="K173" s="3255">
        <f t="shared" si="27"/>
        <v>625.05480472030047</v>
      </c>
      <c r="L173" s="3256">
        <f t="shared" si="21"/>
        <v>1015.0548047203005</v>
      </c>
      <c r="M173" s="3256">
        <f t="shared" si="22"/>
        <v>784.85480472030054</v>
      </c>
      <c r="N173" s="3248"/>
      <c r="O173" s="3248">
        <f t="shared" si="23"/>
        <v>159.80000000000001</v>
      </c>
      <c r="P173" s="3255">
        <f t="shared" si="24"/>
        <v>4.9114818818541961</v>
      </c>
      <c r="Q173" s="3122"/>
      <c r="R173" s="3044"/>
      <c r="W173" s="2960"/>
      <c r="X173" s="2960"/>
      <c r="AM173" s="2960"/>
      <c r="AN173" s="2960"/>
    </row>
    <row r="174" spans="1:40" ht="17.100000000000001" customHeight="1">
      <c r="A174" s="2948"/>
      <c r="B174" s="3246">
        <v>280</v>
      </c>
      <c r="C174" s="3247">
        <f t="shared" si="19"/>
        <v>2.8</v>
      </c>
      <c r="D174" s="3248"/>
      <c r="E174" s="3265">
        <f t="shared" si="20"/>
        <v>3.6968576709796674</v>
      </c>
      <c r="F174" s="3248"/>
      <c r="G174" s="3246">
        <v>626.5</v>
      </c>
      <c r="H174" s="3252">
        <f t="shared" si="25"/>
        <v>741.14949999999999</v>
      </c>
      <c r="I174" s="3253">
        <v>231.3</v>
      </c>
      <c r="J174" s="3254">
        <f t="shared" si="26"/>
        <v>41.300000000000011</v>
      </c>
      <c r="K174" s="3255">
        <f t="shared" si="27"/>
        <v>641.15255414947717</v>
      </c>
      <c r="L174" s="3256">
        <f t="shared" si="21"/>
        <v>1031.1525541494771</v>
      </c>
      <c r="M174" s="3256">
        <f t="shared" si="22"/>
        <v>799.8525541494771</v>
      </c>
      <c r="N174" s="3248"/>
      <c r="O174" s="3248">
        <f t="shared" si="23"/>
        <v>158.69999999999999</v>
      </c>
      <c r="P174" s="3255">
        <f t="shared" si="24"/>
        <v>5.0400286965940593</v>
      </c>
      <c r="Q174" s="3122"/>
      <c r="R174" s="3044"/>
      <c r="W174" s="2960"/>
      <c r="X174" s="2960"/>
      <c r="AM174" s="2960"/>
      <c r="AN174" s="2960"/>
    </row>
    <row r="175" spans="1:40" ht="17.100000000000001" customHeight="1">
      <c r="A175" s="2948"/>
      <c r="B175" s="3246">
        <v>300</v>
      </c>
      <c r="C175" s="3247">
        <f t="shared" si="19"/>
        <v>3</v>
      </c>
      <c r="D175" s="3248"/>
      <c r="E175" s="3265">
        <f t="shared" si="20"/>
        <v>3.960918933192501</v>
      </c>
      <c r="F175" s="3248"/>
      <c r="G175" s="3246">
        <v>642.79999999999995</v>
      </c>
      <c r="H175" s="3252">
        <f t="shared" si="25"/>
        <v>760.43240000000003</v>
      </c>
      <c r="I175" s="3253">
        <v>233.8</v>
      </c>
      <c r="J175" s="3254">
        <f t="shared" si="26"/>
        <v>43.800000000000011</v>
      </c>
      <c r="K175" s="3255">
        <f t="shared" si="27"/>
        <v>656.03001095395359</v>
      </c>
      <c r="L175" s="3256">
        <f t="shared" si="21"/>
        <v>1046.0300109539535</v>
      </c>
      <c r="M175" s="3256">
        <f t="shared" si="22"/>
        <v>812.23001095395352</v>
      </c>
      <c r="N175" s="3248"/>
      <c r="O175" s="3248">
        <f t="shared" si="23"/>
        <v>156.19999999999999</v>
      </c>
      <c r="P175" s="3255">
        <f t="shared" si="24"/>
        <v>5.1999360496411882</v>
      </c>
      <c r="Q175" s="2952"/>
      <c r="R175" s="3044"/>
      <c r="W175" s="2960"/>
      <c r="X175" s="2960"/>
      <c r="AM175" s="2960"/>
      <c r="AN175" s="2960"/>
    </row>
    <row r="176" spans="1:40" ht="17.100000000000001" customHeight="1">
      <c r="A176" s="2948"/>
      <c r="B176" s="3246">
        <v>350</v>
      </c>
      <c r="C176" s="3247">
        <f t="shared" si="19"/>
        <v>3.5</v>
      </c>
      <c r="D176" s="3248"/>
      <c r="E176" s="3265">
        <f t="shared" si="20"/>
        <v>4.621072088724584</v>
      </c>
      <c r="F176" s="3248"/>
      <c r="G176" s="3246">
        <v>672.3</v>
      </c>
      <c r="H176" s="3252">
        <f t="shared" si="25"/>
        <v>795.33089999999993</v>
      </c>
      <c r="I176" s="3253">
        <v>236.1</v>
      </c>
      <c r="J176" s="3254">
        <f t="shared" si="26"/>
        <v>46.099999999999994</v>
      </c>
      <c r="K176" s="3255">
        <f t="shared" si="27"/>
        <v>681.420807710085</v>
      </c>
      <c r="L176" s="3256">
        <f t="shared" si="21"/>
        <v>1071.420807710085</v>
      </c>
      <c r="M176" s="3256">
        <f t="shared" si="22"/>
        <v>835.32080771008498</v>
      </c>
      <c r="N176" s="3248"/>
      <c r="O176" s="3248">
        <f t="shared" si="23"/>
        <v>153.9</v>
      </c>
      <c r="P176" s="3255">
        <f t="shared" si="24"/>
        <v>5.4276855601694924</v>
      </c>
      <c r="Q176" s="2952"/>
      <c r="R176" s="3044"/>
      <c r="W176" s="2960"/>
      <c r="X176" s="2960"/>
      <c r="AM176" s="2960"/>
      <c r="AN176" s="2960"/>
    </row>
    <row r="177" spans="1:43" ht="17.100000000000001" customHeight="1">
      <c r="A177" s="2948"/>
      <c r="B177" s="3246">
        <v>400</v>
      </c>
      <c r="C177" s="3247">
        <f t="shared" si="19"/>
        <v>4</v>
      </c>
      <c r="D177" s="3248"/>
      <c r="E177" s="3265">
        <f t="shared" si="20"/>
        <v>5.2812252442566683</v>
      </c>
      <c r="F177" s="3248"/>
      <c r="G177" s="3246">
        <v>689.2</v>
      </c>
      <c r="H177" s="3252">
        <f t="shared" si="25"/>
        <v>815.32360000000006</v>
      </c>
      <c r="I177" s="3253">
        <v>237.2</v>
      </c>
      <c r="J177" s="3254">
        <f t="shared" si="26"/>
        <v>47.199999999999989</v>
      </c>
      <c r="K177" s="3255">
        <f t="shared" si="27"/>
        <v>693.71515698859878</v>
      </c>
      <c r="L177" s="3256">
        <f t="shared" si="21"/>
        <v>1083.7151569885987</v>
      </c>
      <c r="M177" s="3256">
        <f t="shared" si="22"/>
        <v>846.51515698859862</v>
      </c>
      <c r="N177" s="3248"/>
      <c r="O177" s="3248">
        <f t="shared" si="23"/>
        <v>152.80000000000001</v>
      </c>
      <c r="P177" s="3255">
        <f t="shared" si="24"/>
        <v>5.5400206609201472</v>
      </c>
      <c r="Q177" s="2952"/>
      <c r="R177" s="3044"/>
    </row>
    <row r="178" spans="1:43" ht="17.100000000000001" customHeight="1">
      <c r="A178" s="2948"/>
      <c r="B178" s="3246">
        <v>450</v>
      </c>
      <c r="C178" s="3247">
        <f t="shared" si="19"/>
        <v>4.5</v>
      </c>
      <c r="D178" s="3248"/>
      <c r="E178" s="3265">
        <f t="shared" si="20"/>
        <v>5.9413783997887517</v>
      </c>
      <c r="F178" s="3248"/>
      <c r="G178" s="3246">
        <v>706.5</v>
      </c>
      <c r="H178" s="3252">
        <f t="shared" si="25"/>
        <v>835.78950000000009</v>
      </c>
      <c r="I178" s="3253">
        <v>238.4</v>
      </c>
      <c r="J178" s="3254">
        <f t="shared" si="26"/>
        <v>48.400000000000006</v>
      </c>
      <c r="K178" s="3255">
        <f t="shared" si="27"/>
        <v>706.17220446744841</v>
      </c>
      <c r="L178" s="3256">
        <f t="shared" si="21"/>
        <v>1096.1722044674484</v>
      </c>
      <c r="M178" s="3256">
        <f t="shared" si="22"/>
        <v>857.77220446744843</v>
      </c>
      <c r="N178" s="3248"/>
      <c r="O178" s="3248">
        <f t="shared" si="23"/>
        <v>151.6</v>
      </c>
      <c r="P178" s="3255">
        <f t="shared" si="24"/>
        <v>5.6581279978063881</v>
      </c>
      <c r="Q178" s="2952"/>
      <c r="R178" s="3044"/>
    </row>
    <row r="179" spans="1:43" ht="17.100000000000001" customHeight="1">
      <c r="A179" s="2948"/>
      <c r="B179" s="3246">
        <v>500</v>
      </c>
      <c r="C179" s="3247">
        <f t="shared" si="19"/>
        <v>5</v>
      </c>
      <c r="D179" s="3248"/>
      <c r="E179" s="3265">
        <f t="shared" si="20"/>
        <v>6.6015315553208342</v>
      </c>
      <c r="F179" s="3248"/>
      <c r="G179" s="3246">
        <v>721.5</v>
      </c>
      <c r="H179" s="3252">
        <f t="shared" si="25"/>
        <v>853.53450000000009</v>
      </c>
      <c r="I179" s="3253">
        <v>238.6</v>
      </c>
      <c r="J179" s="3254">
        <f t="shared" si="26"/>
        <v>48.599999999999994</v>
      </c>
      <c r="K179" s="3255">
        <f t="shared" si="27"/>
        <v>716.10372577719806</v>
      </c>
      <c r="L179" s="3256">
        <f t="shared" si="21"/>
        <v>1106.1037257771982</v>
      </c>
      <c r="M179" s="3256">
        <f t="shared" si="22"/>
        <v>867.50372577719816</v>
      </c>
      <c r="N179" s="3248"/>
      <c r="O179" s="3248">
        <f t="shared" si="23"/>
        <v>151.4</v>
      </c>
      <c r="P179" s="3255">
        <f t="shared" si="24"/>
        <v>5.7298792983962885</v>
      </c>
      <c r="Q179" s="2952"/>
      <c r="R179" s="3044"/>
    </row>
    <row r="180" spans="1:43" ht="17.100000000000001" customHeight="1">
      <c r="A180" s="2948"/>
      <c r="B180" s="3246">
        <v>550</v>
      </c>
      <c r="C180" s="3247">
        <f t="shared" si="19"/>
        <v>5.5</v>
      </c>
      <c r="D180" s="3248"/>
      <c r="E180" s="3265">
        <f t="shared" si="20"/>
        <v>7.2616847108529186</v>
      </c>
      <c r="F180" s="3248"/>
      <c r="G180" s="3246">
        <v>730.4</v>
      </c>
      <c r="H180" s="3252">
        <f t="shared" si="25"/>
        <v>864.06320000000005</v>
      </c>
      <c r="I180" s="3253">
        <v>238.8</v>
      </c>
      <c r="J180" s="3254">
        <f t="shared" si="26"/>
        <v>48.800000000000011</v>
      </c>
      <c r="K180" s="3255">
        <f t="shared" si="27"/>
        <v>719.81320545933329</v>
      </c>
      <c r="L180" s="3256">
        <f t="shared" si="21"/>
        <v>1109.8132054593334</v>
      </c>
      <c r="M180" s="3256">
        <f t="shared" si="22"/>
        <v>871.01320545933345</v>
      </c>
      <c r="N180" s="3248"/>
      <c r="O180" s="3248">
        <f t="shared" si="23"/>
        <v>151.19999999999999</v>
      </c>
      <c r="P180" s="3255">
        <f t="shared" si="24"/>
        <v>5.7606693482760152</v>
      </c>
      <c r="Q180" s="2952"/>
      <c r="R180" s="3044"/>
    </row>
    <row r="181" spans="1:43" ht="17.100000000000001" customHeight="1">
      <c r="A181" s="2948"/>
      <c r="B181" s="3246">
        <v>600</v>
      </c>
      <c r="C181" s="3247">
        <f t="shared" si="19"/>
        <v>6</v>
      </c>
      <c r="D181" s="3248"/>
      <c r="E181" s="3265">
        <f t="shared" si="20"/>
        <v>7.921837866385002</v>
      </c>
      <c r="F181" s="3248"/>
      <c r="G181" s="3246">
        <v>740.8</v>
      </c>
      <c r="H181" s="3252">
        <f t="shared" si="25"/>
        <v>876.3664</v>
      </c>
      <c r="I181" s="3253">
        <v>238.9</v>
      </c>
      <c r="J181" s="3254">
        <f t="shared" si="26"/>
        <v>48.900000000000006</v>
      </c>
      <c r="K181" s="3255">
        <f t="shared" si="27"/>
        <v>724.86554860767762</v>
      </c>
      <c r="L181" s="3256">
        <f t="shared" si="21"/>
        <v>1114.8655486076777</v>
      </c>
      <c r="M181" s="3256">
        <f t="shared" si="22"/>
        <v>875.96554860767776</v>
      </c>
      <c r="N181" s="3248"/>
      <c r="O181" s="3248">
        <f t="shared" si="23"/>
        <v>151.1</v>
      </c>
      <c r="P181" s="3255">
        <f t="shared" si="24"/>
        <v>5.7972571052791384</v>
      </c>
      <c r="Q181" s="2952"/>
      <c r="R181" s="3044"/>
    </row>
    <row r="182" spans="1:43" ht="17.100000000000001" customHeight="1">
      <c r="A182" s="2948"/>
      <c r="B182" s="3246">
        <v>650</v>
      </c>
      <c r="C182" s="3247">
        <f t="shared" si="19"/>
        <v>6.5</v>
      </c>
      <c r="D182" s="3248"/>
      <c r="E182" s="3265">
        <f t="shared" si="20"/>
        <v>8.5819910219170854</v>
      </c>
      <c r="F182" s="3248"/>
      <c r="G182" s="3246">
        <v>759.5</v>
      </c>
      <c r="H182" s="3252">
        <f t="shared" si="25"/>
        <v>898.48850000000004</v>
      </c>
      <c r="I182" s="3253">
        <v>238.9</v>
      </c>
      <c r="J182" s="3254">
        <f t="shared" si="26"/>
        <v>48.900000000000006</v>
      </c>
      <c r="K182" s="3255">
        <f t="shared" si="27"/>
        <v>737.8352160802732</v>
      </c>
      <c r="L182" s="3256">
        <f t="shared" si="21"/>
        <v>1127.8352160802733</v>
      </c>
      <c r="M182" s="3256">
        <f t="shared" si="22"/>
        <v>888.93521608027334</v>
      </c>
      <c r="N182" s="3248"/>
      <c r="O182" s="3248">
        <f t="shared" si="23"/>
        <v>151.1</v>
      </c>
      <c r="P182" s="3255">
        <f t="shared" si="24"/>
        <v>5.8830920984796382</v>
      </c>
      <c r="Q182" s="3119"/>
      <c r="R182" s="3044"/>
      <c r="W182" s="2960"/>
      <c r="X182" s="2960"/>
      <c r="Y182" s="2960"/>
      <c r="Z182" s="2960"/>
      <c r="AA182" s="2960"/>
      <c r="AC182" s="2961"/>
      <c r="AD182" s="2960"/>
      <c r="AE182" s="2960"/>
      <c r="AF182" s="2960"/>
      <c r="AG182" s="2960"/>
      <c r="AH182" s="2960"/>
      <c r="AI182" s="2960"/>
      <c r="AJ182" s="2960"/>
      <c r="AK182" s="2960"/>
      <c r="AL182" s="2960"/>
      <c r="AM182" s="2960"/>
      <c r="AN182" s="2960"/>
      <c r="AO182" s="2960"/>
      <c r="AP182" s="2960"/>
      <c r="AQ182" s="2960"/>
    </row>
    <row r="183" spans="1:43" ht="17.100000000000001" customHeight="1">
      <c r="A183" s="2948"/>
      <c r="B183" s="3246">
        <v>700</v>
      </c>
      <c r="C183" s="3247">
        <f t="shared" si="19"/>
        <v>7</v>
      </c>
      <c r="D183" s="3248"/>
      <c r="E183" s="3265">
        <f t="shared" si="20"/>
        <v>9.2421441774491679</v>
      </c>
      <c r="F183" s="3248"/>
      <c r="G183" s="3246">
        <v>780.5</v>
      </c>
      <c r="H183" s="3252">
        <f t="shared" si="25"/>
        <v>923.33150000000001</v>
      </c>
      <c r="I183" s="3253">
        <v>239</v>
      </c>
      <c r="J183" s="3254">
        <f t="shared" si="26"/>
        <v>49</v>
      </c>
      <c r="K183" s="3255">
        <f t="shared" si="27"/>
        <v>752.76076959316219</v>
      </c>
      <c r="L183" s="3256">
        <f t="shared" si="21"/>
        <v>1142.7607695931622</v>
      </c>
      <c r="M183" s="3256">
        <f t="shared" si="22"/>
        <v>903.76076959316219</v>
      </c>
      <c r="N183" s="3248"/>
      <c r="O183" s="3248">
        <f t="shared" si="23"/>
        <v>151</v>
      </c>
      <c r="P183" s="3255">
        <f t="shared" si="24"/>
        <v>5.9851706595573653</v>
      </c>
      <c r="Q183" s="3153"/>
      <c r="R183" s="3044"/>
      <c r="W183" s="3064"/>
      <c r="X183" s="3064"/>
      <c r="Y183" s="3064"/>
      <c r="Z183" s="3064"/>
      <c r="AF183" s="2945"/>
      <c r="AG183" s="2945"/>
      <c r="AJ183" s="2978"/>
      <c r="AK183" s="3065"/>
      <c r="AL183" s="3064"/>
      <c r="AM183" s="3064"/>
      <c r="AN183" s="3064"/>
      <c r="AO183" s="3064"/>
      <c r="AP183" s="3064"/>
    </row>
    <row r="184" spans="1:43" ht="17.100000000000001" customHeight="1">
      <c r="A184" s="2948"/>
      <c r="B184" s="3246">
        <v>750</v>
      </c>
      <c r="C184" s="3247">
        <f t="shared" si="19"/>
        <v>7.5</v>
      </c>
      <c r="D184" s="3248"/>
      <c r="E184" s="3265">
        <f t="shared" si="20"/>
        <v>9.9022973329812523</v>
      </c>
      <c r="F184" s="3248"/>
      <c r="G184" s="3246">
        <v>806.6</v>
      </c>
      <c r="H184" s="3252">
        <f t="shared" si="25"/>
        <v>954.20780000000002</v>
      </c>
      <c r="I184" s="3253">
        <v>239</v>
      </c>
      <c r="J184" s="3254">
        <f t="shared" si="26"/>
        <v>49</v>
      </c>
      <c r="K184" s="3255">
        <f t="shared" si="27"/>
        <v>772.27464806868397</v>
      </c>
      <c r="L184" s="3256">
        <f t="shared" si="21"/>
        <v>1162.274648068684</v>
      </c>
      <c r="M184" s="3256">
        <f t="shared" si="22"/>
        <v>923.27464806868397</v>
      </c>
      <c r="N184" s="3248"/>
      <c r="O184" s="3248">
        <f t="shared" si="23"/>
        <v>151</v>
      </c>
      <c r="P184" s="3255">
        <f t="shared" si="24"/>
        <v>6.1144016428389669</v>
      </c>
      <c r="Q184" s="3153"/>
      <c r="R184" s="3044"/>
      <c r="W184" s="3156"/>
      <c r="X184" s="3156"/>
      <c r="Y184" s="3064"/>
      <c r="Z184" s="3064"/>
      <c r="AF184" s="2945"/>
      <c r="AG184" s="2945"/>
      <c r="AJ184" s="2978"/>
      <c r="AK184" s="3066"/>
      <c r="AL184" s="3156"/>
      <c r="AM184" s="3156"/>
      <c r="AN184" s="3156"/>
      <c r="AO184" s="3064"/>
      <c r="AP184" s="3064"/>
    </row>
    <row r="185" spans="1:43" ht="17.100000000000001" customHeight="1">
      <c r="A185" s="2948"/>
      <c r="B185" s="3246">
        <v>800</v>
      </c>
      <c r="C185" s="3247">
        <f t="shared" si="19"/>
        <v>8</v>
      </c>
      <c r="D185" s="3248"/>
      <c r="E185" s="3265">
        <f t="shared" si="20"/>
        <v>10.562450488513337</v>
      </c>
      <c r="F185" s="3248"/>
      <c r="G185" s="3246">
        <v>833.1</v>
      </c>
      <c r="H185" s="3252">
        <f t="shared" si="25"/>
        <v>985.55730000000005</v>
      </c>
      <c r="I185" s="3253">
        <v>239</v>
      </c>
      <c r="J185" s="3254">
        <f t="shared" si="26"/>
        <v>49</v>
      </c>
      <c r="K185" s="3255">
        <f t="shared" si="27"/>
        <v>791.80250096706982</v>
      </c>
      <c r="L185" s="3256">
        <f t="shared" si="21"/>
        <v>1181.8025009670698</v>
      </c>
      <c r="M185" s="3256">
        <f t="shared" si="22"/>
        <v>942.80250096706982</v>
      </c>
      <c r="N185" s="3248"/>
      <c r="O185" s="3248">
        <f t="shared" si="23"/>
        <v>151</v>
      </c>
      <c r="P185" s="3255">
        <f t="shared" si="24"/>
        <v>6.2437251719673501</v>
      </c>
      <c r="Q185" s="3153"/>
      <c r="R185" s="3044"/>
      <c r="W185" s="3064"/>
      <c r="X185" s="3064"/>
      <c r="Y185" s="3064"/>
      <c r="Z185" s="3064"/>
      <c r="AF185" s="2945"/>
      <c r="AG185" s="2945"/>
      <c r="AJ185" s="2978"/>
      <c r="AK185" s="3066"/>
      <c r="AL185" s="3064"/>
      <c r="AM185" s="3064"/>
      <c r="AN185" s="3064"/>
      <c r="AO185" s="3064"/>
      <c r="AP185" s="3064"/>
    </row>
    <row r="186" spans="1:43" ht="17.100000000000001" customHeight="1">
      <c r="A186" s="2948"/>
      <c r="B186" s="3246">
        <v>850</v>
      </c>
      <c r="C186" s="3247">
        <f t="shared" si="19"/>
        <v>8.5</v>
      </c>
      <c r="D186" s="3248"/>
      <c r="E186" s="3265">
        <f t="shared" si="20"/>
        <v>11.222603644045419</v>
      </c>
      <c r="F186" s="3248"/>
      <c r="G186" s="3246">
        <v>843.8</v>
      </c>
      <c r="H186" s="3252">
        <f t="shared" si="25"/>
        <v>998.21540000000005</v>
      </c>
      <c r="I186" s="3253">
        <v>239</v>
      </c>
      <c r="J186" s="3254">
        <f t="shared" si="26"/>
        <v>49</v>
      </c>
      <c r="K186" s="3255">
        <f t="shared" si="27"/>
        <v>796.05260561085993</v>
      </c>
      <c r="L186" s="3256">
        <f t="shared" si="21"/>
        <v>1186.0526056108599</v>
      </c>
      <c r="M186" s="3256">
        <f t="shared" si="22"/>
        <v>947.05260561085993</v>
      </c>
      <c r="N186" s="3248"/>
      <c r="O186" s="3248">
        <f t="shared" si="23"/>
        <v>151</v>
      </c>
      <c r="P186" s="3255">
        <f t="shared" si="24"/>
        <v>6.2718715603368205</v>
      </c>
      <c r="Q186" s="3153"/>
      <c r="R186" s="3044"/>
      <c r="W186" s="3064"/>
      <c r="X186" s="3064"/>
      <c r="Y186" s="3064"/>
      <c r="Z186" s="3064"/>
      <c r="AF186" s="2945"/>
      <c r="AG186" s="2945"/>
      <c r="AJ186" s="2978"/>
      <c r="AK186" s="3066"/>
      <c r="AL186" s="3064"/>
      <c r="AM186" s="3064"/>
      <c r="AN186" s="3064"/>
      <c r="AO186" s="3064"/>
      <c r="AP186" s="3064"/>
    </row>
    <row r="187" spans="1:43" ht="17.100000000000001" customHeight="1">
      <c r="A187" s="2948"/>
      <c r="B187" s="3246">
        <v>900</v>
      </c>
      <c r="C187" s="3247">
        <f t="shared" si="19"/>
        <v>9</v>
      </c>
      <c r="D187" s="3248"/>
      <c r="E187" s="3265">
        <f t="shared" si="20"/>
        <v>11.882756799577503</v>
      </c>
      <c r="F187" s="3248"/>
      <c r="G187" s="3246">
        <v>854.8</v>
      </c>
      <c r="H187" s="3252">
        <f t="shared" si="25"/>
        <v>1011.2284</v>
      </c>
      <c r="I187" s="3253">
        <v>239</v>
      </c>
      <c r="J187" s="3254">
        <f t="shared" si="26"/>
        <v>49</v>
      </c>
      <c r="K187" s="3255">
        <f t="shared" si="27"/>
        <v>800.43350299555448</v>
      </c>
      <c r="L187" s="3256">
        <f t="shared" si="21"/>
        <v>1190.4335029955546</v>
      </c>
      <c r="M187" s="3256">
        <f t="shared" si="22"/>
        <v>951.43350299555459</v>
      </c>
      <c r="N187" s="3248"/>
      <c r="O187" s="3248">
        <f t="shared" si="23"/>
        <v>151</v>
      </c>
      <c r="P187" s="3255">
        <f t="shared" si="24"/>
        <v>6.3008841257983752</v>
      </c>
      <c r="Q187" s="3153"/>
      <c r="R187" s="3044"/>
      <c r="W187" s="3064"/>
      <c r="X187" s="3064"/>
      <c r="Y187" s="3064"/>
      <c r="Z187" s="3064"/>
      <c r="AF187" s="2945"/>
      <c r="AG187" s="2945"/>
      <c r="AJ187" s="2978"/>
      <c r="AK187" s="3066"/>
      <c r="AL187" s="3064"/>
      <c r="AM187" s="3064"/>
      <c r="AN187" s="3064"/>
      <c r="AO187" s="3064"/>
      <c r="AP187" s="3064"/>
    </row>
    <row r="188" spans="1:43" ht="17.100000000000001" customHeight="1">
      <c r="A188" s="2948"/>
      <c r="B188" s="3246">
        <v>950</v>
      </c>
      <c r="C188" s="3247">
        <f t="shared" si="19"/>
        <v>9.5</v>
      </c>
      <c r="D188" s="3248"/>
      <c r="E188" s="3265">
        <f t="shared" si="20"/>
        <v>12.542909955109586</v>
      </c>
      <c r="F188" s="3248"/>
      <c r="G188" s="3246">
        <v>855.2</v>
      </c>
      <c r="H188" s="3252">
        <f t="shared" si="25"/>
        <v>1011.7016000000001</v>
      </c>
      <c r="I188" s="3253">
        <v>239</v>
      </c>
      <c r="J188" s="3254">
        <f t="shared" si="26"/>
        <v>49</v>
      </c>
      <c r="K188" s="3255">
        <f t="shared" si="27"/>
        <v>794.80860136503429</v>
      </c>
      <c r="L188" s="3256">
        <f t="shared" si="21"/>
        <v>1184.8086013650343</v>
      </c>
      <c r="M188" s="3256">
        <f t="shared" si="22"/>
        <v>945.80860136503429</v>
      </c>
      <c r="N188" s="3248"/>
      <c r="O188" s="3248">
        <f t="shared" si="23"/>
        <v>151</v>
      </c>
      <c r="P188" s="3255">
        <f t="shared" si="24"/>
        <v>6.2636331216227434</v>
      </c>
      <c r="Q188" s="3153"/>
      <c r="R188" s="3044"/>
      <c r="W188" s="3064"/>
      <c r="X188" s="3064"/>
      <c r="Y188" s="3064"/>
      <c r="Z188" s="3064"/>
      <c r="AF188" s="2945"/>
      <c r="AG188" s="2945"/>
      <c r="AJ188" s="2978"/>
      <c r="AK188" s="3066"/>
      <c r="AL188" s="3064"/>
      <c r="AM188" s="3064"/>
      <c r="AN188" s="3064"/>
      <c r="AO188" s="3064"/>
      <c r="AP188" s="3064"/>
    </row>
    <row r="189" spans="1:43" ht="17.100000000000001" customHeight="1">
      <c r="A189" s="2948"/>
      <c r="B189" s="3246">
        <v>1000</v>
      </c>
      <c r="C189" s="3247">
        <f t="shared" si="19"/>
        <v>10</v>
      </c>
      <c r="D189" s="3248"/>
      <c r="E189" s="3265">
        <f t="shared" si="20"/>
        <v>13.203063110641668</v>
      </c>
      <c r="F189" s="3248"/>
      <c r="G189" s="3246">
        <v>856.3</v>
      </c>
      <c r="H189" s="3252">
        <f t="shared" si="25"/>
        <v>1013.0029</v>
      </c>
      <c r="I189" s="3253">
        <v>239</v>
      </c>
      <c r="J189" s="3254">
        <f t="shared" si="26"/>
        <v>49</v>
      </c>
      <c r="K189" s="3255">
        <f t="shared" si="27"/>
        <v>789.82374513835384</v>
      </c>
      <c r="L189" s="3256">
        <f t="shared" si="21"/>
        <v>1179.8237451383538</v>
      </c>
      <c r="M189" s="3256">
        <f t="shared" si="22"/>
        <v>940.82374513835384</v>
      </c>
      <c r="N189" s="3248"/>
      <c r="O189" s="3248">
        <f t="shared" si="23"/>
        <v>151</v>
      </c>
      <c r="P189" s="3255">
        <f t="shared" si="24"/>
        <v>6.23062082873082</v>
      </c>
      <c r="Q189" s="3153"/>
      <c r="R189" s="3044"/>
      <c r="T189" s="3159"/>
      <c r="W189" s="3064"/>
      <c r="X189" s="3064"/>
      <c r="Y189" s="3064"/>
      <c r="Z189" s="3064"/>
      <c r="AF189" s="2945"/>
      <c r="AG189" s="2945"/>
      <c r="AJ189" s="2978"/>
      <c r="AK189" s="3066"/>
      <c r="AL189" s="3064"/>
      <c r="AM189" s="3064"/>
      <c r="AN189" s="3064"/>
      <c r="AO189" s="3064"/>
      <c r="AP189" s="3064"/>
    </row>
    <row r="190" spans="1:43" ht="17.100000000000001" customHeight="1">
      <c r="A190" s="2948"/>
      <c r="B190" s="3246">
        <v>1050</v>
      </c>
      <c r="C190" s="3247">
        <f t="shared" si="19"/>
        <v>10.5</v>
      </c>
      <c r="D190" s="3248"/>
      <c r="E190" s="3265">
        <f t="shared" si="20"/>
        <v>13.863216266173753</v>
      </c>
      <c r="F190" s="3248"/>
      <c r="G190" s="3246">
        <v>856.4</v>
      </c>
      <c r="H190" s="3252">
        <f t="shared" si="25"/>
        <v>1013.1212</v>
      </c>
      <c r="I190" s="3253">
        <v>239</v>
      </c>
      <c r="J190" s="3254">
        <f t="shared" si="26"/>
        <v>49</v>
      </c>
      <c r="K190" s="3255">
        <f t="shared" si="27"/>
        <v>783.90810255342149</v>
      </c>
      <c r="L190" s="3256">
        <f t="shared" si="21"/>
        <v>1173.9081025534215</v>
      </c>
      <c r="M190" s="3256">
        <f t="shared" si="22"/>
        <v>934.90810255342149</v>
      </c>
      <c r="N190" s="3248"/>
      <c r="O190" s="3248">
        <f t="shared" si="23"/>
        <v>151</v>
      </c>
      <c r="P190" s="3255">
        <f t="shared" si="24"/>
        <v>6.1914443877710035</v>
      </c>
      <c r="Q190" s="3153"/>
      <c r="R190" s="3044"/>
      <c r="T190" s="3159"/>
      <c r="W190" s="3064"/>
      <c r="X190" s="3064"/>
      <c r="Y190" s="3064"/>
      <c r="Z190" s="3064"/>
      <c r="AF190" s="2945"/>
      <c r="AG190" s="2945"/>
      <c r="AJ190" s="2978"/>
      <c r="AK190" s="3066"/>
      <c r="AL190" s="3064"/>
      <c r="AM190" s="3064"/>
      <c r="AN190" s="3064"/>
      <c r="AO190" s="3064"/>
      <c r="AP190" s="3064"/>
    </row>
    <row r="191" spans="1:43" ht="17.100000000000001" customHeight="1">
      <c r="A191" s="2948"/>
      <c r="B191" s="3246"/>
      <c r="C191" s="3247"/>
      <c r="D191" s="3248"/>
      <c r="E191" s="3265"/>
      <c r="F191" s="3248"/>
      <c r="G191" s="3246"/>
      <c r="H191" s="3252"/>
      <c r="I191" s="3253"/>
      <c r="J191" s="3254"/>
      <c r="K191" s="3255"/>
      <c r="L191" s="3256"/>
      <c r="M191" s="3256"/>
      <c r="N191" s="3248"/>
      <c r="O191" s="3248"/>
      <c r="P191" s="3255"/>
      <c r="Q191" s="3153"/>
      <c r="R191" s="3044"/>
      <c r="T191" s="3159"/>
      <c r="W191" s="3064"/>
      <c r="X191" s="3064"/>
      <c r="Y191" s="3064"/>
      <c r="Z191" s="3064"/>
      <c r="AF191" s="2945"/>
      <c r="AG191" s="2945"/>
      <c r="AJ191" s="2978"/>
      <c r="AK191" s="3066"/>
      <c r="AL191" s="3064"/>
      <c r="AM191" s="3064"/>
      <c r="AN191" s="3064"/>
      <c r="AO191" s="3064"/>
      <c r="AP191" s="3064"/>
    </row>
    <row r="192" spans="1:43" ht="17.100000000000001" customHeight="1">
      <c r="A192" s="2948"/>
      <c r="B192" s="3257"/>
      <c r="C192" s="3247"/>
      <c r="D192" s="3248"/>
      <c r="E192" s="3249"/>
      <c r="F192" s="3248"/>
      <c r="G192" s="3257"/>
      <c r="H192" s="3252"/>
      <c r="I192" s="3258"/>
      <c r="J192" s="3254"/>
      <c r="K192" s="3255"/>
      <c r="L192" s="3256"/>
      <c r="M192" s="3256"/>
      <c r="N192" s="3248"/>
      <c r="O192" s="3248"/>
      <c r="P192" s="3255"/>
      <c r="Q192" s="3153"/>
      <c r="R192" s="3044"/>
      <c r="T192" s="3159"/>
      <c r="W192" s="3064"/>
      <c r="X192" s="3064"/>
      <c r="Y192" s="3064"/>
      <c r="Z192" s="3064"/>
      <c r="AF192" s="2945"/>
      <c r="AG192" s="2945"/>
      <c r="AJ192" s="2978"/>
      <c r="AK192" s="3066"/>
      <c r="AL192" s="3064"/>
      <c r="AM192" s="3064"/>
      <c r="AN192" s="3064"/>
      <c r="AO192" s="3064"/>
      <c r="AP192" s="3064"/>
    </row>
    <row r="193" spans="1:43" ht="17.100000000000001" customHeight="1">
      <c r="A193" s="2948"/>
      <c r="B193" s="3257"/>
      <c r="C193" s="3247"/>
      <c r="D193" s="3248"/>
      <c r="E193" s="3249"/>
      <c r="F193" s="3248"/>
      <c r="G193" s="3257"/>
      <c r="H193" s="3252"/>
      <c r="I193" s="3258"/>
      <c r="J193" s="3254"/>
      <c r="K193" s="3255"/>
      <c r="L193" s="3256"/>
      <c r="M193" s="3256"/>
      <c r="N193" s="3248"/>
      <c r="O193" s="3248"/>
      <c r="P193" s="3255"/>
      <c r="Q193" s="3153"/>
      <c r="R193" s="3044"/>
      <c r="T193" s="3159"/>
      <c r="W193" s="3064"/>
      <c r="X193" s="3064"/>
      <c r="Y193" s="3064"/>
      <c r="Z193" s="3064"/>
      <c r="AF193" s="2945"/>
      <c r="AG193" s="2945"/>
      <c r="AJ193" s="2978"/>
      <c r="AK193" s="3066"/>
      <c r="AL193" s="3064"/>
      <c r="AM193" s="3064"/>
      <c r="AN193" s="3064"/>
      <c r="AO193" s="3064"/>
      <c r="AP193" s="3064"/>
    </row>
    <row r="194" spans="1:43" ht="17.100000000000001" customHeight="1">
      <c r="A194" s="2948"/>
      <c r="B194" s="3257"/>
      <c r="C194" s="3247"/>
      <c r="D194" s="3248"/>
      <c r="E194" s="3249"/>
      <c r="F194" s="3248"/>
      <c r="G194" s="3266"/>
      <c r="H194" s="3252"/>
      <c r="I194" s="3258"/>
      <c r="J194" s="3254"/>
      <c r="K194" s="3255"/>
      <c r="L194" s="3256"/>
      <c r="M194" s="3256"/>
      <c r="N194" s="3248"/>
      <c r="O194" s="3248"/>
      <c r="P194" s="3255"/>
      <c r="Q194" s="3153"/>
      <c r="R194" s="3044"/>
      <c r="T194" s="3159"/>
      <c r="W194" s="3064"/>
      <c r="X194" s="3064"/>
      <c r="Y194" s="3064"/>
      <c r="Z194" s="3064"/>
      <c r="AF194" s="2945"/>
      <c r="AG194" s="2945"/>
      <c r="AJ194" s="2978"/>
      <c r="AK194" s="3066"/>
      <c r="AL194" s="3064"/>
      <c r="AM194" s="3064"/>
      <c r="AN194" s="3064"/>
      <c r="AO194" s="3064"/>
      <c r="AP194" s="3064"/>
    </row>
    <row r="195" spans="1:43" ht="17.100000000000001" customHeight="1">
      <c r="A195" s="2948"/>
      <c r="B195" s="3257"/>
      <c r="C195" s="3247"/>
      <c r="D195" s="3248"/>
      <c r="E195" s="3249"/>
      <c r="F195" s="3248"/>
      <c r="G195" s="3266"/>
      <c r="H195" s="3252"/>
      <c r="I195" s="3258"/>
      <c r="J195" s="3254"/>
      <c r="K195" s="3255"/>
      <c r="L195" s="3256"/>
      <c r="M195" s="3256"/>
      <c r="N195" s="3248"/>
      <c r="O195" s="3248"/>
      <c r="P195" s="3255"/>
      <c r="Q195" s="3153"/>
      <c r="T195" s="3159"/>
      <c r="W195" s="3064"/>
      <c r="X195" s="3064"/>
      <c r="Y195" s="3064"/>
      <c r="Z195" s="3064"/>
      <c r="AF195" s="2945"/>
      <c r="AG195" s="2945"/>
      <c r="AJ195" s="2978"/>
      <c r="AK195" s="3066"/>
      <c r="AL195" s="3064"/>
      <c r="AM195" s="3064"/>
      <c r="AN195" s="3064"/>
      <c r="AO195" s="3064"/>
      <c r="AP195" s="3064"/>
    </row>
    <row r="196" spans="1:43" ht="17.100000000000001" customHeight="1">
      <c r="A196" s="2948"/>
      <c r="B196" s="3257"/>
      <c r="C196" s="3254"/>
      <c r="D196" s="3248"/>
      <c r="E196" s="3248"/>
      <c r="F196" s="3248"/>
      <c r="G196" s="3257"/>
      <c r="H196" s="3254"/>
      <c r="I196" s="3257"/>
      <c r="J196" s="3254"/>
      <c r="K196" s="3254"/>
      <c r="L196" s="3254"/>
      <c r="M196" s="3254"/>
      <c r="N196" s="3248"/>
      <c r="O196" s="3248"/>
      <c r="P196" s="3254"/>
      <c r="Q196" s="3153"/>
      <c r="T196" s="3159"/>
      <c r="W196" s="3064"/>
      <c r="X196" s="3064"/>
      <c r="Y196" s="3064"/>
      <c r="Z196" s="3064"/>
      <c r="AF196" s="2945"/>
      <c r="AG196" s="2945"/>
      <c r="AJ196" s="2978"/>
      <c r="AK196" s="3066"/>
      <c r="AL196" s="3064"/>
      <c r="AM196" s="3064"/>
      <c r="AN196" s="3064"/>
      <c r="AO196" s="3064"/>
      <c r="AP196" s="3064"/>
    </row>
    <row r="197" spans="1:43" ht="17.100000000000001" customHeight="1">
      <c r="A197" s="2948"/>
      <c r="B197" s="3267"/>
      <c r="C197" s="3260"/>
      <c r="D197" s="3261"/>
      <c r="E197" s="3261"/>
      <c r="F197" s="3261"/>
      <c r="G197" s="3262"/>
      <c r="H197" s="3260"/>
      <c r="I197" s="3262"/>
      <c r="J197" s="3260"/>
      <c r="K197" s="3260"/>
      <c r="L197" s="3260"/>
      <c r="M197" s="3260"/>
      <c r="N197" s="3261"/>
      <c r="O197" s="3261"/>
      <c r="P197" s="3260"/>
      <c r="Q197" s="2952"/>
      <c r="W197" s="3169"/>
      <c r="X197" s="3169"/>
      <c r="AA197" s="3170"/>
      <c r="AC197" s="2966"/>
      <c r="AM197" s="3169"/>
      <c r="AN197" s="3169"/>
      <c r="AQ197" s="3170"/>
    </row>
    <row r="198" spans="1:43" ht="17.100000000000001" customHeight="1">
      <c r="A198" s="2948"/>
      <c r="B198" s="3263"/>
      <c r="C198" s="2960"/>
      <c r="D198" s="2960"/>
      <c r="E198" s="2960"/>
      <c r="F198" s="2960"/>
      <c r="G198" s="2989"/>
      <c r="H198" s="2960"/>
      <c r="I198" s="2989"/>
      <c r="J198" s="2960"/>
      <c r="K198" s="2960"/>
      <c r="L198" s="2960"/>
      <c r="M198" s="2960"/>
      <c r="N198" s="2960"/>
      <c r="O198" s="2960"/>
      <c r="P198" s="2960"/>
      <c r="Q198" s="2952"/>
    </row>
    <row r="199" spans="1:43" ht="17.100000000000001" customHeight="1">
      <c r="A199" s="2948"/>
      <c r="B199" s="3263"/>
      <c r="C199" s="2960"/>
      <c r="D199" s="2960"/>
      <c r="E199" s="2960"/>
      <c r="F199" s="2960"/>
      <c r="G199" s="2989"/>
      <c r="H199" s="2960"/>
      <c r="I199" s="2989"/>
      <c r="J199" s="2960"/>
      <c r="K199" s="2960"/>
      <c r="L199" s="2960"/>
      <c r="M199" s="2960"/>
      <c r="N199" s="2960"/>
      <c r="O199" s="2960"/>
      <c r="P199" s="2960"/>
      <c r="Q199" s="2952"/>
    </row>
    <row r="200" spans="1:43" ht="17.100000000000001" customHeight="1">
      <c r="A200" s="2951"/>
      <c r="B200" s="2949"/>
      <c r="C200" s="2949"/>
      <c r="D200" s="2949"/>
      <c r="E200" s="2949"/>
      <c r="F200" s="2949"/>
      <c r="G200" s="3129"/>
      <c r="H200" s="2949"/>
      <c r="I200" s="3129"/>
      <c r="J200" s="2949"/>
      <c r="K200" s="2949"/>
      <c r="L200" s="2949"/>
      <c r="M200" s="2949"/>
      <c r="N200" s="2949"/>
      <c r="O200" s="2949"/>
      <c r="P200" s="2949"/>
      <c r="Q200" s="2969"/>
    </row>
  </sheetData>
  <mergeCells count="15">
    <mergeCell ref="B156:C156"/>
    <mergeCell ref="E156:E157"/>
    <mergeCell ref="G156:H156"/>
    <mergeCell ref="I156:J156"/>
    <mergeCell ref="L156:P156"/>
    <mergeCell ref="B22:C22"/>
    <mergeCell ref="E22:E23"/>
    <mergeCell ref="G22:H22"/>
    <mergeCell ref="I22:J22"/>
    <mergeCell ref="L22:P22"/>
    <mergeCell ref="B89:C89"/>
    <mergeCell ref="E89:E90"/>
    <mergeCell ref="G89:H89"/>
    <mergeCell ref="I89:J89"/>
    <mergeCell ref="L89:P89"/>
  </mergeCells>
  <printOptions horizontalCentered="1" verticalCentered="1"/>
  <pageMargins left="0.55118110236220474" right="0.35433070866141736" top="0.59055118110236227" bottom="0.78740157480314965" header="0.23622047244094491" footer="0.59055118110236227"/>
  <pageSetup paperSize="9" scale="66" fitToHeight="3" orientation="portrait" r:id="rId1"/>
  <headerFooter alignWithMargins="0">
    <oddFooter>&amp;L&amp;8C/LAB DATA/2001/IMK001/BATCH240701/TRIAXIAL/&amp;F/&amp;A</oddFooter>
  </headerFooter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2A20-440F-4A36-9A2C-FC37D7E92F8D}">
  <sheetPr>
    <tabColor theme="1"/>
    <pageSetUpPr fitToPage="1"/>
  </sheetPr>
  <dimension ref="C1:AV129"/>
  <sheetViews>
    <sheetView showGridLines="0" zoomScaleNormal="100" zoomScaleSheetLayoutView="100" workbookViewId="0">
      <selection activeCell="R16" sqref="R16"/>
    </sheetView>
  </sheetViews>
  <sheetFormatPr defaultColWidth="8" defaultRowHeight="13.5"/>
  <cols>
    <col min="1" max="1" width="8" style="3279"/>
    <col min="2" max="2" width="1" style="3279" customWidth="1"/>
    <col min="3" max="3" width="0.875" style="3279" customWidth="1"/>
    <col min="4" max="4" width="1.875" style="3279" customWidth="1"/>
    <col min="5" max="5" width="17.625" style="3279" customWidth="1"/>
    <col min="6" max="6" width="1.125" style="3279" customWidth="1"/>
    <col min="7" max="7" width="1.25" style="3279" customWidth="1"/>
    <col min="8" max="8" width="11.75" style="3279" customWidth="1"/>
    <col min="9" max="9" width="9" style="3279" customWidth="1"/>
    <col min="10" max="10" width="4.75" style="3279" customWidth="1"/>
    <col min="11" max="11" width="8.875" style="3279" customWidth="1"/>
    <col min="12" max="12" width="7.375" style="3279" customWidth="1"/>
    <col min="13" max="13" width="8.875" style="3279" customWidth="1"/>
    <col min="14" max="14" width="16.625" style="3081" customWidth="1"/>
    <col min="15" max="15" width="1.625" style="3081" customWidth="1"/>
    <col min="16" max="16" width="14.625" style="3081" customWidth="1"/>
    <col min="17" max="17" width="5.375" style="3279" customWidth="1"/>
    <col min="18" max="20" width="7.375" style="3279" customWidth="1"/>
    <col min="21" max="21" width="1.5" style="3279" customWidth="1"/>
    <col min="22" max="23" width="1.25" style="3279" customWidth="1"/>
    <col min="24" max="24" width="9" style="3279" customWidth="1"/>
    <col min="25" max="25" width="10.875" style="3279" bestFit="1" customWidth="1"/>
    <col min="26" max="26" width="10.5" style="3279" bestFit="1" customWidth="1"/>
    <col min="27" max="27" width="10.875" style="3279" customWidth="1"/>
    <col min="28" max="28" width="10.5" style="3279" customWidth="1"/>
    <col min="29" max="29" width="10.875" style="3279" customWidth="1"/>
    <col min="30" max="30" width="10.5" style="3279" customWidth="1"/>
    <col min="31" max="261" width="8" style="3279"/>
    <col min="262" max="262" width="1.5" style="3279" customWidth="1"/>
    <col min="263" max="264" width="9" style="3279" customWidth="1"/>
    <col min="265" max="265" width="1.125" style="3279" customWidth="1"/>
    <col min="266" max="266" width="11.125" style="3279" customWidth="1"/>
    <col min="267" max="267" width="1.125" style="3279" customWidth="1"/>
    <col min="268" max="272" width="9" style="3279" customWidth="1"/>
    <col min="273" max="273" width="15.875" style="3279" customWidth="1"/>
    <col min="274" max="274" width="15.5" style="3279" customWidth="1"/>
    <col min="275" max="275" width="7.625" style="3279" customWidth="1"/>
    <col min="276" max="276" width="10.25" style="3279" customWidth="1"/>
    <col min="277" max="278" width="9" style="3279" customWidth="1"/>
    <col min="279" max="279" width="1.5" style="3279" customWidth="1"/>
    <col min="280" max="280" width="9" style="3279" customWidth="1"/>
    <col min="281" max="281" width="10.875" style="3279" bestFit="1" customWidth="1"/>
    <col min="282" max="282" width="10.5" style="3279" bestFit="1" customWidth="1"/>
    <col min="283" max="283" width="10.875" style="3279" customWidth="1"/>
    <col min="284" max="284" width="10.5" style="3279" customWidth="1"/>
    <col min="285" max="285" width="10.875" style="3279" customWidth="1"/>
    <col min="286" max="286" width="10.5" style="3279" customWidth="1"/>
    <col min="287" max="517" width="8" style="3279"/>
    <col min="518" max="518" width="1.5" style="3279" customWidth="1"/>
    <col min="519" max="520" width="9" style="3279" customWidth="1"/>
    <col min="521" max="521" width="1.125" style="3279" customWidth="1"/>
    <col min="522" max="522" width="11.125" style="3279" customWidth="1"/>
    <col min="523" max="523" width="1.125" style="3279" customWidth="1"/>
    <col min="524" max="528" width="9" style="3279" customWidth="1"/>
    <col min="529" max="529" width="15.875" style="3279" customWidth="1"/>
    <col min="530" max="530" width="15.5" style="3279" customWidth="1"/>
    <col min="531" max="531" width="7.625" style="3279" customWidth="1"/>
    <col min="532" max="532" width="10.25" style="3279" customWidth="1"/>
    <col min="533" max="534" width="9" style="3279" customWidth="1"/>
    <col min="535" max="535" width="1.5" style="3279" customWidth="1"/>
    <col min="536" max="536" width="9" style="3279" customWidth="1"/>
    <col min="537" max="537" width="10.875" style="3279" bestFit="1" customWidth="1"/>
    <col min="538" max="538" width="10.5" style="3279" bestFit="1" customWidth="1"/>
    <col min="539" max="539" width="10.875" style="3279" customWidth="1"/>
    <col min="540" max="540" width="10.5" style="3279" customWidth="1"/>
    <col min="541" max="541" width="10.875" style="3279" customWidth="1"/>
    <col min="542" max="542" width="10.5" style="3279" customWidth="1"/>
    <col min="543" max="773" width="8" style="3279"/>
    <col min="774" max="774" width="1.5" style="3279" customWidth="1"/>
    <col min="775" max="776" width="9" style="3279" customWidth="1"/>
    <col min="777" max="777" width="1.125" style="3279" customWidth="1"/>
    <col min="778" max="778" width="11.125" style="3279" customWidth="1"/>
    <col min="779" max="779" width="1.125" style="3279" customWidth="1"/>
    <col min="780" max="784" width="9" style="3279" customWidth="1"/>
    <col min="785" max="785" width="15.875" style="3279" customWidth="1"/>
    <col min="786" max="786" width="15.5" style="3279" customWidth="1"/>
    <col min="787" max="787" width="7.625" style="3279" customWidth="1"/>
    <col min="788" max="788" width="10.25" style="3279" customWidth="1"/>
    <col min="789" max="790" width="9" style="3279" customWidth="1"/>
    <col min="791" max="791" width="1.5" style="3279" customWidth="1"/>
    <col min="792" max="792" width="9" style="3279" customWidth="1"/>
    <col min="793" max="793" width="10.875" style="3279" bestFit="1" customWidth="1"/>
    <col min="794" max="794" width="10.5" style="3279" bestFit="1" customWidth="1"/>
    <col min="795" max="795" width="10.875" style="3279" customWidth="1"/>
    <col min="796" max="796" width="10.5" style="3279" customWidth="1"/>
    <col min="797" max="797" width="10.875" style="3279" customWidth="1"/>
    <col min="798" max="798" width="10.5" style="3279" customWidth="1"/>
    <col min="799" max="1029" width="8" style="3279"/>
    <col min="1030" max="1030" width="1.5" style="3279" customWidth="1"/>
    <col min="1031" max="1032" width="9" style="3279" customWidth="1"/>
    <col min="1033" max="1033" width="1.125" style="3279" customWidth="1"/>
    <col min="1034" max="1034" width="11.125" style="3279" customWidth="1"/>
    <col min="1035" max="1035" width="1.125" style="3279" customWidth="1"/>
    <col min="1036" max="1040" width="9" style="3279" customWidth="1"/>
    <col min="1041" max="1041" width="15.875" style="3279" customWidth="1"/>
    <col min="1042" max="1042" width="15.5" style="3279" customWidth="1"/>
    <col min="1043" max="1043" width="7.625" style="3279" customWidth="1"/>
    <col min="1044" max="1044" width="10.25" style="3279" customWidth="1"/>
    <col min="1045" max="1046" width="9" style="3279" customWidth="1"/>
    <col min="1047" max="1047" width="1.5" style="3279" customWidth="1"/>
    <col min="1048" max="1048" width="9" style="3279" customWidth="1"/>
    <col min="1049" max="1049" width="10.875" style="3279" bestFit="1" customWidth="1"/>
    <col min="1050" max="1050" width="10.5" style="3279" bestFit="1" customWidth="1"/>
    <col min="1051" max="1051" width="10.875" style="3279" customWidth="1"/>
    <col min="1052" max="1052" width="10.5" style="3279" customWidth="1"/>
    <col min="1053" max="1053" width="10.875" style="3279" customWidth="1"/>
    <col min="1054" max="1054" width="10.5" style="3279" customWidth="1"/>
    <col min="1055" max="1285" width="8" style="3279"/>
    <col min="1286" max="1286" width="1.5" style="3279" customWidth="1"/>
    <col min="1287" max="1288" width="9" style="3279" customWidth="1"/>
    <col min="1289" max="1289" width="1.125" style="3279" customWidth="1"/>
    <col min="1290" max="1290" width="11.125" style="3279" customWidth="1"/>
    <col min="1291" max="1291" width="1.125" style="3279" customWidth="1"/>
    <col min="1292" max="1296" width="9" style="3279" customWidth="1"/>
    <col min="1297" max="1297" width="15.875" style="3279" customWidth="1"/>
    <col min="1298" max="1298" width="15.5" style="3279" customWidth="1"/>
    <col min="1299" max="1299" width="7.625" style="3279" customWidth="1"/>
    <col min="1300" max="1300" width="10.25" style="3279" customWidth="1"/>
    <col min="1301" max="1302" width="9" style="3279" customWidth="1"/>
    <col min="1303" max="1303" width="1.5" style="3279" customWidth="1"/>
    <col min="1304" max="1304" width="9" style="3279" customWidth="1"/>
    <col min="1305" max="1305" width="10.875" style="3279" bestFit="1" customWidth="1"/>
    <col min="1306" max="1306" width="10.5" style="3279" bestFit="1" customWidth="1"/>
    <col min="1307" max="1307" width="10.875" style="3279" customWidth="1"/>
    <col min="1308" max="1308" width="10.5" style="3279" customWidth="1"/>
    <col min="1309" max="1309" width="10.875" style="3279" customWidth="1"/>
    <col min="1310" max="1310" width="10.5" style="3279" customWidth="1"/>
    <col min="1311" max="1541" width="8" style="3279"/>
    <col min="1542" max="1542" width="1.5" style="3279" customWidth="1"/>
    <col min="1543" max="1544" width="9" style="3279" customWidth="1"/>
    <col min="1545" max="1545" width="1.125" style="3279" customWidth="1"/>
    <col min="1546" max="1546" width="11.125" style="3279" customWidth="1"/>
    <col min="1547" max="1547" width="1.125" style="3279" customWidth="1"/>
    <col min="1548" max="1552" width="9" style="3279" customWidth="1"/>
    <col min="1553" max="1553" width="15.875" style="3279" customWidth="1"/>
    <col min="1554" max="1554" width="15.5" style="3279" customWidth="1"/>
    <col min="1555" max="1555" width="7.625" style="3279" customWidth="1"/>
    <col min="1556" max="1556" width="10.25" style="3279" customWidth="1"/>
    <col min="1557" max="1558" width="9" style="3279" customWidth="1"/>
    <col min="1559" max="1559" width="1.5" style="3279" customWidth="1"/>
    <col min="1560" max="1560" width="9" style="3279" customWidth="1"/>
    <col min="1561" max="1561" width="10.875" style="3279" bestFit="1" customWidth="1"/>
    <col min="1562" max="1562" width="10.5" style="3279" bestFit="1" customWidth="1"/>
    <col min="1563" max="1563" width="10.875" style="3279" customWidth="1"/>
    <col min="1564" max="1564" width="10.5" style="3279" customWidth="1"/>
    <col min="1565" max="1565" width="10.875" style="3279" customWidth="1"/>
    <col min="1566" max="1566" width="10.5" style="3279" customWidth="1"/>
    <col min="1567" max="1797" width="8" style="3279"/>
    <col min="1798" max="1798" width="1.5" style="3279" customWidth="1"/>
    <col min="1799" max="1800" width="9" style="3279" customWidth="1"/>
    <col min="1801" max="1801" width="1.125" style="3279" customWidth="1"/>
    <col min="1802" max="1802" width="11.125" style="3279" customWidth="1"/>
    <col min="1803" max="1803" width="1.125" style="3279" customWidth="1"/>
    <col min="1804" max="1808" width="9" style="3279" customWidth="1"/>
    <col min="1809" max="1809" width="15.875" style="3279" customWidth="1"/>
    <col min="1810" max="1810" width="15.5" style="3279" customWidth="1"/>
    <col min="1811" max="1811" width="7.625" style="3279" customWidth="1"/>
    <col min="1812" max="1812" width="10.25" style="3279" customWidth="1"/>
    <col min="1813" max="1814" width="9" style="3279" customWidth="1"/>
    <col min="1815" max="1815" width="1.5" style="3279" customWidth="1"/>
    <col min="1816" max="1816" width="9" style="3279" customWidth="1"/>
    <col min="1817" max="1817" width="10.875" style="3279" bestFit="1" customWidth="1"/>
    <col min="1818" max="1818" width="10.5" style="3279" bestFit="1" customWidth="1"/>
    <col min="1819" max="1819" width="10.875" style="3279" customWidth="1"/>
    <col min="1820" max="1820" width="10.5" style="3279" customWidth="1"/>
    <col min="1821" max="1821" width="10.875" style="3279" customWidth="1"/>
    <col min="1822" max="1822" width="10.5" style="3279" customWidth="1"/>
    <col min="1823" max="2053" width="8" style="3279"/>
    <col min="2054" max="2054" width="1.5" style="3279" customWidth="1"/>
    <col min="2055" max="2056" width="9" style="3279" customWidth="1"/>
    <col min="2057" max="2057" width="1.125" style="3279" customWidth="1"/>
    <col min="2058" max="2058" width="11.125" style="3279" customWidth="1"/>
    <col min="2059" max="2059" width="1.125" style="3279" customWidth="1"/>
    <col min="2060" max="2064" width="9" style="3279" customWidth="1"/>
    <col min="2065" max="2065" width="15.875" style="3279" customWidth="1"/>
    <col min="2066" max="2066" width="15.5" style="3279" customWidth="1"/>
    <col min="2067" max="2067" width="7.625" style="3279" customWidth="1"/>
    <col min="2068" max="2068" width="10.25" style="3279" customWidth="1"/>
    <col min="2069" max="2070" width="9" style="3279" customWidth="1"/>
    <col min="2071" max="2071" width="1.5" style="3279" customWidth="1"/>
    <col min="2072" max="2072" width="9" style="3279" customWidth="1"/>
    <col min="2073" max="2073" width="10.875" style="3279" bestFit="1" customWidth="1"/>
    <col min="2074" max="2074" width="10.5" style="3279" bestFit="1" customWidth="1"/>
    <col min="2075" max="2075" width="10.875" style="3279" customWidth="1"/>
    <col min="2076" max="2076" width="10.5" style="3279" customWidth="1"/>
    <col min="2077" max="2077" width="10.875" style="3279" customWidth="1"/>
    <col min="2078" max="2078" width="10.5" style="3279" customWidth="1"/>
    <col min="2079" max="2309" width="8" style="3279"/>
    <col min="2310" max="2310" width="1.5" style="3279" customWidth="1"/>
    <col min="2311" max="2312" width="9" style="3279" customWidth="1"/>
    <col min="2313" max="2313" width="1.125" style="3279" customWidth="1"/>
    <col min="2314" max="2314" width="11.125" style="3279" customWidth="1"/>
    <col min="2315" max="2315" width="1.125" style="3279" customWidth="1"/>
    <col min="2316" max="2320" width="9" style="3279" customWidth="1"/>
    <col min="2321" max="2321" width="15.875" style="3279" customWidth="1"/>
    <col min="2322" max="2322" width="15.5" style="3279" customWidth="1"/>
    <col min="2323" max="2323" width="7.625" style="3279" customWidth="1"/>
    <col min="2324" max="2324" width="10.25" style="3279" customWidth="1"/>
    <col min="2325" max="2326" width="9" style="3279" customWidth="1"/>
    <col min="2327" max="2327" width="1.5" style="3279" customWidth="1"/>
    <col min="2328" max="2328" width="9" style="3279" customWidth="1"/>
    <col min="2329" max="2329" width="10.875" style="3279" bestFit="1" customWidth="1"/>
    <col min="2330" max="2330" width="10.5" style="3279" bestFit="1" customWidth="1"/>
    <col min="2331" max="2331" width="10.875" style="3279" customWidth="1"/>
    <col min="2332" max="2332" width="10.5" style="3279" customWidth="1"/>
    <col min="2333" max="2333" width="10.875" style="3279" customWidth="1"/>
    <col min="2334" max="2334" width="10.5" style="3279" customWidth="1"/>
    <col min="2335" max="2565" width="8" style="3279"/>
    <col min="2566" max="2566" width="1.5" style="3279" customWidth="1"/>
    <col min="2567" max="2568" width="9" style="3279" customWidth="1"/>
    <col min="2569" max="2569" width="1.125" style="3279" customWidth="1"/>
    <col min="2570" max="2570" width="11.125" style="3279" customWidth="1"/>
    <col min="2571" max="2571" width="1.125" style="3279" customWidth="1"/>
    <col min="2572" max="2576" width="9" style="3279" customWidth="1"/>
    <col min="2577" max="2577" width="15.875" style="3279" customWidth="1"/>
    <col min="2578" max="2578" width="15.5" style="3279" customWidth="1"/>
    <col min="2579" max="2579" width="7.625" style="3279" customWidth="1"/>
    <col min="2580" max="2580" width="10.25" style="3279" customWidth="1"/>
    <col min="2581" max="2582" width="9" style="3279" customWidth="1"/>
    <col min="2583" max="2583" width="1.5" style="3279" customWidth="1"/>
    <col min="2584" max="2584" width="9" style="3279" customWidth="1"/>
    <col min="2585" max="2585" width="10.875" style="3279" bestFit="1" customWidth="1"/>
    <col min="2586" max="2586" width="10.5" style="3279" bestFit="1" customWidth="1"/>
    <col min="2587" max="2587" width="10.875" style="3279" customWidth="1"/>
    <col min="2588" max="2588" width="10.5" style="3279" customWidth="1"/>
    <col min="2589" max="2589" width="10.875" style="3279" customWidth="1"/>
    <col min="2590" max="2590" width="10.5" style="3279" customWidth="1"/>
    <col min="2591" max="2821" width="8" style="3279"/>
    <col min="2822" max="2822" width="1.5" style="3279" customWidth="1"/>
    <col min="2823" max="2824" width="9" style="3279" customWidth="1"/>
    <col min="2825" max="2825" width="1.125" style="3279" customWidth="1"/>
    <col min="2826" max="2826" width="11.125" style="3279" customWidth="1"/>
    <col min="2827" max="2827" width="1.125" style="3279" customWidth="1"/>
    <col min="2828" max="2832" width="9" style="3279" customWidth="1"/>
    <col min="2833" max="2833" width="15.875" style="3279" customWidth="1"/>
    <col min="2834" max="2834" width="15.5" style="3279" customWidth="1"/>
    <col min="2835" max="2835" width="7.625" style="3279" customWidth="1"/>
    <col min="2836" max="2836" width="10.25" style="3279" customWidth="1"/>
    <col min="2837" max="2838" width="9" style="3279" customWidth="1"/>
    <col min="2839" max="2839" width="1.5" style="3279" customWidth="1"/>
    <col min="2840" max="2840" width="9" style="3279" customWidth="1"/>
    <col min="2841" max="2841" width="10.875" style="3279" bestFit="1" customWidth="1"/>
    <col min="2842" max="2842" width="10.5" style="3279" bestFit="1" customWidth="1"/>
    <col min="2843" max="2843" width="10.875" style="3279" customWidth="1"/>
    <col min="2844" max="2844" width="10.5" style="3279" customWidth="1"/>
    <col min="2845" max="2845" width="10.875" style="3279" customWidth="1"/>
    <col min="2846" max="2846" width="10.5" style="3279" customWidth="1"/>
    <col min="2847" max="3077" width="8" style="3279"/>
    <col min="3078" max="3078" width="1.5" style="3279" customWidth="1"/>
    <col min="3079" max="3080" width="9" style="3279" customWidth="1"/>
    <col min="3081" max="3081" width="1.125" style="3279" customWidth="1"/>
    <col min="3082" max="3082" width="11.125" style="3279" customWidth="1"/>
    <col min="3083" max="3083" width="1.125" style="3279" customWidth="1"/>
    <col min="3084" max="3088" width="9" style="3279" customWidth="1"/>
    <col min="3089" max="3089" width="15.875" style="3279" customWidth="1"/>
    <col min="3090" max="3090" width="15.5" style="3279" customWidth="1"/>
    <col min="3091" max="3091" width="7.625" style="3279" customWidth="1"/>
    <col min="3092" max="3092" width="10.25" style="3279" customWidth="1"/>
    <col min="3093" max="3094" width="9" style="3279" customWidth="1"/>
    <col min="3095" max="3095" width="1.5" style="3279" customWidth="1"/>
    <col min="3096" max="3096" width="9" style="3279" customWidth="1"/>
    <col min="3097" max="3097" width="10.875" style="3279" bestFit="1" customWidth="1"/>
    <col min="3098" max="3098" width="10.5" style="3279" bestFit="1" customWidth="1"/>
    <col min="3099" max="3099" width="10.875" style="3279" customWidth="1"/>
    <col min="3100" max="3100" width="10.5" style="3279" customWidth="1"/>
    <col min="3101" max="3101" width="10.875" style="3279" customWidth="1"/>
    <col min="3102" max="3102" width="10.5" style="3279" customWidth="1"/>
    <col min="3103" max="3333" width="8" style="3279"/>
    <col min="3334" max="3334" width="1.5" style="3279" customWidth="1"/>
    <col min="3335" max="3336" width="9" style="3279" customWidth="1"/>
    <col min="3337" max="3337" width="1.125" style="3279" customWidth="1"/>
    <col min="3338" max="3338" width="11.125" style="3279" customWidth="1"/>
    <col min="3339" max="3339" width="1.125" style="3279" customWidth="1"/>
    <col min="3340" max="3344" width="9" style="3279" customWidth="1"/>
    <col min="3345" max="3345" width="15.875" style="3279" customWidth="1"/>
    <col min="3346" max="3346" width="15.5" style="3279" customWidth="1"/>
    <col min="3347" max="3347" width="7.625" style="3279" customWidth="1"/>
    <col min="3348" max="3348" width="10.25" style="3279" customWidth="1"/>
    <col min="3349" max="3350" width="9" style="3279" customWidth="1"/>
    <col min="3351" max="3351" width="1.5" style="3279" customWidth="1"/>
    <col min="3352" max="3352" width="9" style="3279" customWidth="1"/>
    <col min="3353" max="3353" width="10.875" style="3279" bestFit="1" customWidth="1"/>
    <col min="3354" max="3354" width="10.5" style="3279" bestFit="1" customWidth="1"/>
    <col min="3355" max="3355" width="10.875" style="3279" customWidth="1"/>
    <col min="3356" max="3356" width="10.5" style="3279" customWidth="1"/>
    <col min="3357" max="3357" width="10.875" style="3279" customWidth="1"/>
    <col min="3358" max="3358" width="10.5" style="3279" customWidth="1"/>
    <col min="3359" max="3589" width="8" style="3279"/>
    <col min="3590" max="3590" width="1.5" style="3279" customWidth="1"/>
    <col min="3591" max="3592" width="9" style="3279" customWidth="1"/>
    <col min="3593" max="3593" width="1.125" style="3279" customWidth="1"/>
    <col min="3594" max="3594" width="11.125" style="3279" customWidth="1"/>
    <col min="3595" max="3595" width="1.125" style="3279" customWidth="1"/>
    <col min="3596" max="3600" width="9" style="3279" customWidth="1"/>
    <col min="3601" max="3601" width="15.875" style="3279" customWidth="1"/>
    <col min="3602" max="3602" width="15.5" style="3279" customWidth="1"/>
    <col min="3603" max="3603" width="7.625" style="3279" customWidth="1"/>
    <col min="3604" max="3604" width="10.25" style="3279" customWidth="1"/>
    <col min="3605" max="3606" width="9" style="3279" customWidth="1"/>
    <col min="3607" max="3607" width="1.5" style="3279" customWidth="1"/>
    <col min="3608" max="3608" width="9" style="3279" customWidth="1"/>
    <col min="3609" max="3609" width="10.875" style="3279" bestFit="1" customWidth="1"/>
    <col min="3610" max="3610" width="10.5" style="3279" bestFit="1" customWidth="1"/>
    <col min="3611" max="3611" width="10.875" style="3279" customWidth="1"/>
    <col min="3612" max="3612" width="10.5" style="3279" customWidth="1"/>
    <col min="3613" max="3613" width="10.875" style="3279" customWidth="1"/>
    <col min="3614" max="3614" width="10.5" style="3279" customWidth="1"/>
    <col min="3615" max="3845" width="8" style="3279"/>
    <col min="3846" max="3846" width="1.5" style="3279" customWidth="1"/>
    <col min="3847" max="3848" width="9" style="3279" customWidth="1"/>
    <col min="3849" max="3849" width="1.125" style="3279" customWidth="1"/>
    <col min="3850" max="3850" width="11.125" style="3279" customWidth="1"/>
    <col min="3851" max="3851" width="1.125" style="3279" customWidth="1"/>
    <col min="3852" max="3856" width="9" style="3279" customWidth="1"/>
    <col min="3857" max="3857" width="15.875" style="3279" customWidth="1"/>
    <col min="3858" max="3858" width="15.5" style="3279" customWidth="1"/>
    <col min="3859" max="3859" width="7.625" style="3279" customWidth="1"/>
    <col min="3860" max="3860" width="10.25" style="3279" customWidth="1"/>
    <col min="3861" max="3862" width="9" style="3279" customWidth="1"/>
    <col min="3863" max="3863" width="1.5" style="3279" customWidth="1"/>
    <col min="3864" max="3864" width="9" style="3279" customWidth="1"/>
    <col min="3865" max="3865" width="10.875" style="3279" bestFit="1" customWidth="1"/>
    <col min="3866" max="3866" width="10.5" style="3279" bestFit="1" customWidth="1"/>
    <col min="3867" max="3867" width="10.875" style="3279" customWidth="1"/>
    <col min="3868" max="3868" width="10.5" style="3279" customWidth="1"/>
    <col min="3869" max="3869" width="10.875" style="3279" customWidth="1"/>
    <col min="3870" max="3870" width="10.5" style="3279" customWidth="1"/>
    <col min="3871" max="4101" width="8" style="3279"/>
    <col min="4102" max="4102" width="1.5" style="3279" customWidth="1"/>
    <col min="4103" max="4104" width="9" style="3279" customWidth="1"/>
    <col min="4105" max="4105" width="1.125" style="3279" customWidth="1"/>
    <col min="4106" max="4106" width="11.125" style="3279" customWidth="1"/>
    <col min="4107" max="4107" width="1.125" style="3279" customWidth="1"/>
    <col min="4108" max="4112" width="9" style="3279" customWidth="1"/>
    <col min="4113" max="4113" width="15.875" style="3279" customWidth="1"/>
    <col min="4114" max="4114" width="15.5" style="3279" customWidth="1"/>
    <col min="4115" max="4115" width="7.625" style="3279" customWidth="1"/>
    <col min="4116" max="4116" width="10.25" style="3279" customWidth="1"/>
    <col min="4117" max="4118" width="9" style="3279" customWidth="1"/>
    <col min="4119" max="4119" width="1.5" style="3279" customWidth="1"/>
    <col min="4120" max="4120" width="9" style="3279" customWidth="1"/>
    <col min="4121" max="4121" width="10.875" style="3279" bestFit="1" customWidth="1"/>
    <col min="4122" max="4122" width="10.5" style="3279" bestFit="1" customWidth="1"/>
    <col min="4123" max="4123" width="10.875" style="3279" customWidth="1"/>
    <col min="4124" max="4124" width="10.5" style="3279" customWidth="1"/>
    <col min="4125" max="4125" width="10.875" style="3279" customWidth="1"/>
    <col min="4126" max="4126" width="10.5" style="3279" customWidth="1"/>
    <col min="4127" max="4357" width="8" style="3279"/>
    <col min="4358" max="4358" width="1.5" style="3279" customWidth="1"/>
    <col min="4359" max="4360" width="9" style="3279" customWidth="1"/>
    <col min="4361" max="4361" width="1.125" style="3279" customWidth="1"/>
    <col min="4362" max="4362" width="11.125" style="3279" customWidth="1"/>
    <col min="4363" max="4363" width="1.125" style="3279" customWidth="1"/>
    <col min="4364" max="4368" width="9" style="3279" customWidth="1"/>
    <col min="4369" max="4369" width="15.875" style="3279" customWidth="1"/>
    <col min="4370" max="4370" width="15.5" style="3279" customWidth="1"/>
    <col min="4371" max="4371" width="7.625" style="3279" customWidth="1"/>
    <col min="4372" max="4372" width="10.25" style="3279" customWidth="1"/>
    <col min="4373" max="4374" width="9" style="3279" customWidth="1"/>
    <col min="4375" max="4375" width="1.5" style="3279" customWidth="1"/>
    <col min="4376" max="4376" width="9" style="3279" customWidth="1"/>
    <col min="4377" max="4377" width="10.875" style="3279" bestFit="1" customWidth="1"/>
    <col min="4378" max="4378" width="10.5" style="3279" bestFit="1" customWidth="1"/>
    <col min="4379" max="4379" width="10.875" style="3279" customWidth="1"/>
    <col min="4380" max="4380" width="10.5" style="3279" customWidth="1"/>
    <col min="4381" max="4381" width="10.875" style="3279" customWidth="1"/>
    <col min="4382" max="4382" width="10.5" style="3279" customWidth="1"/>
    <col min="4383" max="4613" width="8" style="3279"/>
    <col min="4614" max="4614" width="1.5" style="3279" customWidth="1"/>
    <col min="4615" max="4616" width="9" style="3279" customWidth="1"/>
    <col min="4617" max="4617" width="1.125" style="3279" customWidth="1"/>
    <col min="4618" max="4618" width="11.125" style="3279" customWidth="1"/>
    <col min="4619" max="4619" width="1.125" style="3279" customWidth="1"/>
    <col min="4620" max="4624" width="9" style="3279" customWidth="1"/>
    <col min="4625" max="4625" width="15.875" style="3279" customWidth="1"/>
    <col min="4626" max="4626" width="15.5" style="3279" customWidth="1"/>
    <col min="4627" max="4627" width="7.625" style="3279" customWidth="1"/>
    <col min="4628" max="4628" width="10.25" style="3279" customWidth="1"/>
    <col min="4629" max="4630" width="9" style="3279" customWidth="1"/>
    <col min="4631" max="4631" width="1.5" style="3279" customWidth="1"/>
    <col min="4632" max="4632" width="9" style="3279" customWidth="1"/>
    <col min="4633" max="4633" width="10.875" style="3279" bestFit="1" customWidth="1"/>
    <col min="4634" max="4634" width="10.5" style="3279" bestFit="1" customWidth="1"/>
    <col min="4635" max="4635" width="10.875" style="3279" customWidth="1"/>
    <col min="4636" max="4636" width="10.5" style="3279" customWidth="1"/>
    <col min="4637" max="4637" width="10.875" style="3279" customWidth="1"/>
    <col min="4638" max="4638" width="10.5" style="3279" customWidth="1"/>
    <col min="4639" max="4869" width="8" style="3279"/>
    <col min="4870" max="4870" width="1.5" style="3279" customWidth="1"/>
    <col min="4871" max="4872" width="9" style="3279" customWidth="1"/>
    <col min="4873" max="4873" width="1.125" style="3279" customWidth="1"/>
    <col min="4874" max="4874" width="11.125" style="3279" customWidth="1"/>
    <col min="4875" max="4875" width="1.125" style="3279" customWidth="1"/>
    <col min="4876" max="4880" width="9" style="3279" customWidth="1"/>
    <col min="4881" max="4881" width="15.875" style="3279" customWidth="1"/>
    <col min="4882" max="4882" width="15.5" style="3279" customWidth="1"/>
    <col min="4883" max="4883" width="7.625" style="3279" customWidth="1"/>
    <col min="4884" max="4884" width="10.25" style="3279" customWidth="1"/>
    <col min="4885" max="4886" width="9" style="3279" customWidth="1"/>
    <col min="4887" max="4887" width="1.5" style="3279" customWidth="1"/>
    <col min="4888" max="4888" width="9" style="3279" customWidth="1"/>
    <col min="4889" max="4889" width="10.875" style="3279" bestFit="1" customWidth="1"/>
    <col min="4890" max="4890" width="10.5" style="3279" bestFit="1" customWidth="1"/>
    <col min="4891" max="4891" width="10.875" style="3279" customWidth="1"/>
    <col min="4892" max="4892" width="10.5" style="3279" customWidth="1"/>
    <col min="4893" max="4893" width="10.875" style="3279" customWidth="1"/>
    <col min="4894" max="4894" width="10.5" style="3279" customWidth="1"/>
    <col min="4895" max="5125" width="8" style="3279"/>
    <col min="5126" max="5126" width="1.5" style="3279" customWidth="1"/>
    <col min="5127" max="5128" width="9" style="3279" customWidth="1"/>
    <col min="5129" max="5129" width="1.125" style="3279" customWidth="1"/>
    <col min="5130" max="5130" width="11.125" style="3279" customWidth="1"/>
    <col min="5131" max="5131" width="1.125" style="3279" customWidth="1"/>
    <col min="5132" max="5136" width="9" style="3279" customWidth="1"/>
    <col min="5137" max="5137" width="15.875" style="3279" customWidth="1"/>
    <col min="5138" max="5138" width="15.5" style="3279" customWidth="1"/>
    <col min="5139" max="5139" width="7.625" style="3279" customWidth="1"/>
    <col min="5140" max="5140" width="10.25" style="3279" customWidth="1"/>
    <col min="5141" max="5142" width="9" style="3279" customWidth="1"/>
    <col min="5143" max="5143" width="1.5" style="3279" customWidth="1"/>
    <col min="5144" max="5144" width="9" style="3279" customWidth="1"/>
    <col min="5145" max="5145" width="10.875" style="3279" bestFit="1" customWidth="1"/>
    <col min="5146" max="5146" width="10.5" style="3279" bestFit="1" customWidth="1"/>
    <col min="5147" max="5147" width="10.875" style="3279" customWidth="1"/>
    <col min="5148" max="5148" width="10.5" style="3279" customWidth="1"/>
    <col min="5149" max="5149" width="10.875" style="3279" customWidth="1"/>
    <col min="5150" max="5150" width="10.5" style="3279" customWidth="1"/>
    <col min="5151" max="5381" width="8" style="3279"/>
    <col min="5382" max="5382" width="1.5" style="3279" customWidth="1"/>
    <col min="5383" max="5384" width="9" style="3279" customWidth="1"/>
    <col min="5385" max="5385" width="1.125" style="3279" customWidth="1"/>
    <col min="5386" max="5386" width="11.125" style="3279" customWidth="1"/>
    <col min="5387" max="5387" width="1.125" style="3279" customWidth="1"/>
    <col min="5388" max="5392" width="9" style="3279" customWidth="1"/>
    <col min="5393" max="5393" width="15.875" style="3279" customWidth="1"/>
    <col min="5394" max="5394" width="15.5" style="3279" customWidth="1"/>
    <col min="5395" max="5395" width="7.625" style="3279" customWidth="1"/>
    <col min="5396" max="5396" width="10.25" style="3279" customWidth="1"/>
    <col min="5397" max="5398" width="9" style="3279" customWidth="1"/>
    <col min="5399" max="5399" width="1.5" style="3279" customWidth="1"/>
    <col min="5400" max="5400" width="9" style="3279" customWidth="1"/>
    <col min="5401" max="5401" width="10.875" style="3279" bestFit="1" customWidth="1"/>
    <col min="5402" max="5402" width="10.5" style="3279" bestFit="1" customWidth="1"/>
    <col min="5403" max="5403" width="10.875" style="3279" customWidth="1"/>
    <col min="5404" max="5404" width="10.5" style="3279" customWidth="1"/>
    <col min="5405" max="5405" width="10.875" style="3279" customWidth="1"/>
    <col min="5406" max="5406" width="10.5" style="3279" customWidth="1"/>
    <col min="5407" max="5637" width="8" style="3279"/>
    <col min="5638" max="5638" width="1.5" style="3279" customWidth="1"/>
    <col min="5639" max="5640" width="9" style="3279" customWidth="1"/>
    <col min="5641" max="5641" width="1.125" style="3279" customWidth="1"/>
    <col min="5642" max="5642" width="11.125" style="3279" customWidth="1"/>
    <col min="5643" max="5643" width="1.125" style="3279" customWidth="1"/>
    <col min="5644" max="5648" width="9" style="3279" customWidth="1"/>
    <col min="5649" max="5649" width="15.875" style="3279" customWidth="1"/>
    <col min="5650" max="5650" width="15.5" style="3279" customWidth="1"/>
    <col min="5651" max="5651" width="7.625" style="3279" customWidth="1"/>
    <col min="5652" max="5652" width="10.25" style="3279" customWidth="1"/>
    <col min="5653" max="5654" width="9" style="3279" customWidth="1"/>
    <col min="5655" max="5655" width="1.5" style="3279" customWidth="1"/>
    <col min="5656" max="5656" width="9" style="3279" customWidth="1"/>
    <col min="5657" max="5657" width="10.875" style="3279" bestFit="1" customWidth="1"/>
    <col min="5658" max="5658" width="10.5" style="3279" bestFit="1" customWidth="1"/>
    <col min="5659" max="5659" width="10.875" style="3279" customWidth="1"/>
    <col min="5660" max="5660" width="10.5" style="3279" customWidth="1"/>
    <col min="5661" max="5661" width="10.875" style="3279" customWidth="1"/>
    <col min="5662" max="5662" width="10.5" style="3279" customWidth="1"/>
    <col min="5663" max="5893" width="8" style="3279"/>
    <col min="5894" max="5894" width="1.5" style="3279" customWidth="1"/>
    <col min="5895" max="5896" width="9" style="3279" customWidth="1"/>
    <col min="5897" max="5897" width="1.125" style="3279" customWidth="1"/>
    <col min="5898" max="5898" width="11.125" style="3279" customWidth="1"/>
    <col min="5899" max="5899" width="1.125" style="3279" customWidth="1"/>
    <col min="5900" max="5904" width="9" style="3279" customWidth="1"/>
    <col min="5905" max="5905" width="15.875" style="3279" customWidth="1"/>
    <col min="5906" max="5906" width="15.5" style="3279" customWidth="1"/>
    <col min="5907" max="5907" width="7.625" style="3279" customWidth="1"/>
    <col min="5908" max="5908" width="10.25" style="3279" customWidth="1"/>
    <col min="5909" max="5910" width="9" style="3279" customWidth="1"/>
    <col min="5911" max="5911" width="1.5" style="3279" customWidth="1"/>
    <col min="5912" max="5912" width="9" style="3279" customWidth="1"/>
    <col min="5913" max="5913" width="10.875" style="3279" bestFit="1" customWidth="1"/>
    <col min="5914" max="5914" width="10.5" style="3279" bestFit="1" customWidth="1"/>
    <col min="5915" max="5915" width="10.875" style="3279" customWidth="1"/>
    <col min="5916" max="5916" width="10.5" style="3279" customWidth="1"/>
    <col min="5917" max="5917" width="10.875" style="3279" customWidth="1"/>
    <col min="5918" max="5918" width="10.5" style="3279" customWidth="1"/>
    <col min="5919" max="6149" width="8" style="3279"/>
    <col min="6150" max="6150" width="1.5" style="3279" customWidth="1"/>
    <col min="6151" max="6152" width="9" style="3279" customWidth="1"/>
    <col min="6153" max="6153" width="1.125" style="3279" customWidth="1"/>
    <col min="6154" max="6154" width="11.125" style="3279" customWidth="1"/>
    <col min="6155" max="6155" width="1.125" style="3279" customWidth="1"/>
    <col min="6156" max="6160" width="9" style="3279" customWidth="1"/>
    <col min="6161" max="6161" width="15.875" style="3279" customWidth="1"/>
    <col min="6162" max="6162" width="15.5" style="3279" customWidth="1"/>
    <col min="6163" max="6163" width="7.625" style="3279" customWidth="1"/>
    <col min="6164" max="6164" width="10.25" style="3279" customWidth="1"/>
    <col min="6165" max="6166" width="9" style="3279" customWidth="1"/>
    <col min="6167" max="6167" width="1.5" style="3279" customWidth="1"/>
    <col min="6168" max="6168" width="9" style="3279" customWidth="1"/>
    <col min="6169" max="6169" width="10.875" style="3279" bestFit="1" customWidth="1"/>
    <col min="6170" max="6170" width="10.5" style="3279" bestFit="1" customWidth="1"/>
    <col min="6171" max="6171" width="10.875" style="3279" customWidth="1"/>
    <col min="6172" max="6172" width="10.5" style="3279" customWidth="1"/>
    <col min="6173" max="6173" width="10.875" style="3279" customWidth="1"/>
    <col min="6174" max="6174" width="10.5" style="3279" customWidth="1"/>
    <col min="6175" max="6405" width="8" style="3279"/>
    <col min="6406" max="6406" width="1.5" style="3279" customWidth="1"/>
    <col min="6407" max="6408" width="9" style="3279" customWidth="1"/>
    <col min="6409" max="6409" width="1.125" style="3279" customWidth="1"/>
    <col min="6410" max="6410" width="11.125" style="3279" customWidth="1"/>
    <col min="6411" max="6411" width="1.125" style="3279" customWidth="1"/>
    <col min="6412" max="6416" width="9" style="3279" customWidth="1"/>
    <col min="6417" max="6417" width="15.875" style="3279" customWidth="1"/>
    <col min="6418" max="6418" width="15.5" style="3279" customWidth="1"/>
    <col min="6419" max="6419" width="7.625" style="3279" customWidth="1"/>
    <col min="6420" max="6420" width="10.25" style="3279" customWidth="1"/>
    <col min="6421" max="6422" width="9" style="3279" customWidth="1"/>
    <col min="6423" max="6423" width="1.5" style="3279" customWidth="1"/>
    <col min="6424" max="6424" width="9" style="3279" customWidth="1"/>
    <col min="6425" max="6425" width="10.875" style="3279" bestFit="1" customWidth="1"/>
    <col min="6426" max="6426" width="10.5" style="3279" bestFit="1" customWidth="1"/>
    <col min="6427" max="6427" width="10.875" style="3279" customWidth="1"/>
    <col min="6428" max="6428" width="10.5" style="3279" customWidth="1"/>
    <col min="6429" max="6429" width="10.875" style="3279" customWidth="1"/>
    <col min="6430" max="6430" width="10.5" style="3279" customWidth="1"/>
    <col min="6431" max="6661" width="8" style="3279"/>
    <col min="6662" max="6662" width="1.5" style="3279" customWidth="1"/>
    <col min="6663" max="6664" width="9" style="3279" customWidth="1"/>
    <col min="6665" max="6665" width="1.125" style="3279" customWidth="1"/>
    <col min="6666" max="6666" width="11.125" style="3279" customWidth="1"/>
    <col min="6667" max="6667" width="1.125" style="3279" customWidth="1"/>
    <col min="6668" max="6672" width="9" style="3279" customWidth="1"/>
    <col min="6673" max="6673" width="15.875" style="3279" customWidth="1"/>
    <col min="6674" max="6674" width="15.5" style="3279" customWidth="1"/>
    <col min="6675" max="6675" width="7.625" style="3279" customWidth="1"/>
    <col min="6676" max="6676" width="10.25" style="3279" customWidth="1"/>
    <col min="6677" max="6678" width="9" style="3279" customWidth="1"/>
    <col min="6679" max="6679" width="1.5" style="3279" customWidth="1"/>
    <col min="6680" max="6680" width="9" style="3279" customWidth="1"/>
    <col min="6681" max="6681" width="10.875" style="3279" bestFit="1" customWidth="1"/>
    <col min="6682" max="6682" width="10.5" style="3279" bestFit="1" customWidth="1"/>
    <col min="6683" max="6683" width="10.875" style="3279" customWidth="1"/>
    <col min="6684" max="6684" width="10.5" style="3279" customWidth="1"/>
    <col min="6685" max="6685" width="10.875" style="3279" customWidth="1"/>
    <col min="6686" max="6686" width="10.5" style="3279" customWidth="1"/>
    <col min="6687" max="6917" width="8" style="3279"/>
    <col min="6918" max="6918" width="1.5" style="3279" customWidth="1"/>
    <col min="6919" max="6920" width="9" style="3279" customWidth="1"/>
    <col min="6921" max="6921" width="1.125" style="3279" customWidth="1"/>
    <col min="6922" max="6922" width="11.125" style="3279" customWidth="1"/>
    <col min="6923" max="6923" width="1.125" style="3279" customWidth="1"/>
    <col min="6924" max="6928" width="9" style="3279" customWidth="1"/>
    <col min="6929" max="6929" width="15.875" style="3279" customWidth="1"/>
    <col min="6930" max="6930" width="15.5" style="3279" customWidth="1"/>
    <col min="6931" max="6931" width="7.625" style="3279" customWidth="1"/>
    <col min="6932" max="6932" width="10.25" style="3279" customWidth="1"/>
    <col min="6933" max="6934" width="9" style="3279" customWidth="1"/>
    <col min="6935" max="6935" width="1.5" style="3279" customWidth="1"/>
    <col min="6936" max="6936" width="9" style="3279" customWidth="1"/>
    <col min="6937" max="6937" width="10.875" style="3279" bestFit="1" customWidth="1"/>
    <col min="6938" max="6938" width="10.5" style="3279" bestFit="1" customWidth="1"/>
    <col min="6939" max="6939" width="10.875" style="3279" customWidth="1"/>
    <col min="6940" max="6940" width="10.5" style="3279" customWidth="1"/>
    <col min="6941" max="6941" width="10.875" style="3279" customWidth="1"/>
    <col min="6942" max="6942" width="10.5" style="3279" customWidth="1"/>
    <col min="6943" max="7173" width="8" style="3279"/>
    <col min="7174" max="7174" width="1.5" style="3279" customWidth="1"/>
    <col min="7175" max="7176" width="9" style="3279" customWidth="1"/>
    <col min="7177" max="7177" width="1.125" style="3279" customWidth="1"/>
    <col min="7178" max="7178" width="11.125" style="3279" customWidth="1"/>
    <col min="7179" max="7179" width="1.125" style="3279" customWidth="1"/>
    <col min="7180" max="7184" width="9" style="3279" customWidth="1"/>
    <col min="7185" max="7185" width="15.875" style="3279" customWidth="1"/>
    <col min="7186" max="7186" width="15.5" style="3279" customWidth="1"/>
    <col min="7187" max="7187" width="7.625" style="3279" customWidth="1"/>
    <col min="7188" max="7188" width="10.25" style="3279" customWidth="1"/>
    <col min="7189" max="7190" width="9" style="3279" customWidth="1"/>
    <col min="7191" max="7191" width="1.5" style="3279" customWidth="1"/>
    <col min="7192" max="7192" width="9" style="3279" customWidth="1"/>
    <col min="7193" max="7193" width="10.875" style="3279" bestFit="1" customWidth="1"/>
    <col min="7194" max="7194" width="10.5" style="3279" bestFit="1" customWidth="1"/>
    <col min="7195" max="7195" width="10.875" style="3279" customWidth="1"/>
    <col min="7196" max="7196" width="10.5" style="3279" customWidth="1"/>
    <col min="7197" max="7197" width="10.875" style="3279" customWidth="1"/>
    <col min="7198" max="7198" width="10.5" style="3279" customWidth="1"/>
    <col min="7199" max="7429" width="8" style="3279"/>
    <col min="7430" max="7430" width="1.5" style="3279" customWidth="1"/>
    <col min="7431" max="7432" width="9" style="3279" customWidth="1"/>
    <col min="7433" max="7433" width="1.125" style="3279" customWidth="1"/>
    <col min="7434" max="7434" width="11.125" style="3279" customWidth="1"/>
    <col min="7435" max="7435" width="1.125" style="3279" customWidth="1"/>
    <col min="7436" max="7440" width="9" style="3279" customWidth="1"/>
    <col min="7441" max="7441" width="15.875" style="3279" customWidth="1"/>
    <col min="7442" max="7442" width="15.5" style="3279" customWidth="1"/>
    <col min="7443" max="7443" width="7.625" style="3279" customWidth="1"/>
    <col min="7444" max="7444" width="10.25" style="3279" customWidth="1"/>
    <col min="7445" max="7446" width="9" style="3279" customWidth="1"/>
    <col min="7447" max="7447" width="1.5" style="3279" customWidth="1"/>
    <col min="7448" max="7448" width="9" style="3279" customWidth="1"/>
    <col min="7449" max="7449" width="10.875" style="3279" bestFit="1" customWidth="1"/>
    <col min="7450" max="7450" width="10.5" style="3279" bestFit="1" customWidth="1"/>
    <col min="7451" max="7451" width="10.875" style="3279" customWidth="1"/>
    <col min="7452" max="7452" width="10.5" style="3279" customWidth="1"/>
    <col min="7453" max="7453" width="10.875" style="3279" customWidth="1"/>
    <col min="7454" max="7454" width="10.5" style="3279" customWidth="1"/>
    <col min="7455" max="7685" width="8" style="3279"/>
    <col min="7686" max="7686" width="1.5" style="3279" customWidth="1"/>
    <col min="7687" max="7688" width="9" style="3279" customWidth="1"/>
    <col min="7689" max="7689" width="1.125" style="3279" customWidth="1"/>
    <col min="7690" max="7690" width="11.125" style="3279" customWidth="1"/>
    <col min="7691" max="7691" width="1.125" style="3279" customWidth="1"/>
    <col min="7692" max="7696" width="9" style="3279" customWidth="1"/>
    <col min="7697" max="7697" width="15.875" style="3279" customWidth="1"/>
    <col min="7698" max="7698" width="15.5" style="3279" customWidth="1"/>
    <col min="7699" max="7699" width="7.625" style="3279" customWidth="1"/>
    <col min="7700" max="7700" width="10.25" style="3279" customWidth="1"/>
    <col min="7701" max="7702" width="9" style="3279" customWidth="1"/>
    <col min="7703" max="7703" width="1.5" style="3279" customWidth="1"/>
    <col min="7704" max="7704" width="9" style="3279" customWidth="1"/>
    <col min="7705" max="7705" width="10.875" style="3279" bestFit="1" customWidth="1"/>
    <col min="7706" max="7706" width="10.5" style="3279" bestFit="1" customWidth="1"/>
    <col min="7707" max="7707" width="10.875" style="3279" customWidth="1"/>
    <col min="7708" max="7708" width="10.5" style="3279" customWidth="1"/>
    <col min="7709" max="7709" width="10.875" style="3279" customWidth="1"/>
    <col min="7710" max="7710" width="10.5" style="3279" customWidth="1"/>
    <col min="7711" max="7941" width="8" style="3279"/>
    <col min="7942" max="7942" width="1.5" style="3279" customWidth="1"/>
    <col min="7943" max="7944" width="9" style="3279" customWidth="1"/>
    <col min="7945" max="7945" width="1.125" style="3279" customWidth="1"/>
    <col min="7946" max="7946" width="11.125" style="3279" customWidth="1"/>
    <col min="7947" max="7947" width="1.125" style="3279" customWidth="1"/>
    <col min="7948" max="7952" width="9" style="3279" customWidth="1"/>
    <col min="7953" max="7953" width="15.875" style="3279" customWidth="1"/>
    <col min="7954" max="7954" width="15.5" style="3279" customWidth="1"/>
    <col min="7955" max="7955" width="7.625" style="3279" customWidth="1"/>
    <col min="7956" max="7956" width="10.25" style="3279" customWidth="1"/>
    <col min="7957" max="7958" width="9" style="3279" customWidth="1"/>
    <col min="7959" max="7959" width="1.5" style="3279" customWidth="1"/>
    <col min="7960" max="7960" width="9" style="3279" customWidth="1"/>
    <col min="7961" max="7961" width="10.875" style="3279" bestFit="1" customWidth="1"/>
    <col min="7962" max="7962" width="10.5" style="3279" bestFit="1" customWidth="1"/>
    <col min="7963" max="7963" width="10.875" style="3279" customWidth="1"/>
    <col min="7964" max="7964" width="10.5" style="3279" customWidth="1"/>
    <col min="7965" max="7965" width="10.875" style="3279" customWidth="1"/>
    <col min="7966" max="7966" width="10.5" style="3279" customWidth="1"/>
    <col min="7967" max="8197" width="8" style="3279"/>
    <col min="8198" max="8198" width="1.5" style="3279" customWidth="1"/>
    <col min="8199" max="8200" width="9" style="3279" customWidth="1"/>
    <col min="8201" max="8201" width="1.125" style="3279" customWidth="1"/>
    <col min="8202" max="8202" width="11.125" style="3279" customWidth="1"/>
    <col min="8203" max="8203" width="1.125" style="3279" customWidth="1"/>
    <col min="8204" max="8208" width="9" style="3279" customWidth="1"/>
    <col min="8209" max="8209" width="15.875" style="3279" customWidth="1"/>
    <col min="8210" max="8210" width="15.5" style="3279" customWidth="1"/>
    <col min="8211" max="8211" width="7.625" style="3279" customWidth="1"/>
    <col min="8212" max="8212" width="10.25" style="3279" customWidth="1"/>
    <col min="8213" max="8214" width="9" style="3279" customWidth="1"/>
    <col min="8215" max="8215" width="1.5" style="3279" customWidth="1"/>
    <col min="8216" max="8216" width="9" style="3279" customWidth="1"/>
    <col min="8217" max="8217" width="10.875" style="3279" bestFit="1" customWidth="1"/>
    <col min="8218" max="8218" width="10.5" style="3279" bestFit="1" customWidth="1"/>
    <col min="8219" max="8219" width="10.875" style="3279" customWidth="1"/>
    <col min="8220" max="8220" width="10.5" style="3279" customWidth="1"/>
    <col min="8221" max="8221" width="10.875" style="3279" customWidth="1"/>
    <col min="8222" max="8222" width="10.5" style="3279" customWidth="1"/>
    <col min="8223" max="8453" width="8" style="3279"/>
    <col min="8454" max="8454" width="1.5" style="3279" customWidth="1"/>
    <col min="8455" max="8456" width="9" style="3279" customWidth="1"/>
    <col min="8457" max="8457" width="1.125" style="3279" customWidth="1"/>
    <col min="8458" max="8458" width="11.125" style="3279" customWidth="1"/>
    <col min="8459" max="8459" width="1.125" style="3279" customWidth="1"/>
    <col min="8460" max="8464" width="9" style="3279" customWidth="1"/>
    <col min="8465" max="8465" width="15.875" style="3279" customWidth="1"/>
    <col min="8466" max="8466" width="15.5" style="3279" customWidth="1"/>
    <col min="8467" max="8467" width="7.625" style="3279" customWidth="1"/>
    <col min="8468" max="8468" width="10.25" style="3279" customWidth="1"/>
    <col min="8469" max="8470" width="9" style="3279" customWidth="1"/>
    <col min="8471" max="8471" width="1.5" style="3279" customWidth="1"/>
    <col min="8472" max="8472" width="9" style="3279" customWidth="1"/>
    <col min="8473" max="8473" width="10.875" style="3279" bestFit="1" customWidth="1"/>
    <col min="8474" max="8474" width="10.5" style="3279" bestFit="1" customWidth="1"/>
    <col min="8475" max="8475" width="10.875" style="3279" customWidth="1"/>
    <col min="8476" max="8476" width="10.5" style="3279" customWidth="1"/>
    <col min="8477" max="8477" width="10.875" style="3279" customWidth="1"/>
    <col min="8478" max="8478" width="10.5" style="3279" customWidth="1"/>
    <col min="8479" max="8709" width="8" style="3279"/>
    <col min="8710" max="8710" width="1.5" style="3279" customWidth="1"/>
    <col min="8711" max="8712" width="9" style="3279" customWidth="1"/>
    <col min="8713" max="8713" width="1.125" style="3279" customWidth="1"/>
    <col min="8714" max="8714" width="11.125" style="3279" customWidth="1"/>
    <col min="8715" max="8715" width="1.125" style="3279" customWidth="1"/>
    <col min="8716" max="8720" width="9" style="3279" customWidth="1"/>
    <col min="8721" max="8721" width="15.875" style="3279" customWidth="1"/>
    <col min="8722" max="8722" width="15.5" style="3279" customWidth="1"/>
    <col min="8723" max="8723" width="7.625" style="3279" customWidth="1"/>
    <col min="8724" max="8724" width="10.25" style="3279" customWidth="1"/>
    <col min="8725" max="8726" width="9" style="3279" customWidth="1"/>
    <col min="8727" max="8727" width="1.5" style="3279" customWidth="1"/>
    <col min="8728" max="8728" width="9" style="3279" customWidth="1"/>
    <col min="8729" max="8729" width="10.875" style="3279" bestFit="1" customWidth="1"/>
    <col min="8730" max="8730" width="10.5" style="3279" bestFit="1" customWidth="1"/>
    <col min="8731" max="8731" width="10.875" style="3279" customWidth="1"/>
    <col min="8732" max="8732" width="10.5" style="3279" customWidth="1"/>
    <col min="8733" max="8733" width="10.875" style="3279" customWidth="1"/>
    <col min="8734" max="8734" width="10.5" style="3279" customWidth="1"/>
    <col min="8735" max="8965" width="8" style="3279"/>
    <col min="8966" max="8966" width="1.5" style="3279" customWidth="1"/>
    <col min="8967" max="8968" width="9" style="3279" customWidth="1"/>
    <col min="8969" max="8969" width="1.125" style="3279" customWidth="1"/>
    <col min="8970" max="8970" width="11.125" style="3279" customWidth="1"/>
    <col min="8971" max="8971" width="1.125" style="3279" customWidth="1"/>
    <col min="8972" max="8976" width="9" style="3279" customWidth="1"/>
    <col min="8977" max="8977" width="15.875" style="3279" customWidth="1"/>
    <col min="8978" max="8978" width="15.5" style="3279" customWidth="1"/>
    <col min="8979" max="8979" width="7.625" style="3279" customWidth="1"/>
    <col min="8980" max="8980" width="10.25" style="3279" customWidth="1"/>
    <col min="8981" max="8982" width="9" style="3279" customWidth="1"/>
    <col min="8983" max="8983" width="1.5" style="3279" customWidth="1"/>
    <col min="8984" max="8984" width="9" style="3279" customWidth="1"/>
    <col min="8985" max="8985" width="10.875" style="3279" bestFit="1" customWidth="1"/>
    <col min="8986" max="8986" width="10.5" style="3279" bestFit="1" customWidth="1"/>
    <col min="8987" max="8987" width="10.875" style="3279" customWidth="1"/>
    <col min="8988" max="8988" width="10.5" style="3279" customWidth="1"/>
    <col min="8989" max="8989" width="10.875" style="3279" customWidth="1"/>
    <col min="8990" max="8990" width="10.5" style="3279" customWidth="1"/>
    <col min="8991" max="9221" width="8" style="3279"/>
    <col min="9222" max="9222" width="1.5" style="3279" customWidth="1"/>
    <col min="9223" max="9224" width="9" style="3279" customWidth="1"/>
    <col min="9225" max="9225" width="1.125" style="3279" customWidth="1"/>
    <col min="9226" max="9226" width="11.125" style="3279" customWidth="1"/>
    <col min="9227" max="9227" width="1.125" style="3279" customWidth="1"/>
    <col min="9228" max="9232" width="9" style="3279" customWidth="1"/>
    <col min="9233" max="9233" width="15.875" style="3279" customWidth="1"/>
    <col min="9234" max="9234" width="15.5" style="3279" customWidth="1"/>
    <col min="9235" max="9235" width="7.625" style="3279" customWidth="1"/>
    <col min="9236" max="9236" width="10.25" style="3279" customWidth="1"/>
    <col min="9237" max="9238" width="9" style="3279" customWidth="1"/>
    <col min="9239" max="9239" width="1.5" style="3279" customWidth="1"/>
    <col min="9240" max="9240" width="9" style="3279" customWidth="1"/>
    <col min="9241" max="9241" width="10.875" style="3279" bestFit="1" customWidth="1"/>
    <col min="9242" max="9242" width="10.5" style="3279" bestFit="1" customWidth="1"/>
    <col min="9243" max="9243" width="10.875" style="3279" customWidth="1"/>
    <col min="9244" max="9244" width="10.5" style="3279" customWidth="1"/>
    <col min="9245" max="9245" width="10.875" style="3279" customWidth="1"/>
    <col min="9246" max="9246" width="10.5" style="3279" customWidth="1"/>
    <col min="9247" max="9477" width="8" style="3279"/>
    <col min="9478" max="9478" width="1.5" style="3279" customWidth="1"/>
    <col min="9479" max="9480" width="9" style="3279" customWidth="1"/>
    <col min="9481" max="9481" width="1.125" style="3279" customWidth="1"/>
    <col min="9482" max="9482" width="11.125" style="3279" customWidth="1"/>
    <col min="9483" max="9483" width="1.125" style="3279" customWidth="1"/>
    <col min="9484" max="9488" width="9" style="3279" customWidth="1"/>
    <col min="9489" max="9489" width="15.875" style="3279" customWidth="1"/>
    <col min="9490" max="9490" width="15.5" style="3279" customWidth="1"/>
    <col min="9491" max="9491" width="7.625" style="3279" customWidth="1"/>
    <col min="9492" max="9492" width="10.25" style="3279" customWidth="1"/>
    <col min="9493" max="9494" width="9" style="3279" customWidth="1"/>
    <col min="9495" max="9495" width="1.5" style="3279" customWidth="1"/>
    <col min="9496" max="9496" width="9" style="3279" customWidth="1"/>
    <col min="9497" max="9497" width="10.875" style="3279" bestFit="1" customWidth="1"/>
    <col min="9498" max="9498" width="10.5" style="3279" bestFit="1" customWidth="1"/>
    <col min="9499" max="9499" width="10.875" style="3279" customWidth="1"/>
    <col min="9500" max="9500" width="10.5" style="3279" customWidth="1"/>
    <col min="9501" max="9501" width="10.875" style="3279" customWidth="1"/>
    <col min="9502" max="9502" width="10.5" style="3279" customWidth="1"/>
    <col min="9503" max="9733" width="8" style="3279"/>
    <col min="9734" max="9734" width="1.5" style="3279" customWidth="1"/>
    <col min="9735" max="9736" width="9" style="3279" customWidth="1"/>
    <col min="9737" max="9737" width="1.125" style="3279" customWidth="1"/>
    <col min="9738" max="9738" width="11.125" style="3279" customWidth="1"/>
    <col min="9739" max="9739" width="1.125" style="3279" customWidth="1"/>
    <col min="9740" max="9744" width="9" style="3279" customWidth="1"/>
    <col min="9745" max="9745" width="15.875" style="3279" customWidth="1"/>
    <col min="9746" max="9746" width="15.5" style="3279" customWidth="1"/>
    <col min="9747" max="9747" width="7.625" style="3279" customWidth="1"/>
    <col min="9748" max="9748" width="10.25" style="3279" customWidth="1"/>
    <col min="9749" max="9750" width="9" style="3279" customWidth="1"/>
    <col min="9751" max="9751" width="1.5" style="3279" customWidth="1"/>
    <col min="9752" max="9752" width="9" style="3279" customWidth="1"/>
    <col min="9753" max="9753" width="10.875" style="3279" bestFit="1" customWidth="1"/>
    <col min="9754" max="9754" width="10.5" style="3279" bestFit="1" customWidth="1"/>
    <col min="9755" max="9755" width="10.875" style="3279" customWidth="1"/>
    <col min="9756" max="9756" width="10.5" style="3279" customWidth="1"/>
    <col min="9757" max="9757" width="10.875" style="3279" customWidth="1"/>
    <col min="9758" max="9758" width="10.5" style="3279" customWidth="1"/>
    <col min="9759" max="9989" width="8" style="3279"/>
    <col min="9990" max="9990" width="1.5" style="3279" customWidth="1"/>
    <col min="9991" max="9992" width="9" style="3279" customWidth="1"/>
    <col min="9993" max="9993" width="1.125" style="3279" customWidth="1"/>
    <col min="9994" max="9994" width="11.125" style="3279" customWidth="1"/>
    <col min="9995" max="9995" width="1.125" style="3279" customWidth="1"/>
    <col min="9996" max="10000" width="9" style="3279" customWidth="1"/>
    <col min="10001" max="10001" width="15.875" style="3279" customWidth="1"/>
    <col min="10002" max="10002" width="15.5" style="3279" customWidth="1"/>
    <col min="10003" max="10003" width="7.625" style="3279" customWidth="1"/>
    <col min="10004" max="10004" width="10.25" style="3279" customWidth="1"/>
    <col min="10005" max="10006" width="9" style="3279" customWidth="1"/>
    <col min="10007" max="10007" width="1.5" style="3279" customWidth="1"/>
    <col min="10008" max="10008" width="9" style="3279" customWidth="1"/>
    <col min="10009" max="10009" width="10.875" style="3279" bestFit="1" customWidth="1"/>
    <col min="10010" max="10010" width="10.5" style="3279" bestFit="1" customWidth="1"/>
    <col min="10011" max="10011" width="10.875" style="3279" customWidth="1"/>
    <col min="10012" max="10012" width="10.5" style="3279" customWidth="1"/>
    <col min="10013" max="10013" width="10.875" style="3279" customWidth="1"/>
    <col min="10014" max="10014" width="10.5" style="3279" customWidth="1"/>
    <col min="10015" max="10245" width="8" style="3279"/>
    <col min="10246" max="10246" width="1.5" style="3279" customWidth="1"/>
    <col min="10247" max="10248" width="9" style="3279" customWidth="1"/>
    <col min="10249" max="10249" width="1.125" style="3279" customWidth="1"/>
    <col min="10250" max="10250" width="11.125" style="3279" customWidth="1"/>
    <col min="10251" max="10251" width="1.125" style="3279" customWidth="1"/>
    <col min="10252" max="10256" width="9" style="3279" customWidth="1"/>
    <col min="10257" max="10257" width="15.875" style="3279" customWidth="1"/>
    <col min="10258" max="10258" width="15.5" style="3279" customWidth="1"/>
    <col min="10259" max="10259" width="7.625" style="3279" customWidth="1"/>
    <col min="10260" max="10260" width="10.25" style="3279" customWidth="1"/>
    <col min="10261" max="10262" width="9" style="3279" customWidth="1"/>
    <col min="10263" max="10263" width="1.5" style="3279" customWidth="1"/>
    <col min="10264" max="10264" width="9" style="3279" customWidth="1"/>
    <col min="10265" max="10265" width="10.875" style="3279" bestFit="1" customWidth="1"/>
    <col min="10266" max="10266" width="10.5" style="3279" bestFit="1" customWidth="1"/>
    <col min="10267" max="10267" width="10.875" style="3279" customWidth="1"/>
    <col min="10268" max="10268" width="10.5" style="3279" customWidth="1"/>
    <col min="10269" max="10269" width="10.875" style="3279" customWidth="1"/>
    <col min="10270" max="10270" width="10.5" style="3279" customWidth="1"/>
    <col min="10271" max="10501" width="8" style="3279"/>
    <col min="10502" max="10502" width="1.5" style="3279" customWidth="1"/>
    <col min="10503" max="10504" width="9" style="3279" customWidth="1"/>
    <col min="10505" max="10505" width="1.125" style="3279" customWidth="1"/>
    <col min="10506" max="10506" width="11.125" style="3279" customWidth="1"/>
    <col min="10507" max="10507" width="1.125" style="3279" customWidth="1"/>
    <col min="10508" max="10512" width="9" style="3279" customWidth="1"/>
    <col min="10513" max="10513" width="15.875" style="3279" customWidth="1"/>
    <col min="10514" max="10514" width="15.5" style="3279" customWidth="1"/>
    <col min="10515" max="10515" width="7.625" style="3279" customWidth="1"/>
    <col min="10516" max="10516" width="10.25" style="3279" customWidth="1"/>
    <col min="10517" max="10518" width="9" style="3279" customWidth="1"/>
    <col min="10519" max="10519" width="1.5" style="3279" customWidth="1"/>
    <col min="10520" max="10520" width="9" style="3279" customWidth="1"/>
    <col min="10521" max="10521" width="10.875" style="3279" bestFit="1" customWidth="1"/>
    <col min="10522" max="10522" width="10.5" style="3279" bestFit="1" customWidth="1"/>
    <col min="10523" max="10523" width="10.875" style="3279" customWidth="1"/>
    <col min="10524" max="10524" width="10.5" style="3279" customWidth="1"/>
    <col min="10525" max="10525" width="10.875" style="3279" customWidth="1"/>
    <col min="10526" max="10526" width="10.5" style="3279" customWidth="1"/>
    <col min="10527" max="10757" width="8" style="3279"/>
    <col min="10758" max="10758" width="1.5" style="3279" customWidth="1"/>
    <col min="10759" max="10760" width="9" style="3279" customWidth="1"/>
    <col min="10761" max="10761" width="1.125" style="3279" customWidth="1"/>
    <col min="10762" max="10762" width="11.125" style="3279" customWidth="1"/>
    <col min="10763" max="10763" width="1.125" style="3279" customWidth="1"/>
    <col min="10764" max="10768" width="9" style="3279" customWidth="1"/>
    <col min="10769" max="10769" width="15.875" style="3279" customWidth="1"/>
    <col min="10770" max="10770" width="15.5" style="3279" customWidth="1"/>
    <col min="10771" max="10771" width="7.625" style="3279" customWidth="1"/>
    <col min="10772" max="10772" width="10.25" style="3279" customWidth="1"/>
    <col min="10773" max="10774" width="9" style="3279" customWidth="1"/>
    <col min="10775" max="10775" width="1.5" style="3279" customWidth="1"/>
    <col min="10776" max="10776" width="9" style="3279" customWidth="1"/>
    <col min="10777" max="10777" width="10.875" style="3279" bestFit="1" customWidth="1"/>
    <col min="10778" max="10778" width="10.5" style="3279" bestFit="1" customWidth="1"/>
    <col min="10779" max="10779" width="10.875" style="3279" customWidth="1"/>
    <col min="10780" max="10780" width="10.5" style="3279" customWidth="1"/>
    <col min="10781" max="10781" width="10.875" style="3279" customWidth="1"/>
    <col min="10782" max="10782" width="10.5" style="3279" customWidth="1"/>
    <col min="10783" max="11013" width="8" style="3279"/>
    <col min="11014" max="11014" width="1.5" style="3279" customWidth="1"/>
    <col min="11015" max="11016" width="9" style="3279" customWidth="1"/>
    <col min="11017" max="11017" width="1.125" style="3279" customWidth="1"/>
    <col min="11018" max="11018" width="11.125" style="3279" customWidth="1"/>
    <col min="11019" max="11019" width="1.125" style="3279" customWidth="1"/>
    <col min="11020" max="11024" width="9" style="3279" customWidth="1"/>
    <col min="11025" max="11025" width="15.875" style="3279" customWidth="1"/>
    <col min="11026" max="11026" width="15.5" style="3279" customWidth="1"/>
    <col min="11027" max="11027" width="7.625" style="3279" customWidth="1"/>
    <col min="11028" max="11028" width="10.25" style="3279" customWidth="1"/>
    <col min="11029" max="11030" width="9" style="3279" customWidth="1"/>
    <col min="11031" max="11031" width="1.5" style="3279" customWidth="1"/>
    <col min="11032" max="11032" width="9" style="3279" customWidth="1"/>
    <col min="11033" max="11033" width="10.875" style="3279" bestFit="1" customWidth="1"/>
    <col min="11034" max="11034" width="10.5" style="3279" bestFit="1" customWidth="1"/>
    <col min="11035" max="11035" width="10.875" style="3279" customWidth="1"/>
    <col min="11036" max="11036" width="10.5" style="3279" customWidth="1"/>
    <col min="11037" max="11037" width="10.875" style="3279" customWidth="1"/>
    <col min="11038" max="11038" width="10.5" style="3279" customWidth="1"/>
    <col min="11039" max="11269" width="8" style="3279"/>
    <col min="11270" max="11270" width="1.5" style="3279" customWidth="1"/>
    <col min="11271" max="11272" width="9" style="3279" customWidth="1"/>
    <col min="11273" max="11273" width="1.125" style="3279" customWidth="1"/>
    <col min="11274" max="11274" width="11.125" style="3279" customWidth="1"/>
    <col min="11275" max="11275" width="1.125" style="3279" customWidth="1"/>
    <col min="11276" max="11280" width="9" style="3279" customWidth="1"/>
    <col min="11281" max="11281" width="15.875" style="3279" customWidth="1"/>
    <col min="11282" max="11282" width="15.5" style="3279" customWidth="1"/>
    <col min="11283" max="11283" width="7.625" style="3279" customWidth="1"/>
    <col min="11284" max="11284" width="10.25" style="3279" customWidth="1"/>
    <col min="11285" max="11286" width="9" style="3279" customWidth="1"/>
    <col min="11287" max="11287" width="1.5" style="3279" customWidth="1"/>
    <col min="11288" max="11288" width="9" style="3279" customWidth="1"/>
    <col min="11289" max="11289" width="10.875" style="3279" bestFit="1" customWidth="1"/>
    <col min="11290" max="11290" width="10.5" style="3279" bestFit="1" customWidth="1"/>
    <col min="11291" max="11291" width="10.875" style="3279" customWidth="1"/>
    <col min="11292" max="11292" width="10.5" style="3279" customWidth="1"/>
    <col min="11293" max="11293" width="10.875" style="3279" customWidth="1"/>
    <col min="11294" max="11294" width="10.5" style="3279" customWidth="1"/>
    <col min="11295" max="11525" width="8" style="3279"/>
    <col min="11526" max="11526" width="1.5" style="3279" customWidth="1"/>
    <col min="11527" max="11528" width="9" style="3279" customWidth="1"/>
    <col min="11529" max="11529" width="1.125" style="3279" customWidth="1"/>
    <col min="11530" max="11530" width="11.125" style="3279" customWidth="1"/>
    <col min="11531" max="11531" width="1.125" style="3279" customWidth="1"/>
    <col min="11532" max="11536" width="9" style="3279" customWidth="1"/>
    <col min="11537" max="11537" width="15.875" style="3279" customWidth="1"/>
    <col min="11538" max="11538" width="15.5" style="3279" customWidth="1"/>
    <col min="11539" max="11539" width="7.625" style="3279" customWidth="1"/>
    <col min="11540" max="11540" width="10.25" style="3279" customWidth="1"/>
    <col min="11541" max="11542" width="9" style="3279" customWidth="1"/>
    <col min="11543" max="11543" width="1.5" style="3279" customWidth="1"/>
    <col min="11544" max="11544" width="9" style="3279" customWidth="1"/>
    <col min="11545" max="11545" width="10.875" style="3279" bestFit="1" customWidth="1"/>
    <col min="11546" max="11546" width="10.5" style="3279" bestFit="1" customWidth="1"/>
    <col min="11547" max="11547" width="10.875" style="3279" customWidth="1"/>
    <col min="11548" max="11548" width="10.5" style="3279" customWidth="1"/>
    <col min="11549" max="11549" width="10.875" style="3279" customWidth="1"/>
    <col min="11550" max="11550" width="10.5" style="3279" customWidth="1"/>
    <col min="11551" max="11781" width="8" style="3279"/>
    <col min="11782" max="11782" width="1.5" style="3279" customWidth="1"/>
    <col min="11783" max="11784" width="9" style="3279" customWidth="1"/>
    <col min="11785" max="11785" width="1.125" style="3279" customWidth="1"/>
    <col min="11786" max="11786" width="11.125" style="3279" customWidth="1"/>
    <col min="11787" max="11787" width="1.125" style="3279" customWidth="1"/>
    <col min="11788" max="11792" width="9" style="3279" customWidth="1"/>
    <col min="11793" max="11793" width="15.875" style="3279" customWidth="1"/>
    <col min="11794" max="11794" width="15.5" style="3279" customWidth="1"/>
    <col min="11795" max="11795" width="7.625" style="3279" customWidth="1"/>
    <col min="11796" max="11796" width="10.25" style="3279" customWidth="1"/>
    <col min="11797" max="11798" width="9" style="3279" customWidth="1"/>
    <col min="11799" max="11799" width="1.5" style="3279" customWidth="1"/>
    <col min="11800" max="11800" width="9" style="3279" customWidth="1"/>
    <col min="11801" max="11801" width="10.875" style="3279" bestFit="1" customWidth="1"/>
    <col min="11802" max="11802" width="10.5" style="3279" bestFit="1" customWidth="1"/>
    <col min="11803" max="11803" width="10.875" style="3279" customWidth="1"/>
    <col min="11804" max="11804" width="10.5" style="3279" customWidth="1"/>
    <col min="11805" max="11805" width="10.875" style="3279" customWidth="1"/>
    <col min="11806" max="11806" width="10.5" style="3279" customWidth="1"/>
    <col min="11807" max="12037" width="8" style="3279"/>
    <col min="12038" max="12038" width="1.5" style="3279" customWidth="1"/>
    <col min="12039" max="12040" width="9" style="3279" customWidth="1"/>
    <col min="12041" max="12041" width="1.125" style="3279" customWidth="1"/>
    <col min="12042" max="12042" width="11.125" style="3279" customWidth="1"/>
    <col min="12043" max="12043" width="1.125" style="3279" customWidth="1"/>
    <col min="12044" max="12048" width="9" style="3279" customWidth="1"/>
    <col min="12049" max="12049" width="15.875" style="3279" customWidth="1"/>
    <col min="12050" max="12050" width="15.5" style="3279" customWidth="1"/>
    <col min="12051" max="12051" width="7.625" style="3279" customWidth="1"/>
    <col min="12052" max="12052" width="10.25" style="3279" customWidth="1"/>
    <col min="12053" max="12054" width="9" style="3279" customWidth="1"/>
    <col min="12055" max="12055" width="1.5" style="3279" customWidth="1"/>
    <col min="12056" max="12056" width="9" style="3279" customWidth="1"/>
    <col min="12057" max="12057" width="10.875" style="3279" bestFit="1" customWidth="1"/>
    <col min="12058" max="12058" width="10.5" style="3279" bestFit="1" customWidth="1"/>
    <col min="12059" max="12059" width="10.875" style="3279" customWidth="1"/>
    <col min="12060" max="12060" width="10.5" style="3279" customWidth="1"/>
    <col min="12061" max="12061" width="10.875" style="3279" customWidth="1"/>
    <col min="12062" max="12062" width="10.5" style="3279" customWidth="1"/>
    <col min="12063" max="12293" width="8" style="3279"/>
    <col min="12294" max="12294" width="1.5" style="3279" customWidth="1"/>
    <col min="12295" max="12296" width="9" style="3279" customWidth="1"/>
    <col min="12297" max="12297" width="1.125" style="3279" customWidth="1"/>
    <col min="12298" max="12298" width="11.125" style="3279" customWidth="1"/>
    <col min="12299" max="12299" width="1.125" style="3279" customWidth="1"/>
    <col min="12300" max="12304" width="9" style="3279" customWidth="1"/>
    <col min="12305" max="12305" width="15.875" style="3279" customWidth="1"/>
    <col min="12306" max="12306" width="15.5" style="3279" customWidth="1"/>
    <col min="12307" max="12307" width="7.625" style="3279" customWidth="1"/>
    <col min="12308" max="12308" width="10.25" style="3279" customWidth="1"/>
    <col min="12309" max="12310" width="9" style="3279" customWidth="1"/>
    <col min="12311" max="12311" width="1.5" style="3279" customWidth="1"/>
    <col min="12312" max="12312" width="9" style="3279" customWidth="1"/>
    <col min="12313" max="12313" width="10.875" style="3279" bestFit="1" customWidth="1"/>
    <col min="12314" max="12314" width="10.5" style="3279" bestFit="1" customWidth="1"/>
    <col min="12315" max="12315" width="10.875" style="3279" customWidth="1"/>
    <col min="12316" max="12316" width="10.5" style="3279" customWidth="1"/>
    <col min="12317" max="12317" width="10.875" style="3279" customWidth="1"/>
    <col min="12318" max="12318" width="10.5" style="3279" customWidth="1"/>
    <col min="12319" max="12549" width="8" style="3279"/>
    <col min="12550" max="12550" width="1.5" style="3279" customWidth="1"/>
    <col min="12551" max="12552" width="9" style="3279" customWidth="1"/>
    <col min="12553" max="12553" width="1.125" style="3279" customWidth="1"/>
    <col min="12554" max="12554" width="11.125" style="3279" customWidth="1"/>
    <col min="12555" max="12555" width="1.125" style="3279" customWidth="1"/>
    <col min="12556" max="12560" width="9" style="3279" customWidth="1"/>
    <col min="12561" max="12561" width="15.875" style="3279" customWidth="1"/>
    <col min="12562" max="12562" width="15.5" style="3279" customWidth="1"/>
    <col min="12563" max="12563" width="7.625" style="3279" customWidth="1"/>
    <col min="12564" max="12564" width="10.25" style="3279" customWidth="1"/>
    <col min="12565" max="12566" width="9" style="3279" customWidth="1"/>
    <col min="12567" max="12567" width="1.5" style="3279" customWidth="1"/>
    <col min="12568" max="12568" width="9" style="3279" customWidth="1"/>
    <col min="12569" max="12569" width="10.875" style="3279" bestFit="1" customWidth="1"/>
    <col min="12570" max="12570" width="10.5" style="3279" bestFit="1" customWidth="1"/>
    <col min="12571" max="12571" width="10.875" style="3279" customWidth="1"/>
    <col min="12572" max="12572" width="10.5" style="3279" customWidth="1"/>
    <col min="12573" max="12573" width="10.875" style="3279" customWidth="1"/>
    <col min="12574" max="12574" width="10.5" style="3279" customWidth="1"/>
    <col min="12575" max="12805" width="8" style="3279"/>
    <col min="12806" max="12806" width="1.5" style="3279" customWidth="1"/>
    <col min="12807" max="12808" width="9" style="3279" customWidth="1"/>
    <col min="12809" max="12809" width="1.125" style="3279" customWidth="1"/>
    <col min="12810" max="12810" width="11.125" style="3279" customWidth="1"/>
    <col min="12811" max="12811" width="1.125" style="3279" customWidth="1"/>
    <col min="12812" max="12816" width="9" style="3279" customWidth="1"/>
    <col min="12817" max="12817" width="15.875" style="3279" customWidth="1"/>
    <col min="12818" max="12818" width="15.5" style="3279" customWidth="1"/>
    <col min="12819" max="12819" width="7.625" style="3279" customWidth="1"/>
    <col min="12820" max="12820" width="10.25" style="3279" customWidth="1"/>
    <col min="12821" max="12822" width="9" style="3279" customWidth="1"/>
    <col min="12823" max="12823" width="1.5" style="3279" customWidth="1"/>
    <col min="12824" max="12824" width="9" style="3279" customWidth="1"/>
    <col min="12825" max="12825" width="10.875" style="3279" bestFit="1" customWidth="1"/>
    <col min="12826" max="12826" width="10.5" style="3279" bestFit="1" customWidth="1"/>
    <col min="12827" max="12827" width="10.875" style="3279" customWidth="1"/>
    <col min="12828" max="12828" width="10.5" style="3279" customWidth="1"/>
    <col min="12829" max="12829" width="10.875" style="3279" customWidth="1"/>
    <col min="12830" max="12830" width="10.5" style="3279" customWidth="1"/>
    <col min="12831" max="13061" width="8" style="3279"/>
    <col min="13062" max="13062" width="1.5" style="3279" customWidth="1"/>
    <col min="13063" max="13064" width="9" style="3279" customWidth="1"/>
    <col min="13065" max="13065" width="1.125" style="3279" customWidth="1"/>
    <col min="13066" max="13066" width="11.125" style="3279" customWidth="1"/>
    <col min="13067" max="13067" width="1.125" style="3279" customWidth="1"/>
    <col min="13068" max="13072" width="9" style="3279" customWidth="1"/>
    <col min="13073" max="13073" width="15.875" style="3279" customWidth="1"/>
    <col min="13074" max="13074" width="15.5" style="3279" customWidth="1"/>
    <col min="13075" max="13075" width="7.625" style="3279" customWidth="1"/>
    <col min="13076" max="13076" width="10.25" style="3279" customWidth="1"/>
    <col min="13077" max="13078" width="9" style="3279" customWidth="1"/>
    <col min="13079" max="13079" width="1.5" style="3279" customWidth="1"/>
    <col min="13080" max="13080" width="9" style="3279" customWidth="1"/>
    <col min="13081" max="13081" width="10.875" style="3279" bestFit="1" customWidth="1"/>
    <col min="13082" max="13082" width="10.5" style="3279" bestFit="1" customWidth="1"/>
    <col min="13083" max="13083" width="10.875" style="3279" customWidth="1"/>
    <col min="13084" max="13084" width="10.5" style="3279" customWidth="1"/>
    <col min="13085" max="13085" width="10.875" style="3279" customWidth="1"/>
    <col min="13086" max="13086" width="10.5" style="3279" customWidth="1"/>
    <col min="13087" max="13317" width="8" style="3279"/>
    <col min="13318" max="13318" width="1.5" style="3279" customWidth="1"/>
    <col min="13319" max="13320" width="9" style="3279" customWidth="1"/>
    <col min="13321" max="13321" width="1.125" style="3279" customWidth="1"/>
    <col min="13322" max="13322" width="11.125" style="3279" customWidth="1"/>
    <col min="13323" max="13323" width="1.125" style="3279" customWidth="1"/>
    <col min="13324" max="13328" width="9" style="3279" customWidth="1"/>
    <col min="13329" max="13329" width="15.875" style="3279" customWidth="1"/>
    <col min="13330" max="13330" width="15.5" style="3279" customWidth="1"/>
    <col min="13331" max="13331" width="7.625" style="3279" customWidth="1"/>
    <col min="13332" max="13332" width="10.25" style="3279" customWidth="1"/>
    <col min="13333" max="13334" width="9" style="3279" customWidth="1"/>
    <col min="13335" max="13335" width="1.5" style="3279" customWidth="1"/>
    <col min="13336" max="13336" width="9" style="3279" customWidth="1"/>
    <col min="13337" max="13337" width="10.875" style="3279" bestFit="1" customWidth="1"/>
    <col min="13338" max="13338" width="10.5" style="3279" bestFit="1" customWidth="1"/>
    <col min="13339" max="13339" width="10.875" style="3279" customWidth="1"/>
    <col min="13340" max="13340" width="10.5" style="3279" customWidth="1"/>
    <col min="13341" max="13341" width="10.875" style="3279" customWidth="1"/>
    <col min="13342" max="13342" width="10.5" style="3279" customWidth="1"/>
    <col min="13343" max="13573" width="8" style="3279"/>
    <col min="13574" max="13574" width="1.5" style="3279" customWidth="1"/>
    <col min="13575" max="13576" width="9" style="3279" customWidth="1"/>
    <col min="13577" max="13577" width="1.125" style="3279" customWidth="1"/>
    <col min="13578" max="13578" width="11.125" style="3279" customWidth="1"/>
    <col min="13579" max="13579" width="1.125" style="3279" customWidth="1"/>
    <col min="13580" max="13584" width="9" style="3279" customWidth="1"/>
    <col min="13585" max="13585" width="15.875" style="3279" customWidth="1"/>
    <col min="13586" max="13586" width="15.5" style="3279" customWidth="1"/>
    <col min="13587" max="13587" width="7.625" style="3279" customWidth="1"/>
    <col min="13588" max="13588" width="10.25" style="3279" customWidth="1"/>
    <col min="13589" max="13590" width="9" style="3279" customWidth="1"/>
    <col min="13591" max="13591" width="1.5" style="3279" customWidth="1"/>
    <col min="13592" max="13592" width="9" style="3279" customWidth="1"/>
    <col min="13593" max="13593" width="10.875" style="3279" bestFit="1" customWidth="1"/>
    <col min="13594" max="13594" width="10.5" style="3279" bestFit="1" customWidth="1"/>
    <col min="13595" max="13595" width="10.875" style="3279" customWidth="1"/>
    <col min="13596" max="13596" width="10.5" style="3279" customWidth="1"/>
    <col min="13597" max="13597" width="10.875" style="3279" customWidth="1"/>
    <col min="13598" max="13598" width="10.5" style="3279" customWidth="1"/>
    <col min="13599" max="13829" width="8" style="3279"/>
    <col min="13830" max="13830" width="1.5" style="3279" customWidth="1"/>
    <col min="13831" max="13832" width="9" style="3279" customWidth="1"/>
    <col min="13833" max="13833" width="1.125" style="3279" customWidth="1"/>
    <col min="13834" max="13834" width="11.125" style="3279" customWidth="1"/>
    <col min="13835" max="13835" width="1.125" style="3279" customWidth="1"/>
    <col min="13836" max="13840" width="9" style="3279" customWidth="1"/>
    <col min="13841" max="13841" width="15.875" style="3279" customWidth="1"/>
    <col min="13842" max="13842" width="15.5" style="3279" customWidth="1"/>
    <col min="13843" max="13843" width="7.625" style="3279" customWidth="1"/>
    <col min="13844" max="13844" width="10.25" style="3279" customWidth="1"/>
    <col min="13845" max="13846" width="9" style="3279" customWidth="1"/>
    <col min="13847" max="13847" width="1.5" style="3279" customWidth="1"/>
    <col min="13848" max="13848" width="9" style="3279" customWidth="1"/>
    <col min="13849" max="13849" width="10.875" style="3279" bestFit="1" customWidth="1"/>
    <col min="13850" max="13850" width="10.5" style="3279" bestFit="1" customWidth="1"/>
    <col min="13851" max="13851" width="10.875" style="3279" customWidth="1"/>
    <col min="13852" max="13852" width="10.5" style="3279" customWidth="1"/>
    <col min="13853" max="13853" width="10.875" style="3279" customWidth="1"/>
    <col min="13854" max="13854" width="10.5" style="3279" customWidth="1"/>
    <col min="13855" max="14085" width="8" style="3279"/>
    <col min="14086" max="14086" width="1.5" style="3279" customWidth="1"/>
    <col min="14087" max="14088" width="9" style="3279" customWidth="1"/>
    <col min="14089" max="14089" width="1.125" style="3279" customWidth="1"/>
    <col min="14090" max="14090" width="11.125" style="3279" customWidth="1"/>
    <col min="14091" max="14091" width="1.125" style="3279" customWidth="1"/>
    <col min="14092" max="14096" width="9" style="3279" customWidth="1"/>
    <col min="14097" max="14097" width="15.875" style="3279" customWidth="1"/>
    <col min="14098" max="14098" width="15.5" style="3279" customWidth="1"/>
    <col min="14099" max="14099" width="7.625" style="3279" customWidth="1"/>
    <col min="14100" max="14100" width="10.25" style="3279" customWidth="1"/>
    <col min="14101" max="14102" width="9" style="3279" customWidth="1"/>
    <col min="14103" max="14103" width="1.5" style="3279" customWidth="1"/>
    <col min="14104" max="14104" width="9" style="3279" customWidth="1"/>
    <col min="14105" max="14105" width="10.875" style="3279" bestFit="1" customWidth="1"/>
    <col min="14106" max="14106" width="10.5" style="3279" bestFit="1" customWidth="1"/>
    <col min="14107" max="14107" width="10.875" style="3279" customWidth="1"/>
    <col min="14108" max="14108" width="10.5" style="3279" customWidth="1"/>
    <col min="14109" max="14109" width="10.875" style="3279" customWidth="1"/>
    <col min="14110" max="14110" width="10.5" style="3279" customWidth="1"/>
    <col min="14111" max="14341" width="8" style="3279"/>
    <col min="14342" max="14342" width="1.5" style="3279" customWidth="1"/>
    <col min="14343" max="14344" width="9" style="3279" customWidth="1"/>
    <col min="14345" max="14345" width="1.125" style="3279" customWidth="1"/>
    <col min="14346" max="14346" width="11.125" style="3279" customWidth="1"/>
    <col min="14347" max="14347" width="1.125" style="3279" customWidth="1"/>
    <col min="14348" max="14352" width="9" style="3279" customWidth="1"/>
    <col min="14353" max="14353" width="15.875" style="3279" customWidth="1"/>
    <col min="14354" max="14354" width="15.5" style="3279" customWidth="1"/>
    <col min="14355" max="14355" width="7.625" style="3279" customWidth="1"/>
    <col min="14356" max="14356" width="10.25" style="3279" customWidth="1"/>
    <col min="14357" max="14358" width="9" style="3279" customWidth="1"/>
    <col min="14359" max="14359" width="1.5" style="3279" customWidth="1"/>
    <col min="14360" max="14360" width="9" style="3279" customWidth="1"/>
    <col min="14361" max="14361" width="10.875" style="3279" bestFit="1" customWidth="1"/>
    <col min="14362" max="14362" width="10.5" style="3279" bestFit="1" customWidth="1"/>
    <col min="14363" max="14363" width="10.875" style="3279" customWidth="1"/>
    <col min="14364" max="14364" width="10.5" style="3279" customWidth="1"/>
    <col min="14365" max="14365" width="10.875" style="3279" customWidth="1"/>
    <col min="14366" max="14366" width="10.5" style="3279" customWidth="1"/>
    <col min="14367" max="14597" width="8" style="3279"/>
    <col min="14598" max="14598" width="1.5" style="3279" customWidth="1"/>
    <col min="14599" max="14600" width="9" style="3279" customWidth="1"/>
    <col min="14601" max="14601" width="1.125" style="3279" customWidth="1"/>
    <col min="14602" max="14602" width="11.125" style="3279" customWidth="1"/>
    <col min="14603" max="14603" width="1.125" style="3279" customWidth="1"/>
    <col min="14604" max="14608" width="9" style="3279" customWidth="1"/>
    <col min="14609" max="14609" width="15.875" style="3279" customWidth="1"/>
    <col min="14610" max="14610" width="15.5" style="3279" customWidth="1"/>
    <col min="14611" max="14611" width="7.625" style="3279" customWidth="1"/>
    <col min="14612" max="14612" width="10.25" style="3279" customWidth="1"/>
    <col min="14613" max="14614" width="9" style="3279" customWidth="1"/>
    <col min="14615" max="14615" width="1.5" style="3279" customWidth="1"/>
    <col min="14616" max="14616" width="9" style="3279" customWidth="1"/>
    <col min="14617" max="14617" width="10.875" style="3279" bestFit="1" customWidth="1"/>
    <col min="14618" max="14618" width="10.5" style="3279" bestFit="1" customWidth="1"/>
    <col min="14619" max="14619" width="10.875" style="3279" customWidth="1"/>
    <col min="14620" max="14620" width="10.5" style="3279" customWidth="1"/>
    <col min="14621" max="14621" width="10.875" style="3279" customWidth="1"/>
    <col min="14622" max="14622" width="10.5" style="3279" customWidth="1"/>
    <col min="14623" max="14853" width="8" style="3279"/>
    <col min="14854" max="14854" width="1.5" style="3279" customWidth="1"/>
    <col min="14855" max="14856" width="9" style="3279" customWidth="1"/>
    <col min="14857" max="14857" width="1.125" style="3279" customWidth="1"/>
    <col min="14858" max="14858" width="11.125" style="3279" customWidth="1"/>
    <col min="14859" max="14859" width="1.125" style="3279" customWidth="1"/>
    <col min="14860" max="14864" width="9" style="3279" customWidth="1"/>
    <col min="14865" max="14865" width="15.875" style="3279" customWidth="1"/>
    <col min="14866" max="14866" width="15.5" style="3279" customWidth="1"/>
    <col min="14867" max="14867" width="7.625" style="3279" customWidth="1"/>
    <col min="14868" max="14868" width="10.25" style="3279" customWidth="1"/>
    <col min="14869" max="14870" width="9" style="3279" customWidth="1"/>
    <col min="14871" max="14871" width="1.5" style="3279" customWidth="1"/>
    <col min="14872" max="14872" width="9" style="3279" customWidth="1"/>
    <col min="14873" max="14873" width="10.875" style="3279" bestFit="1" customWidth="1"/>
    <col min="14874" max="14874" width="10.5" style="3279" bestFit="1" customWidth="1"/>
    <col min="14875" max="14875" width="10.875" style="3279" customWidth="1"/>
    <col min="14876" max="14876" width="10.5" style="3279" customWidth="1"/>
    <col min="14877" max="14877" width="10.875" style="3279" customWidth="1"/>
    <col min="14878" max="14878" width="10.5" style="3279" customWidth="1"/>
    <col min="14879" max="15109" width="8" style="3279"/>
    <col min="15110" max="15110" width="1.5" style="3279" customWidth="1"/>
    <col min="15111" max="15112" width="9" style="3279" customWidth="1"/>
    <col min="15113" max="15113" width="1.125" style="3279" customWidth="1"/>
    <col min="15114" max="15114" width="11.125" style="3279" customWidth="1"/>
    <col min="15115" max="15115" width="1.125" style="3279" customWidth="1"/>
    <col min="15116" max="15120" width="9" style="3279" customWidth="1"/>
    <col min="15121" max="15121" width="15.875" style="3279" customWidth="1"/>
    <col min="15122" max="15122" width="15.5" style="3279" customWidth="1"/>
    <col min="15123" max="15123" width="7.625" style="3279" customWidth="1"/>
    <col min="15124" max="15124" width="10.25" style="3279" customWidth="1"/>
    <col min="15125" max="15126" width="9" style="3279" customWidth="1"/>
    <col min="15127" max="15127" width="1.5" style="3279" customWidth="1"/>
    <col min="15128" max="15128" width="9" style="3279" customWidth="1"/>
    <col min="15129" max="15129" width="10.875" style="3279" bestFit="1" customWidth="1"/>
    <col min="15130" max="15130" width="10.5" style="3279" bestFit="1" customWidth="1"/>
    <col min="15131" max="15131" width="10.875" style="3279" customWidth="1"/>
    <col min="15132" max="15132" width="10.5" style="3279" customWidth="1"/>
    <col min="15133" max="15133" width="10.875" style="3279" customWidth="1"/>
    <col min="15134" max="15134" width="10.5" style="3279" customWidth="1"/>
    <col min="15135" max="15365" width="8" style="3279"/>
    <col min="15366" max="15366" width="1.5" style="3279" customWidth="1"/>
    <col min="15367" max="15368" width="9" style="3279" customWidth="1"/>
    <col min="15369" max="15369" width="1.125" style="3279" customWidth="1"/>
    <col min="15370" max="15370" width="11.125" style="3279" customWidth="1"/>
    <col min="15371" max="15371" width="1.125" style="3279" customWidth="1"/>
    <col min="15372" max="15376" width="9" style="3279" customWidth="1"/>
    <col min="15377" max="15377" width="15.875" style="3279" customWidth="1"/>
    <col min="15378" max="15378" width="15.5" style="3279" customWidth="1"/>
    <col min="15379" max="15379" width="7.625" style="3279" customWidth="1"/>
    <col min="15380" max="15380" width="10.25" style="3279" customWidth="1"/>
    <col min="15381" max="15382" width="9" style="3279" customWidth="1"/>
    <col min="15383" max="15383" width="1.5" style="3279" customWidth="1"/>
    <col min="15384" max="15384" width="9" style="3279" customWidth="1"/>
    <col min="15385" max="15385" width="10.875" style="3279" bestFit="1" customWidth="1"/>
    <col min="15386" max="15386" width="10.5" style="3279" bestFit="1" customWidth="1"/>
    <col min="15387" max="15387" width="10.875" style="3279" customWidth="1"/>
    <col min="15388" max="15388" width="10.5" style="3279" customWidth="1"/>
    <col min="15389" max="15389" width="10.875" style="3279" customWidth="1"/>
    <col min="15390" max="15390" width="10.5" style="3279" customWidth="1"/>
    <col min="15391" max="15621" width="8" style="3279"/>
    <col min="15622" max="15622" width="1.5" style="3279" customWidth="1"/>
    <col min="15623" max="15624" width="9" style="3279" customWidth="1"/>
    <col min="15625" max="15625" width="1.125" style="3279" customWidth="1"/>
    <col min="15626" max="15626" width="11.125" style="3279" customWidth="1"/>
    <col min="15627" max="15627" width="1.125" style="3279" customWidth="1"/>
    <col min="15628" max="15632" width="9" style="3279" customWidth="1"/>
    <col min="15633" max="15633" width="15.875" style="3279" customWidth="1"/>
    <col min="15634" max="15634" width="15.5" style="3279" customWidth="1"/>
    <col min="15635" max="15635" width="7.625" style="3279" customWidth="1"/>
    <col min="15636" max="15636" width="10.25" style="3279" customWidth="1"/>
    <col min="15637" max="15638" width="9" style="3279" customWidth="1"/>
    <col min="15639" max="15639" width="1.5" style="3279" customWidth="1"/>
    <col min="15640" max="15640" width="9" style="3279" customWidth="1"/>
    <col min="15641" max="15641" width="10.875" style="3279" bestFit="1" customWidth="1"/>
    <col min="15642" max="15642" width="10.5" style="3279" bestFit="1" customWidth="1"/>
    <col min="15643" max="15643" width="10.875" style="3279" customWidth="1"/>
    <col min="15644" max="15644" width="10.5" style="3279" customWidth="1"/>
    <col min="15645" max="15645" width="10.875" style="3279" customWidth="1"/>
    <col min="15646" max="15646" width="10.5" style="3279" customWidth="1"/>
    <col min="15647" max="15877" width="8" style="3279"/>
    <col min="15878" max="15878" width="1.5" style="3279" customWidth="1"/>
    <col min="15879" max="15880" width="9" style="3279" customWidth="1"/>
    <col min="15881" max="15881" width="1.125" style="3279" customWidth="1"/>
    <col min="15882" max="15882" width="11.125" style="3279" customWidth="1"/>
    <col min="15883" max="15883" width="1.125" style="3279" customWidth="1"/>
    <col min="15884" max="15888" width="9" style="3279" customWidth="1"/>
    <col min="15889" max="15889" width="15.875" style="3279" customWidth="1"/>
    <col min="15890" max="15890" width="15.5" style="3279" customWidth="1"/>
    <col min="15891" max="15891" width="7.625" style="3279" customWidth="1"/>
    <col min="15892" max="15892" width="10.25" style="3279" customWidth="1"/>
    <col min="15893" max="15894" width="9" style="3279" customWidth="1"/>
    <col min="15895" max="15895" width="1.5" style="3279" customWidth="1"/>
    <col min="15896" max="15896" width="9" style="3279" customWidth="1"/>
    <col min="15897" max="15897" width="10.875" style="3279" bestFit="1" customWidth="1"/>
    <col min="15898" max="15898" width="10.5" style="3279" bestFit="1" customWidth="1"/>
    <col min="15899" max="15899" width="10.875" style="3279" customWidth="1"/>
    <col min="15900" max="15900" width="10.5" style="3279" customWidth="1"/>
    <col min="15901" max="15901" width="10.875" style="3279" customWidth="1"/>
    <col min="15902" max="15902" width="10.5" style="3279" customWidth="1"/>
    <col min="15903" max="16133" width="8" style="3279"/>
    <col min="16134" max="16134" width="1.5" style="3279" customWidth="1"/>
    <col min="16135" max="16136" width="9" style="3279" customWidth="1"/>
    <col min="16137" max="16137" width="1.125" style="3279" customWidth="1"/>
    <col min="16138" max="16138" width="11.125" style="3279" customWidth="1"/>
    <col min="16139" max="16139" width="1.125" style="3279" customWidth="1"/>
    <col min="16140" max="16144" width="9" style="3279" customWidth="1"/>
    <col min="16145" max="16145" width="15.875" style="3279" customWidth="1"/>
    <col min="16146" max="16146" width="15.5" style="3279" customWidth="1"/>
    <col min="16147" max="16147" width="7.625" style="3279" customWidth="1"/>
    <col min="16148" max="16148" width="10.25" style="3279" customWidth="1"/>
    <col min="16149" max="16150" width="9" style="3279" customWidth="1"/>
    <col min="16151" max="16151" width="1.5" style="3279" customWidth="1"/>
    <col min="16152" max="16152" width="9" style="3279" customWidth="1"/>
    <col min="16153" max="16153" width="10.875" style="3279" bestFit="1" customWidth="1"/>
    <col min="16154" max="16154" width="10.5" style="3279" bestFit="1" customWidth="1"/>
    <col min="16155" max="16155" width="10.875" style="3279" customWidth="1"/>
    <col min="16156" max="16156" width="10.5" style="3279" customWidth="1"/>
    <col min="16157" max="16157" width="10.875" style="3279" customWidth="1"/>
    <col min="16158" max="16158" width="10.5" style="3279" customWidth="1"/>
    <col min="16159" max="16384" width="8" style="3279"/>
  </cols>
  <sheetData>
    <row r="1" spans="3:48" s="3272" customFormat="1" ht="10.5" customHeight="1">
      <c r="C1" s="3268"/>
      <c r="D1" s="3269"/>
      <c r="E1" s="3269"/>
      <c r="F1" s="3269"/>
      <c r="G1" s="3269"/>
      <c r="H1" s="3269"/>
      <c r="I1" s="3269"/>
      <c r="J1" s="3269"/>
      <c r="K1" s="3270"/>
      <c r="L1" s="3270"/>
      <c r="M1" s="3270"/>
      <c r="N1" s="3270"/>
      <c r="O1" s="3269"/>
      <c r="P1" s="3269"/>
      <c r="Q1" s="3269"/>
      <c r="R1" s="3269"/>
      <c r="S1" s="3269"/>
      <c r="T1" s="3269"/>
      <c r="U1" s="3269"/>
      <c r="V1" s="3271"/>
    </row>
    <row r="2" spans="3:48" s="3272" customFormat="1" ht="20.25">
      <c r="C2" s="3273"/>
      <c r="D2" s="1454"/>
      <c r="E2" s="1756"/>
      <c r="F2" s="4483" t="s">
        <v>821</v>
      </c>
      <c r="G2" s="4483"/>
      <c r="H2" s="4483"/>
      <c r="I2" s="4483"/>
      <c r="J2" s="4483"/>
      <c r="K2" s="4483"/>
      <c r="L2" s="4483"/>
      <c r="M2" s="4483"/>
      <c r="N2" s="4483"/>
      <c r="O2" s="4483"/>
      <c r="P2" s="4483"/>
      <c r="Q2" s="4483"/>
      <c r="R2" s="4483"/>
      <c r="S2" s="4483"/>
      <c r="T2" s="3269"/>
      <c r="U2" s="3274"/>
      <c r="V2" s="3275"/>
    </row>
    <row r="3" spans="3:48" s="3272" customFormat="1" ht="15.75">
      <c r="C3" s="3273"/>
      <c r="D3" s="3273"/>
      <c r="E3" s="1757"/>
      <c r="F3" s="4486" t="s">
        <v>819</v>
      </c>
      <c r="G3" s="4486"/>
      <c r="H3" s="4486"/>
      <c r="I3" s="4486"/>
      <c r="J3" s="4486"/>
      <c r="K3" s="4486"/>
      <c r="L3" s="4486"/>
      <c r="M3" s="4486"/>
      <c r="N3" s="4486"/>
      <c r="O3" s="4486"/>
      <c r="P3" s="4486"/>
      <c r="Q3" s="4486"/>
      <c r="R3" s="4486"/>
      <c r="S3" s="4486"/>
      <c r="U3" s="3276"/>
      <c r="V3" s="3275"/>
    </row>
    <row r="4" spans="3:48" s="3272" customFormat="1" ht="15.75">
      <c r="C4" s="3273"/>
      <c r="D4" s="3273"/>
      <c r="E4" s="1757"/>
      <c r="F4" s="4486" t="s">
        <v>820</v>
      </c>
      <c r="G4" s="4486"/>
      <c r="H4" s="4486"/>
      <c r="I4" s="4486"/>
      <c r="J4" s="4486"/>
      <c r="K4" s="4486"/>
      <c r="L4" s="4486"/>
      <c r="M4" s="4486"/>
      <c r="N4" s="4486"/>
      <c r="O4" s="4486"/>
      <c r="P4" s="4486"/>
      <c r="Q4" s="4486"/>
      <c r="R4" s="4486"/>
      <c r="S4" s="4486"/>
      <c r="U4" s="3276"/>
      <c r="V4" s="3275"/>
    </row>
    <row r="5" spans="3:48" s="3272" customFormat="1" ht="15.75">
      <c r="C5" s="3273"/>
      <c r="D5" s="3273"/>
      <c r="E5" s="1757"/>
      <c r="F5" s="4486" t="s">
        <v>830</v>
      </c>
      <c r="G5" s="4486"/>
      <c r="H5" s="4486"/>
      <c r="I5" s="4486"/>
      <c r="J5" s="4486"/>
      <c r="K5" s="4486"/>
      <c r="L5" s="4486"/>
      <c r="M5" s="4486"/>
      <c r="N5" s="4486"/>
      <c r="O5" s="4486"/>
      <c r="P5" s="4486"/>
      <c r="Q5" s="4486"/>
      <c r="R5" s="4486"/>
      <c r="S5" s="4486"/>
      <c r="U5" s="3277"/>
      <c r="V5" s="3275"/>
    </row>
    <row r="6" spans="3:48" s="3272" customFormat="1" ht="15.75">
      <c r="C6" s="3273"/>
      <c r="D6" s="1458"/>
      <c r="E6" s="1758"/>
      <c r="F6" s="4489" t="s">
        <v>827</v>
      </c>
      <c r="G6" s="4489"/>
      <c r="H6" s="4489"/>
      <c r="I6" s="4489"/>
      <c r="J6" s="4489"/>
      <c r="K6" s="4489"/>
      <c r="L6" s="4489"/>
      <c r="M6" s="4489"/>
      <c r="N6" s="4489"/>
      <c r="O6" s="4489"/>
      <c r="P6" s="4489"/>
      <c r="Q6" s="4489"/>
      <c r="R6" s="4489"/>
      <c r="S6" s="4489"/>
      <c r="T6" s="4489"/>
      <c r="U6" s="4490"/>
      <c r="V6" s="3275"/>
    </row>
    <row r="7" spans="3:48" ht="8.25" customHeight="1">
      <c r="C7" s="3278"/>
      <c r="D7" s="1750"/>
      <c r="E7" s="1759"/>
      <c r="F7" s="1759"/>
      <c r="G7" s="1759"/>
      <c r="H7" s="1759"/>
      <c r="I7" s="1759"/>
      <c r="J7" s="1760"/>
      <c r="K7" s="1760"/>
      <c r="L7" s="1760"/>
      <c r="M7" s="1760"/>
      <c r="N7" s="1760"/>
      <c r="O7" s="1761"/>
      <c r="P7" s="1761"/>
      <c r="Q7" s="1742"/>
      <c r="R7" s="1742"/>
      <c r="S7" s="1742"/>
      <c r="T7" s="1742"/>
      <c r="U7" s="1742"/>
      <c r="V7" s="1743"/>
      <c r="W7" s="1742"/>
      <c r="X7" s="1750"/>
    </row>
    <row r="8" spans="3:48" ht="15.75">
      <c r="C8" s="3278"/>
      <c r="D8" s="4576" t="s">
        <v>1370</v>
      </c>
      <c r="E8" s="4577"/>
      <c r="F8" s="4577"/>
      <c r="G8" s="4577"/>
      <c r="H8" s="4577"/>
      <c r="I8" s="4577"/>
      <c r="J8" s="4577"/>
      <c r="K8" s="4577"/>
      <c r="L8" s="4577"/>
      <c r="M8" s="4577"/>
      <c r="N8" s="4577"/>
      <c r="O8" s="4577"/>
      <c r="P8" s="4577"/>
      <c r="Q8" s="4577"/>
      <c r="R8" s="4577"/>
      <c r="S8" s="4577"/>
      <c r="T8" s="4577"/>
      <c r="U8" s="4578"/>
      <c r="V8" s="1755"/>
      <c r="W8" s="1754"/>
      <c r="X8" s="1750"/>
    </row>
    <row r="9" spans="3:48" ht="18.75">
      <c r="C9" s="3278"/>
      <c r="D9" s="4580" t="s">
        <v>1042</v>
      </c>
      <c r="E9" s="4581"/>
      <c r="F9" s="4581"/>
      <c r="G9" s="4581"/>
      <c r="H9" s="4581"/>
      <c r="I9" s="4581"/>
      <c r="J9" s="4581"/>
      <c r="K9" s="4581"/>
      <c r="L9" s="4581"/>
      <c r="M9" s="4581"/>
      <c r="N9" s="4581"/>
      <c r="O9" s="4581"/>
      <c r="P9" s="4581"/>
      <c r="Q9" s="4581"/>
      <c r="R9" s="4581"/>
      <c r="S9" s="4581"/>
      <c r="T9" s="4581"/>
      <c r="U9" s="4582"/>
      <c r="V9" s="1752"/>
      <c r="W9" s="1751"/>
      <c r="X9" s="1750"/>
    </row>
    <row r="10" spans="3:48" ht="15.75" customHeight="1">
      <c r="C10" s="2748"/>
      <c r="D10" s="1742"/>
      <c r="E10" s="1745" t="s">
        <v>845</v>
      </c>
      <c r="F10" s="3280"/>
      <c r="G10" s="3280"/>
      <c r="H10" s="3280"/>
      <c r="I10" s="1742"/>
      <c r="J10" s="1742"/>
      <c r="K10" s="1742"/>
      <c r="L10" s="1742"/>
      <c r="M10" s="1742"/>
      <c r="N10" s="3280"/>
      <c r="O10" s="3280"/>
      <c r="P10" s="3280"/>
      <c r="Q10" s="3280"/>
      <c r="R10" s="3280"/>
      <c r="S10" s="3280"/>
      <c r="T10" s="1742"/>
      <c r="U10" s="1742"/>
      <c r="V10" s="1743"/>
      <c r="W10" s="1747"/>
      <c r="X10" s="1747"/>
      <c r="AF10" s="3281"/>
      <c r="AG10" s="3281"/>
      <c r="AH10" s="3281"/>
      <c r="AI10" s="3281"/>
      <c r="AK10" s="3281"/>
      <c r="AL10" s="3281"/>
      <c r="AM10" s="3281"/>
      <c r="AN10" s="3281"/>
      <c r="AP10" s="3281"/>
      <c r="AQ10" s="3281"/>
      <c r="AR10" s="3281"/>
      <c r="AS10" s="3281"/>
    </row>
    <row r="11" spans="3:48" s="3280" customFormat="1" ht="20.100000000000001" customHeight="1">
      <c r="C11" s="2748"/>
      <c r="D11" s="1742"/>
      <c r="E11" s="1742" t="s">
        <v>97</v>
      </c>
      <c r="F11" s="1742"/>
      <c r="G11" s="1742" t="s">
        <v>27</v>
      </c>
      <c r="H11" s="1762"/>
      <c r="I11" s="3282"/>
      <c r="J11" s="1762"/>
      <c r="K11" s="1762"/>
      <c r="L11" s="1762"/>
      <c r="M11" s="1762"/>
      <c r="N11" s="3280" t="s">
        <v>394</v>
      </c>
      <c r="O11" s="1762" t="s">
        <v>27</v>
      </c>
      <c r="P11" s="5" t="s">
        <v>823</v>
      </c>
      <c r="Q11" s="2"/>
      <c r="R11" s="1742"/>
      <c r="S11" s="1763"/>
      <c r="T11" s="1742"/>
      <c r="U11" s="1742"/>
      <c r="V11" s="1743"/>
      <c r="W11" s="1742"/>
      <c r="X11" s="1742"/>
      <c r="AF11" s="3283">
        <v>0</v>
      </c>
      <c r="AG11" s="3283">
        <f t="shared" ref="AG11:AG33" si="0">AF11*($Z$29/10)</f>
        <v>0</v>
      </c>
      <c r="AH11" s="3283">
        <f t="shared" ref="AH11:AH33" si="1">AG11+$Z$27</f>
        <v>50</v>
      </c>
      <c r="AI11" s="3283">
        <v>0</v>
      </c>
      <c r="AK11" s="3283">
        <v>0</v>
      </c>
      <c r="AL11" s="3283">
        <f t="shared" ref="AL11:AL33" si="2">AK11*($AB$29/10)</f>
        <v>0</v>
      </c>
      <c r="AM11" s="3283">
        <f t="shared" ref="AM11:AM33" si="3">AL11+$AB$27</f>
        <v>0</v>
      </c>
      <c r="AN11" s="3283">
        <v>0</v>
      </c>
      <c r="AP11" s="3283">
        <v>0</v>
      </c>
      <c r="AQ11" s="3283">
        <f t="shared" ref="AQ11:AQ33" si="4">AP11*($AD$29/10)</f>
        <v>0</v>
      </c>
      <c r="AR11" s="3283">
        <f t="shared" ref="AR11:AR33" si="5">AQ11+$AD$27</f>
        <v>200</v>
      </c>
      <c r="AS11" s="3283">
        <v>0</v>
      </c>
      <c r="AU11" s="3284">
        <f>Z31</f>
        <v>158.29388675345561</v>
      </c>
      <c r="AV11" s="3284">
        <f>Z30</f>
        <v>108.29388675345561</v>
      </c>
    </row>
    <row r="12" spans="3:48" s="3280" customFormat="1" ht="20.100000000000001" customHeight="1">
      <c r="C12" s="2748"/>
      <c r="D12" s="1742"/>
      <c r="E12" s="1742" t="s">
        <v>842</v>
      </c>
      <c r="F12" s="1742"/>
      <c r="G12" s="1742" t="s">
        <v>27</v>
      </c>
      <c r="H12" s="1762"/>
      <c r="I12" s="3282"/>
      <c r="J12" s="1762"/>
      <c r="K12" s="1762"/>
      <c r="L12" s="1762"/>
      <c r="M12" s="1762"/>
      <c r="N12" s="3280" t="s">
        <v>822</v>
      </c>
      <c r="O12" s="1762" t="s">
        <v>27</v>
      </c>
      <c r="P12" s="832" t="s">
        <v>824</v>
      </c>
      <c r="Q12" s="2923"/>
      <c r="R12" s="3285"/>
      <c r="S12" s="1763"/>
      <c r="T12" s="1742"/>
      <c r="U12" s="1742"/>
      <c r="V12" s="1743"/>
      <c r="W12" s="1742"/>
      <c r="X12" s="1742"/>
      <c r="AF12" s="3286">
        <v>0.02</v>
      </c>
      <c r="AG12" s="3283">
        <f t="shared" si="0"/>
        <v>0.43317554701382244</v>
      </c>
      <c r="AH12" s="3283">
        <f t="shared" si="1"/>
        <v>50.433175547013825</v>
      </c>
      <c r="AI12" s="3287">
        <f t="shared" ref="AI12:AI33" si="6">SQRT($Z$30^2-($Z$30-AG12)^2)</f>
        <v>9.6764087455435241</v>
      </c>
      <c r="AK12" s="3286">
        <v>0.02</v>
      </c>
      <c r="AL12" s="3283">
        <f t="shared" si="2"/>
        <v>0</v>
      </c>
      <c r="AM12" s="3283">
        <f t="shared" si="3"/>
        <v>0</v>
      </c>
      <c r="AN12" s="3287">
        <f t="shared" ref="AN12:AN33" si="7">SQRT($AB$30^2-($AB$30-AL12)^2)</f>
        <v>0</v>
      </c>
      <c r="AP12" s="3286">
        <v>0.02</v>
      </c>
      <c r="AQ12" s="3283">
        <f t="shared" si="4"/>
        <v>1.600867005991109</v>
      </c>
      <c r="AR12" s="3283">
        <f t="shared" si="5"/>
        <v>201.60086700599112</v>
      </c>
      <c r="AS12" s="3287">
        <f t="shared" ref="AS12:AS32" si="8">SQRT($AD$30^2-($AD$30-AQ12)^2)</f>
        <v>35.76066009268569</v>
      </c>
      <c r="AU12" s="3288">
        <f>Z41</f>
        <v>127.29388675345561</v>
      </c>
      <c r="AV12" s="3288">
        <f>Z40</f>
        <v>108.29388675345561</v>
      </c>
    </row>
    <row r="13" spans="3:48" s="3280" customFormat="1" ht="20.100000000000001" customHeight="1">
      <c r="C13" s="2748"/>
      <c r="D13" s="1742"/>
      <c r="E13" s="1762" t="s">
        <v>860</v>
      </c>
      <c r="F13" s="1762"/>
      <c r="G13" s="1762" t="s">
        <v>27</v>
      </c>
      <c r="H13" s="1764"/>
      <c r="I13" s="1762"/>
      <c r="J13" s="1762"/>
      <c r="K13" s="1762"/>
      <c r="L13" s="1762"/>
      <c r="M13" s="1762"/>
      <c r="N13" s="1762" t="s">
        <v>395</v>
      </c>
      <c r="O13" s="1762" t="s">
        <v>27</v>
      </c>
      <c r="P13" s="2923">
        <v>46040</v>
      </c>
      <c r="Q13" s="2"/>
      <c r="S13" s="1763"/>
      <c r="T13" s="1742"/>
      <c r="U13" s="1742"/>
      <c r="V13" s="1743"/>
      <c r="W13" s="1742"/>
      <c r="X13" s="1742"/>
      <c r="AF13" s="3286">
        <v>0.1</v>
      </c>
      <c r="AG13" s="3283">
        <f t="shared" si="0"/>
        <v>2.1658777350691123</v>
      </c>
      <c r="AH13" s="3283">
        <f t="shared" si="1"/>
        <v>52.16587773506911</v>
      </c>
      <c r="AI13" s="3287">
        <f t="shared" si="6"/>
        <v>21.550211367027117</v>
      </c>
      <c r="AK13" s="3286">
        <v>0.1</v>
      </c>
      <c r="AL13" s="3283">
        <f t="shared" si="2"/>
        <v>0</v>
      </c>
      <c r="AM13" s="3283">
        <f t="shared" si="3"/>
        <v>0</v>
      </c>
      <c r="AN13" s="3287">
        <f t="shared" si="7"/>
        <v>0</v>
      </c>
      <c r="AP13" s="3286">
        <v>0.1</v>
      </c>
      <c r="AQ13" s="3283">
        <f t="shared" si="4"/>
        <v>8.0043350299555449</v>
      </c>
      <c r="AR13" s="3283">
        <f t="shared" si="5"/>
        <v>208.00433502995554</v>
      </c>
      <c r="AS13" s="3287">
        <f t="shared" si="8"/>
        <v>79.642127971982177</v>
      </c>
    </row>
    <row r="14" spans="3:48" s="3280" customFormat="1" ht="20.100000000000001" customHeight="1">
      <c r="C14" s="2748"/>
      <c r="D14" s="1742"/>
      <c r="E14" s="1762" t="s">
        <v>100</v>
      </c>
      <c r="F14" s="1762"/>
      <c r="G14" s="1762" t="s">
        <v>27</v>
      </c>
      <c r="H14" s="1762"/>
      <c r="I14" s="3282"/>
      <c r="J14" s="1762"/>
      <c r="K14" s="3282"/>
      <c r="L14" s="1762"/>
      <c r="M14" s="1762"/>
      <c r="N14" s="1742" t="s">
        <v>396</v>
      </c>
      <c r="O14" s="1742" t="s">
        <v>27</v>
      </c>
      <c r="P14" s="832"/>
      <c r="Q14" s="2"/>
      <c r="R14" s="3285"/>
      <c r="S14" s="1763"/>
      <c r="T14" s="1742"/>
      <c r="U14" s="1742"/>
      <c r="V14" s="1743"/>
      <c r="W14" s="1742"/>
      <c r="X14" s="1742"/>
      <c r="AF14" s="3286">
        <v>0.15</v>
      </c>
      <c r="AG14" s="3283">
        <f t="shared" si="0"/>
        <v>3.248816602603668</v>
      </c>
      <c r="AH14" s="3283">
        <f t="shared" si="1"/>
        <v>53.248816602603668</v>
      </c>
      <c r="AI14" s="3287">
        <f t="shared" si="6"/>
        <v>26.326776201670878</v>
      </c>
      <c r="AK14" s="3286">
        <v>0.15</v>
      </c>
      <c r="AL14" s="3283">
        <f t="shared" si="2"/>
        <v>0</v>
      </c>
      <c r="AM14" s="3283">
        <f t="shared" si="3"/>
        <v>0</v>
      </c>
      <c r="AN14" s="3287">
        <f t="shared" si="7"/>
        <v>0</v>
      </c>
      <c r="AP14" s="3286">
        <v>0.15</v>
      </c>
      <c r="AQ14" s="3283">
        <f t="shared" si="4"/>
        <v>12.006502544933316</v>
      </c>
      <c r="AR14" s="3283">
        <f t="shared" si="5"/>
        <v>212.00650254493331</v>
      </c>
      <c r="AS14" s="3287">
        <f t="shared" si="8"/>
        <v>97.294659603724085</v>
      </c>
    </row>
    <row r="15" spans="3:48" s="3280" customFormat="1" ht="20.100000000000001" customHeight="1">
      <c r="C15" s="2748"/>
      <c r="D15" s="1742"/>
      <c r="E15" s="1742" t="s">
        <v>98</v>
      </c>
      <c r="F15" s="1742"/>
      <c r="G15" s="1762" t="s">
        <v>27</v>
      </c>
      <c r="H15" s="1762"/>
      <c r="I15" s="1762"/>
      <c r="J15" s="1762"/>
      <c r="K15" s="3289"/>
      <c r="L15" s="3289"/>
      <c r="M15" s="1762"/>
      <c r="N15" s="1742" t="s">
        <v>186</v>
      </c>
      <c r="O15" s="1742" t="s">
        <v>27</v>
      </c>
      <c r="P15" s="5"/>
      <c r="R15" s="1742"/>
      <c r="S15" s="1742"/>
      <c r="T15" s="1742"/>
      <c r="U15" s="1742"/>
      <c r="V15" s="1743"/>
      <c r="W15" s="1742"/>
      <c r="X15" s="1742"/>
      <c r="AF15" s="3287">
        <v>0.25</v>
      </c>
      <c r="AG15" s="3283">
        <f t="shared" si="0"/>
        <v>5.4146943376727803</v>
      </c>
      <c r="AH15" s="3283">
        <f t="shared" si="1"/>
        <v>55.414694337672778</v>
      </c>
      <c r="AI15" s="3287">
        <f t="shared" si="6"/>
        <v>33.81475530070567</v>
      </c>
      <c r="AK15" s="3287">
        <v>0.25</v>
      </c>
      <c r="AL15" s="3283">
        <f t="shared" si="2"/>
        <v>0</v>
      </c>
      <c r="AM15" s="3283">
        <f t="shared" si="3"/>
        <v>0</v>
      </c>
      <c r="AN15" s="3287">
        <f t="shared" si="7"/>
        <v>0</v>
      </c>
      <c r="AP15" s="3287">
        <v>0.25</v>
      </c>
      <c r="AQ15" s="3283">
        <f t="shared" si="4"/>
        <v>20.010837574888861</v>
      </c>
      <c r="AR15" s="3283">
        <f t="shared" si="5"/>
        <v>220.01083757488885</v>
      </c>
      <c r="AS15" s="3287">
        <f t="shared" si="8"/>
        <v>124.9676406014564</v>
      </c>
    </row>
    <row r="16" spans="3:48" s="3280" customFormat="1" ht="20.100000000000001" customHeight="1">
      <c r="C16" s="2748"/>
      <c r="D16" s="1742"/>
      <c r="E16" s="1742" t="s">
        <v>1041</v>
      </c>
      <c r="G16" s="3280" t="s">
        <v>27</v>
      </c>
      <c r="H16" s="1762"/>
      <c r="I16" s="1762"/>
      <c r="J16" s="1762"/>
      <c r="K16" s="1762"/>
      <c r="L16" s="1762"/>
      <c r="M16" s="1762"/>
      <c r="R16" s="1742"/>
      <c r="S16" s="1742"/>
      <c r="T16" s="1742"/>
      <c r="U16" s="1742"/>
      <c r="V16" s="1743"/>
      <c r="W16" s="1742"/>
      <c r="X16" s="1742"/>
      <c r="AF16" s="3287">
        <v>0.5</v>
      </c>
      <c r="AG16" s="3283">
        <f t="shared" si="0"/>
        <v>10.829388675345561</v>
      </c>
      <c r="AH16" s="3283">
        <f t="shared" si="1"/>
        <v>60.829388675345562</v>
      </c>
      <c r="AI16" s="3287">
        <f t="shared" si="6"/>
        <v>47.204210856155093</v>
      </c>
      <c r="AK16" s="3287">
        <v>0.5</v>
      </c>
      <c r="AL16" s="3283">
        <f t="shared" si="2"/>
        <v>0</v>
      </c>
      <c r="AM16" s="3283">
        <f t="shared" si="3"/>
        <v>0</v>
      </c>
      <c r="AN16" s="3287">
        <f t="shared" si="7"/>
        <v>0</v>
      </c>
      <c r="AP16" s="3287">
        <v>0.5</v>
      </c>
      <c r="AQ16" s="3283">
        <f t="shared" si="4"/>
        <v>40.021675149777721</v>
      </c>
      <c r="AR16" s="3283">
        <f t="shared" si="5"/>
        <v>240.02167514977771</v>
      </c>
      <c r="AS16" s="3287">
        <f t="shared" si="8"/>
        <v>174.45043752909413</v>
      </c>
    </row>
    <row r="17" spans="3:45" s="3280" customFormat="1" ht="20.100000000000001" customHeight="1">
      <c r="C17" s="2748"/>
      <c r="D17" s="1742"/>
      <c r="E17" s="1742" t="s">
        <v>101</v>
      </c>
      <c r="F17" s="1742"/>
      <c r="G17" s="1742" t="s">
        <v>27</v>
      </c>
      <c r="H17" s="1762"/>
      <c r="I17" s="1762"/>
      <c r="J17" s="1762"/>
      <c r="K17" s="1762"/>
      <c r="L17" s="1762"/>
      <c r="M17" s="1762"/>
      <c r="N17" s="1742"/>
      <c r="O17" s="1742"/>
      <c r="P17" s="1742"/>
      <c r="Q17" s="1742"/>
      <c r="R17" s="1742"/>
      <c r="S17" s="1742"/>
      <c r="T17" s="1742"/>
      <c r="U17" s="1742"/>
      <c r="V17" s="1743"/>
      <c r="W17" s="1742"/>
      <c r="X17" s="1742"/>
      <c r="AF17" s="3287">
        <v>0.75</v>
      </c>
      <c r="AG17" s="3283">
        <f t="shared" si="0"/>
        <v>16.24408301301834</v>
      </c>
      <c r="AH17" s="3283">
        <f t="shared" si="1"/>
        <v>66.24408301301834</v>
      </c>
      <c r="AI17" s="3287">
        <f t="shared" si="6"/>
        <v>57.047344719252706</v>
      </c>
      <c r="AK17" s="3287">
        <v>0.75</v>
      </c>
      <c r="AL17" s="3283">
        <f t="shared" si="2"/>
        <v>0</v>
      </c>
      <c r="AM17" s="3283">
        <f t="shared" si="3"/>
        <v>0</v>
      </c>
      <c r="AN17" s="3287">
        <f t="shared" si="7"/>
        <v>0</v>
      </c>
      <c r="AP17" s="3287">
        <v>0.75</v>
      </c>
      <c r="AQ17" s="3283">
        <f t="shared" si="4"/>
        <v>60.032512724666582</v>
      </c>
      <c r="AR17" s="3283">
        <f t="shared" si="5"/>
        <v>260.03251272466656</v>
      </c>
      <c r="AS17" s="3287">
        <f t="shared" si="8"/>
        <v>210.82725599360441</v>
      </c>
    </row>
    <row r="18" spans="3:45" s="3280" customFormat="1" ht="20.100000000000001" customHeight="1">
      <c r="C18" s="3290"/>
      <c r="H18" s="3291"/>
      <c r="N18" s="4872" t="s">
        <v>940</v>
      </c>
      <c r="O18" s="4873"/>
      <c r="P18" s="4873"/>
      <c r="Q18" s="4874"/>
      <c r="R18" s="3292">
        <v>1</v>
      </c>
      <c r="S18" s="3292"/>
      <c r="T18" s="3292">
        <v>3</v>
      </c>
      <c r="V18" s="3293"/>
      <c r="Z18" s="3294"/>
      <c r="AB18" s="3294"/>
      <c r="AD18" s="3294"/>
      <c r="AF18" s="3287">
        <v>1</v>
      </c>
      <c r="AG18" s="3283">
        <f t="shared" si="0"/>
        <v>21.658777350691121</v>
      </c>
      <c r="AH18" s="3283">
        <f t="shared" si="1"/>
        <v>71.658777350691125</v>
      </c>
      <c r="AI18" s="3287">
        <f t="shared" si="6"/>
        <v>64.976332052073374</v>
      </c>
      <c r="AK18" s="3287">
        <v>1</v>
      </c>
      <c r="AL18" s="3283">
        <f t="shared" si="2"/>
        <v>0</v>
      </c>
      <c r="AM18" s="3283">
        <f t="shared" si="3"/>
        <v>0</v>
      </c>
      <c r="AN18" s="3287">
        <f t="shared" si="7"/>
        <v>0</v>
      </c>
      <c r="AP18" s="3287">
        <v>1</v>
      </c>
      <c r="AQ18" s="3283">
        <f t="shared" si="4"/>
        <v>80.043350299555442</v>
      </c>
      <c r="AR18" s="3283">
        <f t="shared" si="5"/>
        <v>280.04335029955541</v>
      </c>
      <c r="AS18" s="3287">
        <f t="shared" si="8"/>
        <v>240.13005089866638</v>
      </c>
    </row>
    <row r="19" spans="3:45" s="3280" customFormat="1" ht="20.100000000000001" customHeight="1">
      <c r="C19" s="3290"/>
      <c r="H19" s="3291"/>
      <c r="I19" s="3291"/>
      <c r="N19" s="3295" t="s">
        <v>581</v>
      </c>
      <c r="O19" s="3296"/>
      <c r="P19" s="3297" t="s">
        <v>920</v>
      </c>
      <c r="Q19" s="3298" t="s">
        <v>1371</v>
      </c>
      <c r="R19" s="3299">
        <f>'CU_Multi Saturasi pmdtn'!F23</f>
        <v>1.26</v>
      </c>
      <c r="S19" s="3300"/>
      <c r="T19" s="3299">
        <f>'CU_Multi Saturasi pmdtn'!F100</f>
        <v>1.26</v>
      </c>
      <c r="V19" s="3293"/>
      <c r="Z19" s="3301"/>
      <c r="AB19" s="3301"/>
      <c r="AD19" s="3301"/>
      <c r="AF19" s="3287">
        <v>2</v>
      </c>
      <c r="AG19" s="3283">
        <f t="shared" si="0"/>
        <v>43.317554701382242</v>
      </c>
      <c r="AH19" s="3283">
        <f t="shared" si="1"/>
        <v>93.31755470138225</v>
      </c>
      <c r="AI19" s="3287">
        <f t="shared" si="6"/>
        <v>86.635109402764499</v>
      </c>
      <c r="AK19" s="3287">
        <v>2</v>
      </c>
      <c r="AL19" s="3283">
        <f t="shared" si="2"/>
        <v>0</v>
      </c>
      <c r="AM19" s="3283">
        <f t="shared" si="3"/>
        <v>0</v>
      </c>
      <c r="AN19" s="3287">
        <f t="shared" si="7"/>
        <v>0</v>
      </c>
      <c r="AP19" s="3287">
        <v>2</v>
      </c>
      <c r="AQ19" s="3283">
        <f t="shared" si="4"/>
        <v>160.08670059911088</v>
      </c>
      <c r="AR19" s="3283">
        <f t="shared" si="5"/>
        <v>360.08670059911088</v>
      </c>
      <c r="AS19" s="3287">
        <f t="shared" si="8"/>
        <v>320.17340119822177</v>
      </c>
    </row>
    <row r="20" spans="3:45" s="3280" customFormat="1" ht="20.100000000000001" customHeight="1">
      <c r="C20" s="3290"/>
      <c r="H20" s="3291"/>
      <c r="N20" s="3302"/>
      <c r="O20" s="3293"/>
      <c r="P20" s="3303" t="s">
        <v>919</v>
      </c>
      <c r="Q20" s="3304" t="s">
        <v>1</v>
      </c>
      <c r="R20" s="3299">
        <f>'CU_Multi Saturasi pmdtn'!F24</f>
        <v>19.2</v>
      </c>
      <c r="S20" s="3300"/>
      <c r="T20" s="3299">
        <f>'CU_Multi Saturasi pmdtn'!F101</f>
        <v>19.53</v>
      </c>
      <c r="V20" s="3293"/>
      <c r="Z20" s="3301"/>
      <c r="AB20" s="3301"/>
      <c r="AD20" s="3301"/>
      <c r="AF20" s="3287">
        <v>3</v>
      </c>
      <c r="AG20" s="3283">
        <f t="shared" si="0"/>
        <v>64.97633205207336</v>
      </c>
      <c r="AH20" s="3283">
        <f t="shared" si="1"/>
        <v>114.97633205207336</v>
      </c>
      <c r="AI20" s="3287">
        <f t="shared" si="6"/>
        <v>99.252986669737169</v>
      </c>
      <c r="AK20" s="3287">
        <v>3</v>
      </c>
      <c r="AL20" s="3283">
        <f t="shared" si="2"/>
        <v>0</v>
      </c>
      <c r="AM20" s="3283">
        <f t="shared" si="3"/>
        <v>0</v>
      </c>
      <c r="AN20" s="3287">
        <f t="shared" si="7"/>
        <v>0</v>
      </c>
      <c r="AP20" s="3287">
        <v>3</v>
      </c>
      <c r="AQ20" s="3283">
        <f t="shared" si="4"/>
        <v>240.13005089866633</v>
      </c>
      <c r="AR20" s="3283">
        <f t="shared" si="5"/>
        <v>440.13005089866635</v>
      </c>
      <c r="AS20" s="3287">
        <f t="shared" si="8"/>
        <v>366.80471162557905</v>
      </c>
    </row>
    <row r="21" spans="3:45" s="3280" customFormat="1" ht="20.100000000000001" customHeight="1">
      <c r="C21" s="3290"/>
      <c r="N21" s="3305"/>
      <c r="O21" s="3306"/>
      <c r="P21" s="3307" t="s">
        <v>918</v>
      </c>
      <c r="Q21" s="3308" t="s">
        <v>566</v>
      </c>
      <c r="R21" s="3299">
        <f>'CU_Multi Saturasi pmdtn'!F25</f>
        <v>1.05</v>
      </c>
      <c r="S21" s="3300"/>
      <c r="T21" s="3299">
        <f>'CU_Multi Saturasi pmdtn'!F102</f>
        <v>1.06</v>
      </c>
      <c r="V21" s="3293"/>
      <c r="Z21" s="3301"/>
      <c r="AB21" s="3301"/>
      <c r="AD21" s="3301"/>
      <c r="AF21" s="3287">
        <v>4</v>
      </c>
      <c r="AG21" s="3283">
        <f t="shared" si="0"/>
        <v>86.635109402764485</v>
      </c>
      <c r="AH21" s="3283">
        <f t="shared" si="1"/>
        <v>136.6351094027645</v>
      </c>
      <c r="AI21" s="3287">
        <f t="shared" si="6"/>
        <v>106.10590592348504</v>
      </c>
      <c r="AK21" s="3287">
        <v>4</v>
      </c>
      <c r="AL21" s="3283">
        <f t="shared" si="2"/>
        <v>0</v>
      </c>
      <c r="AM21" s="3283">
        <f t="shared" si="3"/>
        <v>0</v>
      </c>
      <c r="AN21" s="3287">
        <f t="shared" si="7"/>
        <v>0</v>
      </c>
      <c r="AP21" s="3287">
        <v>4</v>
      </c>
      <c r="AQ21" s="3283">
        <f t="shared" si="4"/>
        <v>320.17340119822177</v>
      </c>
      <c r="AR21" s="3283">
        <f t="shared" si="5"/>
        <v>520.17340119822177</v>
      </c>
      <c r="AS21" s="3287">
        <f t="shared" si="8"/>
        <v>392.1307310735238</v>
      </c>
    </row>
    <row r="22" spans="3:45" s="3280" customFormat="1" ht="20.100000000000001" customHeight="1">
      <c r="C22" s="3290"/>
      <c r="I22" s="3291"/>
      <c r="N22" s="3309" t="s">
        <v>1040</v>
      </c>
      <c r="O22" s="3296"/>
      <c r="P22" s="3310" t="s">
        <v>920</v>
      </c>
      <c r="Q22" s="3311" t="s">
        <v>566</v>
      </c>
      <c r="R22" s="3299">
        <f>'CU_Multi Saturasi pmdtn'!N20/'Cu_Multi Shear pmdtn'!O15</f>
        <v>1.2780654271593315</v>
      </c>
      <c r="S22" s="3299"/>
      <c r="T22" s="3299">
        <f>'CU_Multi Saturasi pmdtn'!N20/'Cu_Multi Shear pmdtn'!O149</f>
        <v>1.2932841152655394</v>
      </c>
      <c r="V22" s="3293"/>
      <c r="Z22" s="3301"/>
      <c r="AB22" s="3301"/>
      <c r="AD22" s="3301"/>
      <c r="AF22" s="3287">
        <v>5</v>
      </c>
      <c r="AG22" s="3283">
        <f t="shared" si="0"/>
        <v>108.29388675345561</v>
      </c>
      <c r="AH22" s="3283">
        <f t="shared" si="1"/>
        <v>158.29388675345561</v>
      </c>
      <c r="AI22" s="3287">
        <f t="shared" si="6"/>
        <v>108.29388675345561</v>
      </c>
      <c r="AK22" s="3287">
        <v>5</v>
      </c>
      <c r="AL22" s="3283">
        <f t="shared" si="2"/>
        <v>0</v>
      </c>
      <c r="AM22" s="3283">
        <f t="shared" si="3"/>
        <v>0</v>
      </c>
      <c r="AN22" s="3287">
        <f t="shared" si="7"/>
        <v>0</v>
      </c>
      <c r="AP22" s="3287">
        <v>5</v>
      </c>
      <c r="AQ22" s="3283">
        <f t="shared" si="4"/>
        <v>400.21675149777718</v>
      </c>
      <c r="AR22" s="3283">
        <f t="shared" si="5"/>
        <v>600.21675149777718</v>
      </c>
      <c r="AS22" s="3287">
        <f t="shared" si="8"/>
        <v>400.21675149777724</v>
      </c>
    </row>
    <row r="23" spans="3:45" s="3280" customFormat="1" ht="20.100000000000001" customHeight="1">
      <c r="C23" s="3290"/>
      <c r="I23" s="3291"/>
      <c r="N23" s="3309" t="s">
        <v>966</v>
      </c>
      <c r="O23" s="3293"/>
      <c r="P23" s="3303" t="s">
        <v>919</v>
      </c>
      <c r="Q23" s="3304" t="s">
        <v>1</v>
      </c>
      <c r="R23" s="3299">
        <f>'CU_Multi Saturasi pmdtn'!O23</f>
        <v>11.23</v>
      </c>
      <c r="S23" s="3300"/>
      <c r="T23" s="3299">
        <f>'CU_Multi Saturasi pmdtn'!O100</f>
        <v>12.36</v>
      </c>
      <c r="V23" s="3293"/>
      <c r="Z23" s="3301"/>
      <c r="AB23" s="3301"/>
      <c r="AD23" s="3301"/>
      <c r="AF23" s="3287">
        <v>6</v>
      </c>
      <c r="AG23" s="3283">
        <f t="shared" si="0"/>
        <v>129.95266410414672</v>
      </c>
      <c r="AH23" s="3283">
        <f t="shared" si="1"/>
        <v>179.95266410414672</v>
      </c>
      <c r="AI23" s="3287">
        <f t="shared" si="6"/>
        <v>106.10590592348504</v>
      </c>
      <c r="AK23" s="3287">
        <v>6</v>
      </c>
      <c r="AL23" s="3283">
        <f t="shared" si="2"/>
        <v>0</v>
      </c>
      <c r="AM23" s="3283">
        <f t="shared" si="3"/>
        <v>0</v>
      </c>
      <c r="AN23" s="3287">
        <f t="shared" si="7"/>
        <v>0</v>
      </c>
      <c r="AP23" s="3287">
        <v>6</v>
      </c>
      <c r="AQ23" s="3283">
        <f t="shared" si="4"/>
        <v>480.26010179733265</v>
      </c>
      <c r="AR23" s="3283">
        <f t="shared" si="5"/>
        <v>680.26010179733271</v>
      </c>
      <c r="AS23" s="3287">
        <f t="shared" si="8"/>
        <v>392.1307310735238</v>
      </c>
    </row>
    <row r="24" spans="3:45" s="3280" customFormat="1" ht="20.100000000000001" customHeight="1">
      <c r="C24" s="3290"/>
      <c r="I24" s="3291"/>
      <c r="N24" s="3312"/>
      <c r="O24" s="3306"/>
      <c r="P24" s="3307" t="s">
        <v>918</v>
      </c>
      <c r="Q24" s="3308" t="s">
        <v>566</v>
      </c>
      <c r="R24" s="3299">
        <f>R22/(1+$R$23/100)</f>
        <v>1.1490294229608302</v>
      </c>
      <c r="S24" s="3299"/>
      <c r="T24" s="3299">
        <f>T22/(1+$R$23/100)</f>
        <v>1.1627116023244981</v>
      </c>
      <c r="U24" s="3313"/>
      <c r="V24" s="3314"/>
      <c r="W24" s="3313"/>
      <c r="Z24" s="3301"/>
      <c r="AB24" s="3301"/>
      <c r="AD24" s="3301"/>
      <c r="AF24" s="3287">
        <v>7</v>
      </c>
      <c r="AG24" s="3283">
        <f t="shared" si="0"/>
        <v>151.61144145483786</v>
      </c>
      <c r="AH24" s="3283">
        <f t="shared" si="1"/>
        <v>201.61144145483786</v>
      </c>
      <c r="AI24" s="3287">
        <f t="shared" si="6"/>
        <v>99.252986669737169</v>
      </c>
      <c r="AK24" s="3287">
        <v>7</v>
      </c>
      <c r="AL24" s="3283">
        <f t="shared" si="2"/>
        <v>0</v>
      </c>
      <c r="AM24" s="3283">
        <f t="shared" si="3"/>
        <v>0</v>
      </c>
      <c r="AN24" s="3287">
        <f t="shared" si="7"/>
        <v>0</v>
      </c>
      <c r="AP24" s="3287">
        <v>7</v>
      </c>
      <c r="AQ24" s="3283">
        <f t="shared" si="4"/>
        <v>560.30345209688812</v>
      </c>
      <c r="AR24" s="3283">
        <f t="shared" si="5"/>
        <v>760.30345209688812</v>
      </c>
      <c r="AS24" s="3287">
        <f t="shared" si="8"/>
        <v>366.80471162557905</v>
      </c>
    </row>
    <row r="25" spans="3:45" s="3280" customFormat="1" ht="20.100000000000001" customHeight="1">
      <c r="C25" s="3290"/>
      <c r="N25" s="3309" t="s">
        <v>916</v>
      </c>
      <c r="O25" s="3296"/>
      <c r="P25" s="3310" t="s">
        <v>1030</v>
      </c>
      <c r="Q25" s="3311" t="s">
        <v>1012</v>
      </c>
      <c r="R25" s="3299">
        <f>'CU_Multi Saturasi pmdtn'!E32</f>
        <v>0</v>
      </c>
      <c r="S25" s="3299"/>
      <c r="T25" s="3299">
        <f>S25</f>
        <v>0</v>
      </c>
      <c r="V25" s="3293"/>
      <c r="Z25" s="3301"/>
      <c r="AB25" s="3301"/>
      <c r="AD25" s="3301"/>
      <c r="AF25" s="3287">
        <v>8</v>
      </c>
      <c r="AG25" s="3283">
        <f t="shared" si="0"/>
        <v>173.27021880552897</v>
      </c>
      <c r="AH25" s="3283">
        <f t="shared" si="1"/>
        <v>223.27021880552897</v>
      </c>
      <c r="AI25" s="3287">
        <f t="shared" si="6"/>
        <v>86.635109402764499</v>
      </c>
      <c r="AK25" s="3287">
        <v>8</v>
      </c>
      <c r="AL25" s="3283">
        <f t="shared" si="2"/>
        <v>0</v>
      </c>
      <c r="AM25" s="3283">
        <f t="shared" si="3"/>
        <v>0</v>
      </c>
      <c r="AN25" s="3287">
        <f t="shared" si="7"/>
        <v>0</v>
      </c>
      <c r="AP25" s="3287">
        <v>8</v>
      </c>
      <c r="AQ25" s="3283">
        <f t="shared" si="4"/>
        <v>640.34680239644354</v>
      </c>
      <c r="AR25" s="3283">
        <f t="shared" si="5"/>
        <v>840.34680239644354</v>
      </c>
      <c r="AS25" s="3287">
        <f t="shared" si="8"/>
        <v>320.17340119822182</v>
      </c>
    </row>
    <row r="26" spans="3:45" s="3280" customFormat="1" ht="20.100000000000001" customHeight="1">
      <c r="C26" s="3290"/>
      <c r="N26" s="3315" t="s">
        <v>1031</v>
      </c>
      <c r="O26" s="3293"/>
      <c r="P26" s="3316" t="s">
        <v>1038</v>
      </c>
      <c r="Q26" s="3304" t="s">
        <v>1012</v>
      </c>
      <c r="R26" s="3317">
        <f>'Cu_Multi Consol pmdtn'!F18</f>
        <v>229</v>
      </c>
      <c r="S26" s="3317"/>
      <c r="T26" s="3317">
        <f>'Cu_Multi Shear pmdtn'!G150</f>
        <v>373</v>
      </c>
      <c r="V26" s="3293"/>
      <c r="Y26" s="3318" t="s">
        <v>1037</v>
      </c>
      <c r="Z26" s="3319"/>
      <c r="AA26" s="3318"/>
      <c r="AB26" s="3319"/>
      <c r="AC26" s="3318"/>
      <c r="AD26" s="3319"/>
      <c r="AF26" s="3287">
        <v>9</v>
      </c>
      <c r="AG26" s="3283">
        <f t="shared" si="0"/>
        <v>194.92899615622008</v>
      </c>
      <c r="AH26" s="3283">
        <f t="shared" si="1"/>
        <v>244.92899615622008</v>
      </c>
      <c r="AI26" s="3287">
        <f t="shared" si="6"/>
        <v>64.976332052073388</v>
      </c>
      <c r="AK26" s="3287">
        <v>9</v>
      </c>
      <c r="AL26" s="3283">
        <f t="shared" si="2"/>
        <v>0</v>
      </c>
      <c r="AM26" s="3283">
        <f t="shared" si="3"/>
        <v>0</v>
      </c>
      <c r="AN26" s="3287">
        <f t="shared" si="7"/>
        <v>0</v>
      </c>
      <c r="AP26" s="3287">
        <v>9</v>
      </c>
      <c r="AQ26" s="3283">
        <f t="shared" si="4"/>
        <v>720.39015269599895</v>
      </c>
      <c r="AR26" s="3283">
        <f t="shared" si="5"/>
        <v>920.39015269599895</v>
      </c>
      <c r="AS26" s="3287">
        <f t="shared" si="8"/>
        <v>240.13005089866647</v>
      </c>
    </row>
    <row r="27" spans="3:45" s="3280" customFormat="1" ht="20.100000000000001" customHeight="1">
      <c r="C27" s="3290"/>
      <c r="N27" s="3309"/>
      <c r="O27" s="3293"/>
      <c r="P27" s="3303" t="s">
        <v>1036</v>
      </c>
      <c r="Q27" s="3304" t="s">
        <v>1012</v>
      </c>
      <c r="R27" s="3299">
        <v>240</v>
      </c>
      <c r="S27" s="3299"/>
      <c r="T27" s="3299">
        <v>390</v>
      </c>
      <c r="V27" s="3293"/>
      <c r="Y27" s="3319" t="s">
        <v>1024</v>
      </c>
      <c r="Z27" s="3320">
        <f>R29-R30</f>
        <v>50</v>
      </c>
      <c r="AA27" s="3319" t="s">
        <v>1024</v>
      </c>
      <c r="AB27" s="3321">
        <f>S29-S30</f>
        <v>0</v>
      </c>
      <c r="AC27" s="3319" t="s">
        <v>1024</v>
      </c>
      <c r="AD27" s="3321">
        <f>T29-T30</f>
        <v>200</v>
      </c>
      <c r="AF27" s="3287">
        <v>9.25</v>
      </c>
      <c r="AG27" s="3283">
        <f t="shared" si="0"/>
        <v>200.34369049389286</v>
      </c>
      <c r="AH27" s="3283">
        <f t="shared" si="1"/>
        <v>250.34369049389286</v>
      </c>
      <c r="AI27" s="3287">
        <f t="shared" si="6"/>
        <v>57.04734471925272</v>
      </c>
      <c r="AK27" s="3287">
        <v>9.25</v>
      </c>
      <c r="AL27" s="3283">
        <f t="shared" si="2"/>
        <v>0</v>
      </c>
      <c r="AM27" s="3283">
        <f t="shared" si="3"/>
        <v>0</v>
      </c>
      <c r="AN27" s="3287">
        <f t="shared" si="7"/>
        <v>0</v>
      </c>
      <c r="AP27" s="3287">
        <v>9.25</v>
      </c>
      <c r="AQ27" s="3283">
        <f t="shared" si="4"/>
        <v>740.40099027088786</v>
      </c>
      <c r="AR27" s="3283">
        <f t="shared" si="5"/>
        <v>940.40099027088786</v>
      </c>
      <c r="AS27" s="3287">
        <f t="shared" si="8"/>
        <v>210.82725599360452</v>
      </c>
    </row>
    <row r="28" spans="3:45" s="3280" customFormat="1" ht="20.100000000000001" customHeight="1">
      <c r="C28" s="3290"/>
      <c r="N28" s="3322"/>
      <c r="O28" s="3306"/>
      <c r="P28" s="3307" t="s">
        <v>1035</v>
      </c>
      <c r="Q28" s="3308"/>
      <c r="R28" s="3299">
        <f>MAX('CU_Multi Saturasi pmdtn'!G32:G47)</f>
        <v>0.97499999999999998</v>
      </c>
      <c r="S28" s="3299"/>
      <c r="T28" s="3299">
        <f>'CU_Multi Saturasi pmdtn'!G119</f>
        <v>0.98</v>
      </c>
      <c r="V28" s="3293"/>
      <c r="Y28" s="3319" t="s">
        <v>1022</v>
      </c>
      <c r="Z28" s="3323">
        <f>Z27+Z29</f>
        <v>266.58777350691122</v>
      </c>
      <c r="AA28" s="3319" t="s">
        <v>1022</v>
      </c>
      <c r="AB28" s="3324">
        <f>AB27+AB29</f>
        <v>0</v>
      </c>
      <c r="AC28" s="3319" t="s">
        <v>1022</v>
      </c>
      <c r="AD28" s="3324">
        <f>AD27+AD29</f>
        <v>1000.4335029955545</v>
      </c>
      <c r="AF28" s="3287">
        <v>9.5</v>
      </c>
      <c r="AG28" s="3283">
        <f t="shared" si="0"/>
        <v>205.75838483156565</v>
      </c>
      <c r="AH28" s="3283">
        <f t="shared" si="1"/>
        <v>255.75838483156565</v>
      </c>
      <c r="AI28" s="3287">
        <f t="shared" si="6"/>
        <v>47.204210856155129</v>
      </c>
      <c r="AK28" s="3287">
        <v>9.5</v>
      </c>
      <c r="AL28" s="3283">
        <f t="shared" si="2"/>
        <v>0</v>
      </c>
      <c r="AM28" s="3283">
        <f t="shared" si="3"/>
        <v>0</v>
      </c>
      <c r="AN28" s="3287">
        <f t="shared" si="7"/>
        <v>0</v>
      </c>
      <c r="AP28" s="3287">
        <v>9.5</v>
      </c>
      <c r="AQ28" s="3283">
        <f t="shared" si="4"/>
        <v>760.41182784577666</v>
      </c>
      <c r="AR28" s="3283">
        <f t="shared" si="5"/>
        <v>960.41182784577666</v>
      </c>
      <c r="AS28" s="3287">
        <f t="shared" si="8"/>
        <v>174.45043752909439</v>
      </c>
    </row>
    <row r="29" spans="3:45" s="3280" customFormat="1" ht="20.100000000000001" customHeight="1">
      <c r="C29" s="3290"/>
      <c r="D29" s="3325"/>
      <c r="N29" s="3309" t="s">
        <v>966</v>
      </c>
      <c r="O29" s="3296"/>
      <c r="P29" s="3326" t="s">
        <v>915</v>
      </c>
      <c r="Q29" s="3311" t="s">
        <v>1012</v>
      </c>
      <c r="R29" s="3299">
        <f>'Cu_Multi Consol pmdtn'!F16</f>
        <v>240</v>
      </c>
      <c r="S29" s="3299"/>
      <c r="T29" s="3299">
        <f>'Cu_Multi Consol pmdtn'!$F$144</f>
        <v>390</v>
      </c>
      <c r="V29" s="3293"/>
      <c r="Y29" s="3319" t="s">
        <v>1021</v>
      </c>
      <c r="Z29" s="3320">
        <f>R38</f>
        <v>216.58777350691122</v>
      </c>
      <c r="AA29" s="3319" t="s">
        <v>1021</v>
      </c>
      <c r="AB29" s="3321">
        <f>S38</f>
        <v>0</v>
      </c>
      <c r="AC29" s="3319" t="s">
        <v>1021</v>
      </c>
      <c r="AD29" s="3321">
        <f>T38</f>
        <v>800.43350299555448</v>
      </c>
      <c r="AF29" s="3287">
        <v>9.75</v>
      </c>
      <c r="AG29" s="3283">
        <f t="shared" si="0"/>
        <v>211.17307916923843</v>
      </c>
      <c r="AH29" s="3283">
        <f t="shared" si="1"/>
        <v>261.17307916923846</v>
      </c>
      <c r="AI29" s="3287">
        <f t="shared" si="6"/>
        <v>33.81475530070567</v>
      </c>
      <c r="AK29" s="3287">
        <v>9.75</v>
      </c>
      <c r="AL29" s="3283">
        <f t="shared" si="2"/>
        <v>0</v>
      </c>
      <c r="AM29" s="3283">
        <f t="shared" si="3"/>
        <v>0</v>
      </c>
      <c r="AN29" s="3287">
        <f t="shared" si="7"/>
        <v>0</v>
      </c>
      <c r="AP29" s="3287">
        <v>9.75</v>
      </c>
      <c r="AQ29" s="3283">
        <f t="shared" si="4"/>
        <v>780.42266542066557</v>
      </c>
      <c r="AR29" s="3283">
        <f t="shared" si="5"/>
        <v>980.42266542066557</v>
      </c>
      <c r="AS29" s="3287">
        <f t="shared" si="8"/>
        <v>124.96764060145664</v>
      </c>
    </row>
    <row r="30" spans="3:45" s="3280" customFormat="1" ht="20.100000000000001" customHeight="1">
      <c r="C30" s="3290"/>
      <c r="N30" s="3327" t="s">
        <v>1031</v>
      </c>
      <c r="O30" s="3293"/>
      <c r="P30" s="3328" t="s">
        <v>914</v>
      </c>
      <c r="Q30" s="3304" t="s">
        <v>1012</v>
      </c>
      <c r="R30" s="3299">
        <f>'Cu_Multi Consol pmdtn'!F17</f>
        <v>190</v>
      </c>
      <c r="S30" s="3299"/>
      <c r="T30" s="3299">
        <f>'Cu_Multi Consol pmdtn'!$F$145</f>
        <v>190</v>
      </c>
      <c r="U30" s="3282"/>
      <c r="V30" s="3329"/>
      <c r="W30" s="3282"/>
      <c r="Y30" s="3319" t="s">
        <v>1020</v>
      </c>
      <c r="Z30" s="3320">
        <f>(Z28-Z27)/2</f>
        <v>108.29388675345561</v>
      </c>
      <c r="AA30" s="3319" t="s">
        <v>1020</v>
      </c>
      <c r="AB30" s="3321">
        <f>(AB28-AB27)/2</f>
        <v>0</v>
      </c>
      <c r="AC30" s="3319" t="s">
        <v>1020</v>
      </c>
      <c r="AD30" s="3321">
        <f>(AD28-AD27)/2</f>
        <v>400.21675149777724</v>
      </c>
      <c r="AF30" s="3287">
        <v>9.85</v>
      </c>
      <c r="AG30" s="3283">
        <f t="shared" si="0"/>
        <v>213.33895690430754</v>
      </c>
      <c r="AH30" s="3283">
        <f t="shared" si="1"/>
        <v>263.33895690430757</v>
      </c>
      <c r="AI30" s="3287">
        <f t="shared" si="6"/>
        <v>26.326776201670913</v>
      </c>
      <c r="AK30" s="3287">
        <v>9.85</v>
      </c>
      <c r="AL30" s="3283">
        <f t="shared" si="2"/>
        <v>0</v>
      </c>
      <c r="AM30" s="3283">
        <f t="shared" si="3"/>
        <v>0</v>
      </c>
      <c r="AN30" s="3287">
        <f t="shared" si="7"/>
        <v>0</v>
      </c>
      <c r="AP30" s="3287">
        <v>9.85</v>
      </c>
      <c r="AQ30" s="3283">
        <f t="shared" si="4"/>
        <v>788.42700045062111</v>
      </c>
      <c r="AR30" s="3283">
        <f t="shared" si="5"/>
        <v>988.42700045062111</v>
      </c>
      <c r="AS30" s="3287">
        <f t="shared" si="8"/>
        <v>97.294659603724241</v>
      </c>
    </row>
    <row r="31" spans="3:45" s="3280" customFormat="1" ht="20.100000000000001" customHeight="1">
      <c r="C31" s="3290"/>
      <c r="D31" s="4875"/>
      <c r="E31" s="4875"/>
      <c r="I31" s="4875"/>
      <c r="J31" s="4875"/>
      <c r="K31" s="4875"/>
      <c r="L31" s="4875"/>
      <c r="M31" s="3313" t="s">
        <v>1034</v>
      </c>
      <c r="N31" s="3327"/>
      <c r="O31" s="3293"/>
      <c r="P31" s="3328" t="s">
        <v>1030</v>
      </c>
      <c r="Q31" s="3304" t="s">
        <v>1012</v>
      </c>
      <c r="R31" s="3299">
        <f>'Cu_Multi Consol pmdtn'!F18</f>
        <v>229</v>
      </c>
      <c r="S31" s="3299"/>
      <c r="T31" s="3299">
        <f>'Cu_Multi Consol pmdtn'!$F$146</f>
        <v>373</v>
      </c>
      <c r="U31" s="3330"/>
      <c r="V31" s="3331"/>
      <c r="W31" s="3330"/>
      <c r="Y31" s="3319" t="s">
        <v>1019</v>
      </c>
      <c r="Z31" s="3320">
        <f>(Z28+Z27)/2</f>
        <v>158.29388675345561</v>
      </c>
      <c r="AA31" s="3319" t="s">
        <v>1019</v>
      </c>
      <c r="AB31" s="3321">
        <f>(AB28+AB27)/2</f>
        <v>0</v>
      </c>
      <c r="AC31" s="3319" t="s">
        <v>1019</v>
      </c>
      <c r="AD31" s="3321">
        <f>(AD28+AD27)/2</f>
        <v>600.2167514977773</v>
      </c>
      <c r="AF31" s="3287">
        <v>9.9</v>
      </c>
      <c r="AG31" s="3283">
        <f t="shared" si="0"/>
        <v>214.42189577184212</v>
      </c>
      <c r="AH31" s="3283">
        <f t="shared" si="1"/>
        <v>264.42189577184212</v>
      </c>
      <c r="AI31" s="3287">
        <f t="shared" si="6"/>
        <v>21.550211367027035</v>
      </c>
      <c r="AK31" s="3287">
        <v>9.9</v>
      </c>
      <c r="AL31" s="3283">
        <f t="shared" si="2"/>
        <v>0</v>
      </c>
      <c r="AM31" s="3283">
        <f t="shared" si="3"/>
        <v>0</v>
      </c>
      <c r="AN31" s="3287">
        <f t="shared" si="7"/>
        <v>0</v>
      </c>
      <c r="AP31" s="3287">
        <v>9.9</v>
      </c>
      <c r="AQ31" s="3283">
        <f t="shared" si="4"/>
        <v>792.42916796559894</v>
      </c>
      <c r="AR31" s="3283">
        <f t="shared" si="5"/>
        <v>992.42916796559894</v>
      </c>
      <c r="AS31" s="3287">
        <f t="shared" si="8"/>
        <v>79.642127971982177</v>
      </c>
    </row>
    <row r="32" spans="3:45" s="3334" customFormat="1" ht="20.100000000000001" customHeight="1">
      <c r="C32" s="3332"/>
      <c r="D32" s="3333"/>
      <c r="E32" s="3333"/>
      <c r="G32" s="3333"/>
      <c r="I32" s="3333"/>
      <c r="J32" s="3333"/>
      <c r="K32" s="3333"/>
      <c r="L32" s="3333"/>
      <c r="M32" s="3333"/>
      <c r="N32" s="3322"/>
      <c r="O32" s="3306"/>
      <c r="P32" s="3335" t="s">
        <v>1033</v>
      </c>
      <c r="Q32" s="3308" t="s">
        <v>1012</v>
      </c>
      <c r="R32" s="3299">
        <f>'Cu_Multi Consol pmdtn'!F17</f>
        <v>190</v>
      </c>
      <c r="S32" s="3299"/>
      <c r="T32" s="3299">
        <f>'Cu_Multi Consol pmdtn'!F81</f>
        <v>190</v>
      </c>
      <c r="U32" s="3336"/>
      <c r="V32" s="3337"/>
      <c r="W32" s="3336"/>
      <c r="Y32" s="3319"/>
      <c r="Z32" s="3319"/>
      <c r="AA32" s="3319"/>
      <c r="AB32" s="3319"/>
      <c r="AC32" s="3319"/>
      <c r="AD32" s="3319"/>
      <c r="AE32" s="3280"/>
      <c r="AF32" s="3287">
        <v>9.98</v>
      </c>
      <c r="AG32" s="3283">
        <f t="shared" si="0"/>
        <v>216.15459795989739</v>
      </c>
      <c r="AH32" s="3283">
        <f t="shared" si="1"/>
        <v>266.15459795989739</v>
      </c>
      <c r="AI32" s="3287">
        <f t="shared" si="6"/>
        <v>9.6764087455436183</v>
      </c>
      <c r="AK32" s="3287">
        <v>9.98</v>
      </c>
      <c r="AL32" s="3283">
        <f t="shared" si="2"/>
        <v>0</v>
      </c>
      <c r="AM32" s="3283">
        <f t="shared" si="3"/>
        <v>0</v>
      </c>
      <c r="AN32" s="3287">
        <f t="shared" si="7"/>
        <v>0</v>
      </c>
      <c r="AP32" s="3287">
        <v>9.98</v>
      </c>
      <c r="AQ32" s="3283">
        <f t="shared" si="4"/>
        <v>798.8326359895633</v>
      </c>
      <c r="AR32" s="3283">
        <f t="shared" si="5"/>
        <v>998.8326359895633</v>
      </c>
      <c r="AS32" s="3287">
        <f t="shared" si="8"/>
        <v>35.760660092686507</v>
      </c>
    </row>
    <row r="33" spans="3:45" s="3280" customFormat="1" ht="20.100000000000001" customHeight="1">
      <c r="C33" s="3290"/>
      <c r="E33" s="3313"/>
      <c r="G33" s="3313"/>
      <c r="I33" s="3313"/>
      <c r="J33" s="3313"/>
      <c r="K33" s="3313"/>
      <c r="L33" s="3313"/>
      <c r="M33" s="3313"/>
      <c r="N33" s="3327" t="s">
        <v>1032</v>
      </c>
      <c r="O33" s="3296"/>
      <c r="P33" s="3326" t="s">
        <v>915</v>
      </c>
      <c r="Q33" s="3311" t="s">
        <v>1012</v>
      </c>
      <c r="R33" s="3299">
        <f>'Cu_Multi Shear pmdtn'!G14</f>
        <v>240</v>
      </c>
      <c r="S33" s="3299"/>
      <c r="T33" s="3299">
        <f>'Cu_Multi Shear pmdtn'!G148</f>
        <v>390</v>
      </c>
      <c r="U33" s="3330"/>
      <c r="V33" s="3331"/>
      <c r="W33" s="3330"/>
      <c r="Y33" s="3319"/>
      <c r="Z33" s="3319"/>
      <c r="AA33" s="3319"/>
      <c r="AB33" s="3319"/>
      <c r="AC33" s="3319"/>
      <c r="AD33" s="3319"/>
      <c r="AF33" s="3287">
        <v>10</v>
      </c>
      <c r="AG33" s="3283">
        <f t="shared" si="0"/>
        <v>216.58777350691122</v>
      </c>
      <c r="AH33" s="3283">
        <f t="shared" si="1"/>
        <v>266.58777350691122</v>
      </c>
      <c r="AI33" s="3287">
        <f t="shared" si="6"/>
        <v>0</v>
      </c>
      <c r="AK33" s="3287">
        <v>10</v>
      </c>
      <c r="AL33" s="3283">
        <f t="shared" si="2"/>
        <v>0</v>
      </c>
      <c r="AM33" s="3283">
        <f t="shared" si="3"/>
        <v>0</v>
      </c>
      <c r="AN33" s="3287">
        <f t="shared" si="7"/>
        <v>0</v>
      </c>
      <c r="AP33" s="3287">
        <v>10</v>
      </c>
      <c r="AQ33" s="3283">
        <f t="shared" si="4"/>
        <v>800.43350299555436</v>
      </c>
      <c r="AR33" s="3283">
        <f t="shared" si="5"/>
        <v>1000.4335029955544</v>
      </c>
      <c r="AS33" s="3287">
        <v>0</v>
      </c>
    </row>
    <row r="34" spans="3:45" s="3280" customFormat="1" ht="20.100000000000001" customHeight="1">
      <c r="C34" s="3290"/>
      <c r="D34" s="3338"/>
      <c r="E34" s="3339"/>
      <c r="G34" s="3340"/>
      <c r="I34" s="3313"/>
      <c r="J34" s="3341"/>
      <c r="K34" s="3338"/>
      <c r="L34" s="3313"/>
      <c r="M34" s="3313"/>
      <c r="N34" s="3327" t="s">
        <v>1031</v>
      </c>
      <c r="O34" s="3293"/>
      <c r="P34" s="3328" t="s">
        <v>1030</v>
      </c>
      <c r="Q34" s="3304" t="s">
        <v>1012</v>
      </c>
      <c r="R34" s="3299">
        <f>'Cu_Multi Shear pmdtn'!I25</f>
        <v>190</v>
      </c>
      <c r="S34" s="3299"/>
      <c r="T34" s="3299">
        <f>'Cu_Multi Shear pmdtn'!I159</f>
        <v>190</v>
      </c>
      <c r="U34" s="3330"/>
      <c r="V34" s="3331"/>
      <c r="W34" s="3330"/>
      <c r="Z34" s="3301"/>
      <c r="AB34" s="3301"/>
      <c r="AD34" s="3301"/>
      <c r="AI34" s="3301"/>
      <c r="AN34" s="3301"/>
      <c r="AS34" s="3301"/>
    </row>
    <row r="35" spans="3:45" s="3280" customFormat="1" ht="20.100000000000001" customHeight="1">
      <c r="C35" s="3290"/>
      <c r="D35" s="3338"/>
      <c r="E35" s="3339"/>
      <c r="G35" s="3340"/>
      <c r="I35" s="3313"/>
      <c r="J35" s="3341"/>
      <c r="K35" s="3338"/>
      <c r="L35" s="3313"/>
      <c r="M35" s="3313"/>
      <c r="N35" s="3327"/>
      <c r="O35" s="3293"/>
      <c r="P35" s="3328" t="s">
        <v>1029</v>
      </c>
      <c r="Q35" s="3304" t="s">
        <v>1012</v>
      </c>
      <c r="R35" s="3299">
        <f>'Cu_Multi Shear pmdtn'!O25</f>
        <v>50</v>
      </c>
      <c r="S35" s="3299"/>
      <c r="T35" s="3299">
        <f>'Cu_Multi Shear pmdtn'!O159</f>
        <v>200</v>
      </c>
      <c r="U35" s="3282"/>
      <c r="V35" s="3329"/>
      <c r="W35" s="3282"/>
      <c r="Z35" s="3301"/>
      <c r="AB35" s="3301"/>
      <c r="AD35" s="3301"/>
    </row>
    <row r="36" spans="3:45" s="3280" customFormat="1" ht="20.100000000000001" customHeight="1">
      <c r="C36" s="3290"/>
      <c r="D36" s="3338"/>
      <c r="E36" s="3339"/>
      <c r="G36" s="3340"/>
      <c r="I36" s="3313"/>
      <c r="J36" s="3341"/>
      <c r="K36" s="3338"/>
      <c r="L36" s="3313"/>
      <c r="M36" s="3313"/>
      <c r="N36" s="3322"/>
      <c r="O36" s="3306"/>
      <c r="P36" s="3335" t="s">
        <v>1028</v>
      </c>
      <c r="Q36" s="3342" t="s">
        <v>1027</v>
      </c>
      <c r="R36" s="3299">
        <v>2.5</v>
      </c>
      <c r="S36" s="3299"/>
      <c r="T36" s="3299">
        <v>2.5</v>
      </c>
      <c r="U36" s="3282"/>
      <c r="V36" s="3329"/>
      <c r="W36" s="3282"/>
      <c r="Y36" s="3318" t="s">
        <v>1026</v>
      </c>
      <c r="Z36" s="3319"/>
      <c r="AA36" s="3318"/>
      <c r="AB36" s="3319"/>
      <c r="AC36" s="3318"/>
      <c r="AD36" s="3319"/>
      <c r="AF36" s="3319"/>
      <c r="AG36" s="3319"/>
      <c r="AH36" s="3319"/>
      <c r="AI36" s="3319"/>
      <c r="AK36" s="3319"/>
      <c r="AL36" s="3319"/>
      <c r="AM36" s="3319"/>
      <c r="AN36" s="3319"/>
      <c r="AP36" s="3319"/>
      <c r="AQ36" s="3319"/>
      <c r="AR36" s="3319"/>
      <c r="AS36" s="3319"/>
    </row>
    <row r="37" spans="3:45" s="3280" customFormat="1" ht="20.100000000000001" customHeight="1">
      <c r="C37" s="3290"/>
      <c r="D37" s="3338"/>
      <c r="E37" s="3339"/>
      <c r="G37" s="3340"/>
      <c r="I37" s="3313"/>
      <c r="J37" s="3341"/>
      <c r="K37" s="3338"/>
      <c r="L37" s="3313"/>
      <c r="M37" s="3313"/>
      <c r="N37" s="3327" t="s">
        <v>981</v>
      </c>
      <c r="O37" s="3296"/>
      <c r="P37" s="3326" t="s">
        <v>573</v>
      </c>
      <c r="Q37" s="3343" t="s">
        <v>1</v>
      </c>
      <c r="R37" s="3299">
        <f>'Cu_Multi Shear pmdtn'!U29</f>
        <v>8.5819910219170854</v>
      </c>
      <c r="S37" s="3299"/>
      <c r="T37" s="3299">
        <f>'Cu_Multi Shear pmdtn'!U163</f>
        <v>11.882756799577503</v>
      </c>
      <c r="U37" s="3282"/>
      <c r="V37" s="3329"/>
      <c r="W37" s="3282"/>
      <c r="Y37" s="3319" t="s">
        <v>1025</v>
      </c>
      <c r="Z37" s="3320">
        <f>R40</f>
        <v>38</v>
      </c>
      <c r="AA37" s="3319" t="s">
        <v>1024</v>
      </c>
      <c r="AB37" s="3321">
        <f>S40</f>
        <v>0</v>
      </c>
      <c r="AC37" s="3319" t="s">
        <v>1024</v>
      </c>
      <c r="AD37" s="3321">
        <f>T40</f>
        <v>151</v>
      </c>
      <c r="AF37" s="3319"/>
      <c r="AG37" s="3319"/>
      <c r="AH37" s="3319"/>
      <c r="AI37" s="3319"/>
      <c r="AK37" s="3319"/>
      <c r="AL37" s="3319"/>
      <c r="AM37" s="3319"/>
      <c r="AN37" s="3319"/>
      <c r="AP37" s="3319"/>
      <c r="AQ37" s="3319"/>
      <c r="AR37" s="3319"/>
      <c r="AS37" s="3319"/>
    </row>
    <row r="38" spans="3:45" s="3280" customFormat="1" ht="20.100000000000001" customHeight="1">
      <c r="C38" s="3290"/>
      <c r="D38" s="3338"/>
      <c r="E38" s="3339"/>
      <c r="G38" s="3340"/>
      <c r="I38" s="3313"/>
      <c r="J38" s="3341"/>
      <c r="K38" s="3338"/>
      <c r="L38" s="3313"/>
      <c r="M38" s="3313"/>
      <c r="N38" s="3327" t="s">
        <v>980</v>
      </c>
      <c r="O38" s="3293"/>
      <c r="P38" s="3328" t="s">
        <v>979</v>
      </c>
      <c r="Q38" s="3304" t="s">
        <v>1012</v>
      </c>
      <c r="R38" s="3299">
        <f>'Cu_Multi Shear pmdtn'!U30</f>
        <v>216.58777350691122</v>
      </c>
      <c r="S38" s="3299"/>
      <c r="T38" s="3299">
        <f>'Cu_Multi Shear pmdtn'!U164</f>
        <v>800.43350299555448</v>
      </c>
      <c r="U38" s="3282"/>
      <c r="V38" s="3329"/>
      <c r="W38" s="3282"/>
      <c r="Y38" s="3319" t="s">
        <v>1023</v>
      </c>
      <c r="Z38" s="3323">
        <f>R41</f>
        <v>254.58777350691122</v>
      </c>
      <c r="AA38" s="3319" t="s">
        <v>1022</v>
      </c>
      <c r="AB38" s="3324">
        <f>S41</f>
        <v>0</v>
      </c>
      <c r="AC38" s="3319" t="s">
        <v>1022</v>
      </c>
      <c r="AD38" s="3324">
        <f>T41</f>
        <v>951.43350299555459</v>
      </c>
      <c r="AF38" s="3283">
        <v>0</v>
      </c>
      <c r="AG38" s="3283">
        <f t="shared" ref="AG38:AG60" si="9">AF38*($Z$39/10)</f>
        <v>0</v>
      </c>
      <c r="AH38" s="3283">
        <f t="shared" ref="AH38:AH60" si="10">AG38+$Z$37</f>
        <v>38</v>
      </c>
      <c r="AI38" s="3283">
        <v>0</v>
      </c>
      <c r="AK38" s="3283">
        <v>0</v>
      </c>
      <c r="AL38" s="3283">
        <f t="shared" ref="AL38:AL60" si="11">AK38*($AB$39/10)</f>
        <v>0</v>
      </c>
      <c r="AM38" s="3283">
        <f t="shared" ref="AM38:AM60" si="12">AL38+$AB$37</f>
        <v>0</v>
      </c>
      <c r="AN38" s="3283">
        <v>0</v>
      </c>
      <c r="AP38" s="3283">
        <v>0</v>
      </c>
      <c r="AQ38" s="3283">
        <f t="shared" ref="AQ38:AQ60" si="13">AP38*($AD$39/10)</f>
        <v>0</v>
      </c>
      <c r="AR38" s="3283">
        <f t="shared" ref="AR38:AR60" si="14">AQ38+$AD$37</f>
        <v>151</v>
      </c>
      <c r="AS38" s="3283">
        <v>0</v>
      </c>
    </row>
    <row r="39" spans="3:45" s="3280" customFormat="1" ht="20.100000000000001" customHeight="1">
      <c r="C39" s="3290"/>
      <c r="D39" s="3338"/>
      <c r="E39" s="3340"/>
      <c r="G39" s="3340"/>
      <c r="I39" s="3338"/>
      <c r="J39" s="3341"/>
      <c r="K39" s="3338"/>
      <c r="L39" s="3313"/>
      <c r="M39" s="3340"/>
      <c r="N39" s="3327"/>
      <c r="O39" s="3293"/>
      <c r="P39" s="3328" t="s">
        <v>978</v>
      </c>
      <c r="Q39" s="3304" t="s">
        <v>1012</v>
      </c>
      <c r="R39" s="3344">
        <f>'Cu_Multi Shear pmdtn'!U31</f>
        <v>202</v>
      </c>
      <c r="S39" s="3299"/>
      <c r="T39" s="3299">
        <f>'Cu_Multi Shear pmdtn'!U165</f>
        <v>239</v>
      </c>
      <c r="U39" s="3282"/>
      <c r="V39" s="3329"/>
      <c r="W39" s="3282"/>
      <c r="Y39" s="3319" t="s">
        <v>1021</v>
      </c>
      <c r="Z39" s="3320">
        <f>Z38-Z37</f>
        <v>216.58777350691122</v>
      </c>
      <c r="AA39" s="3319" t="s">
        <v>1021</v>
      </c>
      <c r="AB39" s="3321">
        <f>AB38-AB37</f>
        <v>0</v>
      </c>
      <c r="AC39" s="3319" t="s">
        <v>1021</v>
      </c>
      <c r="AD39" s="3321">
        <f>AD38-AD37</f>
        <v>800.43350299555459</v>
      </c>
      <c r="AF39" s="3286">
        <v>0.02</v>
      </c>
      <c r="AG39" s="3283">
        <f t="shared" si="9"/>
        <v>0.43317554701382244</v>
      </c>
      <c r="AH39" s="3283">
        <f t="shared" si="10"/>
        <v>38.433175547013825</v>
      </c>
      <c r="AI39" s="3287">
        <f t="shared" ref="AI39:AI60" si="15">SQRT($Z$40^2-($Z$40-AG39)^2)</f>
        <v>9.6764087455435241</v>
      </c>
      <c r="AK39" s="3286">
        <v>0.02</v>
      </c>
      <c r="AL39" s="3283">
        <f t="shared" si="11"/>
        <v>0</v>
      </c>
      <c r="AM39" s="3283">
        <f t="shared" si="12"/>
        <v>0</v>
      </c>
      <c r="AN39" s="3287">
        <f t="shared" ref="AN39:AN60" si="16">SQRT($AB$40^2-($AB$40-AL39)^2)</f>
        <v>0</v>
      </c>
      <c r="AP39" s="3286">
        <v>0.02</v>
      </c>
      <c r="AQ39" s="3283">
        <f t="shared" si="13"/>
        <v>1.6008670059911092</v>
      </c>
      <c r="AR39" s="3283">
        <f t="shared" si="14"/>
        <v>152.60086700599112</v>
      </c>
      <c r="AS39" s="3287">
        <f t="shared" ref="AS39:AS60" si="17">SQRT($AD$40^2-($AD$40-AQ39)^2)</f>
        <v>35.76066009268569</v>
      </c>
    </row>
    <row r="40" spans="3:45" s="3280" customFormat="1" ht="20.100000000000001" customHeight="1">
      <c r="C40" s="3290"/>
      <c r="D40" s="3338"/>
      <c r="E40" s="3340"/>
      <c r="G40" s="3340"/>
      <c r="I40" s="3338"/>
      <c r="J40" s="3341"/>
      <c r="K40" s="3338"/>
      <c r="L40" s="3313"/>
      <c r="M40" s="3340"/>
      <c r="N40" s="3327"/>
      <c r="O40" s="3293"/>
      <c r="P40" s="3328" t="s">
        <v>977</v>
      </c>
      <c r="Q40" s="3304" t="s">
        <v>1012</v>
      </c>
      <c r="R40" s="3344">
        <f>'Cu_Multi Shear pmdtn'!U32</f>
        <v>38</v>
      </c>
      <c r="S40" s="3299"/>
      <c r="T40" s="3299">
        <f>'Cu_Multi Shear pmdtn'!U166</f>
        <v>151</v>
      </c>
      <c r="U40" s="3282"/>
      <c r="V40" s="3329"/>
      <c r="W40" s="3282"/>
      <c r="Y40" s="3319" t="s">
        <v>1020</v>
      </c>
      <c r="Z40" s="3320">
        <f>(Z38-Z37)/2</f>
        <v>108.29388675345561</v>
      </c>
      <c r="AA40" s="3319" t="s">
        <v>1020</v>
      </c>
      <c r="AB40" s="3321">
        <f>(AB38-AB37)/2</f>
        <v>0</v>
      </c>
      <c r="AC40" s="3319" t="s">
        <v>1020</v>
      </c>
      <c r="AD40" s="3321">
        <f>(AD38-AD37)/2</f>
        <v>400.2167514977773</v>
      </c>
      <c r="AF40" s="3286">
        <v>0.1</v>
      </c>
      <c r="AG40" s="3283">
        <f t="shared" si="9"/>
        <v>2.1658777350691123</v>
      </c>
      <c r="AH40" s="3283">
        <f t="shared" si="10"/>
        <v>40.16587773506911</v>
      </c>
      <c r="AI40" s="3287">
        <f t="shared" si="15"/>
        <v>21.550211367027117</v>
      </c>
      <c r="AK40" s="3286">
        <v>0.1</v>
      </c>
      <c r="AL40" s="3283">
        <f t="shared" si="11"/>
        <v>0</v>
      </c>
      <c r="AM40" s="3283">
        <f t="shared" si="12"/>
        <v>0</v>
      </c>
      <c r="AN40" s="3287">
        <f t="shared" si="16"/>
        <v>0</v>
      </c>
      <c r="AP40" s="3286">
        <v>0.1</v>
      </c>
      <c r="AQ40" s="3283">
        <f t="shared" si="13"/>
        <v>8.0043350299555467</v>
      </c>
      <c r="AR40" s="3283">
        <f t="shared" si="14"/>
        <v>159.00433502995554</v>
      </c>
      <c r="AS40" s="3287">
        <f t="shared" si="17"/>
        <v>79.642127971981992</v>
      </c>
    </row>
    <row r="41" spans="3:45" s="3280" customFormat="1" ht="20.100000000000001" customHeight="1">
      <c r="C41" s="3290"/>
      <c r="D41" s="3338"/>
      <c r="E41" s="3340"/>
      <c r="G41" s="3340"/>
      <c r="I41" s="3338"/>
      <c r="J41" s="3341"/>
      <c r="K41" s="3338"/>
      <c r="L41" s="3313"/>
      <c r="M41" s="3340"/>
      <c r="N41" s="3322"/>
      <c r="O41" s="3306"/>
      <c r="P41" s="3335" t="s">
        <v>976</v>
      </c>
      <c r="Q41" s="3308" t="s">
        <v>1012</v>
      </c>
      <c r="R41" s="3344">
        <f>'Cu_Multi Shear pmdtn'!U33</f>
        <v>254.58777350691122</v>
      </c>
      <c r="S41" s="3299"/>
      <c r="T41" s="3299">
        <f>'Cu_Multi Shear pmdtn'!U167</f>
        <v>951.43350299555459</v>
      </c>
      <c r="U41" s="3282"/>
      <c r="V41" s="3329"/>
      <c r="W41" s="3282"/>
      <c r="Y41" s="3319" t="s">
        <v>1019</v>
      </c>
      <c r="Z41" s="3320">
        <f>(Z39+Z37)/2</f>
        <v>127.29388675345561</v>
      </c>
      <c r="AA41" s="3319" t="s">
        <v>1019</v>
      </c>
      <c r="AB41" s="3321">
        <f>(AB39+AB37)/2</f>
        <v>0</v>
      </c>
      <c r="AC41" s="3319" t="s">
        <v>1019</v>
      </c>
      <c r="AD41" s="3321">
        <f>(AD38+AD37)/2</f>
        <v>551.2167514977773</v>
      </c>
      <c r="AF41" s="3286">
        <v>0.15</v>
      </c>
      <c r="AG41" s="3283">
        <f t="shared" si="9"/>
        <v>3.248816602603668</v>
      </c>
      <c r="AH41" s="3283">
        <f t="shared" si="10"/>
        <v>41.248816602603668</v>
      </c>
      <c r="AI41" s="3287">
        <f t="shared" si="15"/>
        <v>26.326776201670878</v>
      </c>
      <c r="AK41" s="3286">
        <v>0.15</v>
      </c>
      <c r="AL41" s="3283">
        <f t="shared" si="11"/>
        <v>0</v>
      </c>
      <c r="AM41" s="3283">
        <f t="shared" si="12"/>
        <v>0</v>
      </c>
      <c r="AN41" s="3287">
        <f t="shared" si="16"/>
        <v>0</v>
      </c>
      <c r="AP41" s="3286">
        <v>0.15</v>
      </c>
      <c r="AQ41" s="3283">
        <f t="shared" si="13"/>
        <v>12.006502544933317</v>
      </c>
      <c r="AR41" s="3283">
        <f t="shared" si="14"/>
        <v>163.00650254493331</v>
      </c>
      <c r="AS41" s="3287">
        <f t="shared" si="17"/>
        <v>97.294659603723943</v>
      </c>
    </row>
    <row r="42" spans="3:45" s="3280" customFormat="1" ht="20.100000000000001" customHeight="1">
      <c r="C42" s="3290"/>
      <c r="D42" s="3338"/>
      <c r="E42" s="3340"/>
      <c r="G42" s="3340"/>
      <c r="I42" s="3338"/>
      <c r="J42" s="3341"/>
      <c r="K42" s="3338"/>
      <c r="L42" s="3313"/>
      <c r="M42" s="3340"/>
      <c r="N42" s="3309" t="s">
        <v>966</v>
      </c>
      <c r="O42" s="3296"/>
      <c r="P42" s="3326" t="s">
        <v>1018</v>
      </c>
      <c r="Q42" s="3345" t="s">
        <v>1017</v>
      </c>
      <c r="R42" s="3344">
        <f>'Cu_Multi Consol pmdtn'!K62</f>
        <v>384</v>
      </c>
      <c r="S42" s="3299"/>
      <c r="T42" s="3299">
        <f>'Cu_Multi Consol pmdtn'!K190</f>
        <v>355.02958579881653</v>
      </c>
      <c r="U42" s="3282"/>
      <c r="V42" s="3329"/>
      <c r="W42" s="3282"/>
      <c r="Y42" s="3319"/>
      <c r="Z42" s="3319"/>
      <c r="AA42" s="3319"/>
      <c r="AB42" s="3319"/>
      <c r="AC42" s="3319"/>
      <c r="AD42" s="3319"/>
      <c r="AF42" s="3287">
        <v>0.25</v>
      </c>
      <c r="AG42" s="3283">
        <f t="shared" si="9"/>
        <v>5.4146943376727803</v>
      </c>
      <c r="AH42" s="3283">
        <f t="shared" si="10"/>
        <v>43.414694337672778</v>
      </c>
      <c r="AI42" s="3287">
        <f t="shared" si="15"/>
        <v>33.81475530070567</v>
      </c>
      <c r="AK42" s="3287">
        <v>0.25</v>
      </c>
      <c r="AL42" s="3283">
        <f t="shared" si="11"/>
        <v>0</v>
      </c>
      <c r="AM42" s="3283">
        <f t="shared" si="12"/>
        <v>0</v>
      </c>
      <c r="AN42" s="3287">
        <f t="shared" si="16"/>
        <v>0</v>
      </c>
      <c r="AP42" s="3287">
        <v>0.25</v>
      </c>
      <c r="AQ42" s="3283">
        <f t="shared" si="13"/>
        <v>20.010837574888864</v>
      </c>
      <c r="AR42" s="3283">
        <f t="shared" si="14"/>
        <v>171.01083757488885</v>
      </c>
      <c r="AS42" s="3287">
        <f t="shared" si="17"/>
        <v>124.9676406014564</v>
      </c>
    </row>
    <row r="43" spans="3:45" s="3280" customFormat="1" ht="20.100000000000001" customHeight="1">
      <c r="C43" s="3290"/>
      <c r="D43" s="3338"/>
      <c r="E43" s="3340"/>
      <c r="G43" s="3340"/>
      <c r="I43" s="3338"/>
      <c r="J43" s="3341"/>
      <c r="K43" s="3338"/>
      <c r="L43" s="3313"/>
      <c r="M43" s="3340"/>
      <c r="N43" s="3327" t="s">
        <v>1016</v>
      </c>
      <c r="O43" s="3293"/>
      <c r="P43" s="3328" t="s">
        <v>1015</v>
      </c>
      <c r="Q43" s="3304" t="s">
        <v>1372</v>
      </c>
      <c r="R43" s="3344">
        <f>'Cu_Multi Consol pmdtn'!K61</f>
        <v>0.44474489432861308</v>
      </c>
      <c r="S43" s="3299"/>
      <c r="T43" s="3299">
        <f>'Cu_Multi Consol pmdtn'!K189</f>
        <v>0.16287436719312695</v>
      </c>
      <c r="U43" s="3282"/>
      <c r="V43" s="3329"/>
      <c r="W43" s="3282"/>
      <c r="Y43" s="3319"/>
      <c r="Z43" s="3319"/>
      <c r="AA43" s="3319"/>
      <c r="AB43" s="3319"/>
      <c r="AC43" s="3319"/>
      <c r="AD43" s="3319"/>
      <c r="AF43" s="3287">
        <v>0.5</v>
      </c>
      <c r="AG43" s="3283">
        <f t="shared" si="9"/>
        <v>10.829388675345561</v>
      </c>
      <c r="AH43" s="3283">
        <f t="shared" si="10"/>
        <v>48.829388675345562</v>
      </c>
      <c r="AI43" s="3287">
        <f t="shared" si="15"/>
        <v>47.204210856155093</v>
      </c>
      <c r="AK43" s="3287">
        <v>0.5</v>
      </c>
      <c r="AL43" s="3283">
        <f t="shared" si="11"/>
        <v>0</v>
      </c>
      <c r="AM43" s="3283">
        <f t="shared" si="12"/>
        <v>0</v>
      </c>
      <c r="AN43" s="3287">
        <f t="shared" si="16"/>
        <v>0</v>
      </c>
      <c r="AP43" s="3287">
        <v>0.5</v>
      </c>
      <c r="AQ43" s="3283">
        <f t="shared" si="13"/>
        <v>40.021675149777728</v>
      </c>
      <c r="AR43" s="3283">
        <f t="shared" si="14"/>
        <v>191.02167514977774</v>
      </c>
      <c r="AS43" s="3287">
        <f t="shared" si="17"/>
        <v>174.45043752909413</v>
      </c>
    </row>
    <row r="44" spans="3:45" s="3280" customFormat="1" ht="20.100000000000001" customHeight="1">
      <c r="C44" s="3290"/>
      <c r="D44" s="3338"/>
      <c r="E44" s="3340"/>
      <c r="G44" s="3340"/>
      <c r="I44" s="3338"/>
      <c r="J44" s="3341"/>
      <c r="K44" s="3338"/>
      <c r="L44" s="3313"/>
      <c r="M44" s="3340"/>
      <c r="N44" s="3322"/>
      <c r="O44" s="3306"/>
      <c r="P44" s="3335" t="s">
        <v>518</v>
      </c>
      <c r="Q44" s="3342" t="s">
        <v>1373</v>
      </c>
      <c r="R44" s="4876" t="s">
        <v>1374</v>
      </c>
      <c r="S44" s="4877"/>
      <c r="T44" s="4878"/>
      <c r="U44" s="3282"/>
      <c r="V44" s="3329"/>
      <c r="W44" s="3282"/>
      <c r="AF44" s="3287">
        <v>0.75</v>
      </c>
      <c r="AG44" s="3283">
        <f t="shared" si="9"/>
        <v>16.24408301301834</v>
      </c>
      <c r="AH44" s="3283">
        <f t="shared" si="10"/>
        <v>54.24408301301834</v>
      </c>
      <c r="AI44" s="3287">
        <f t="shared" si="15"/>
        <v>57.047344719252706</v>
      </c>
      <c r="AK44" s="3287">
        <v>0.75</v>
      </c>
      <c r="AL44" s="3283">
        <f t="shared" si="11"/>
        <v>0</v>
      </c>
      <c r="AM44" s="3283">
        <f t="shared" si="12"/>
        <v>0</v>
      </c>
      <c r="AN44" s="3287">
        <f t="shared" si="16"/>
        <v>0</v>
      </c>
      <c r="AP44" s="3287">
        <v>0.75</v>
      </c>
      <c r="AQ44" s="3283">
        <f t="shared" si="13"/>
        <v>60.032512724666589</v>
      </c>
      <c r="AR44" s="3283">
        <f t="shared" si="14"/>
        <v>211.03251272466659</v>
      </c>
      <c r="AS44" s="3287">
        <f t="shared" si="17"/>
        <v>210.82725599360447</v>
      </c>
    </row>
    <row r="45" spans="3:45" s="3280" customFormat="1" ht="20.100000000000001" customHeight="1">
      <c r="C45" s="3290"/>
      <c r="D45" s="3338"/>
      <c r="E45" s="3340"/>
      <c r="G45" s="3340"/>
      <c r="I45" s="3338"/>
      <c r="J45" s="3341"/>
      <c r="K45" s="3338"/>
      <c r="L45" s="3313"/>
      <c r="M45" s="3340"/>
      <c r="N45" s="3346" t="s">
        <v>1014</v>
      </c>
      <c r="O45" s="3282"/>
      <c r="P45" s="3282"/>
      <c r="U45" s="3282"/>
      <c r="V45" s="3329"/>
      <c r="W45" s="3282"/>
      <c r="Z45" s="3294"/>
      <c r="AB45" s="3294"/>
      <c r="AD45" s="3294"/>
      <c r="AF45" s="3287">
        <v>1</v>
      </c>
      <c r="AG45" s="3283">
        <f t="shared" si="9"/>
        <v>21.658777350691121</v>
      </c>
      <c r="AH45" s="3283">
        <f t="shared" si="10"/>
        <v>59.658777350691125</v>
      </c>
      <c r="AI45" s="3287">
        <f t="shared" si="15"/>
        <v>64.976332052073374</v>
      </c>
      <c r="AK45" s="3287">
        <v>1</v>
      </c>
      <c r="AL45" s="3283">
        <f t="shared" si="11"/>
        <v>0</v>
      </c>
      <c r="AM45" s="3283">
        <f t="shared" si="12"/>
        <v>0</v>
      </c>
      <c r="AN45" s="3287">
        <f t="shared" si="16"/>
        <v>0</v>
      </c>
      <c r="AP45" s="3287">
        <v>1</v>
      </c>
      <c r="AQ45" s="3283">
        <f t="shared" si="13"/>
        <v>80.043350299555456</v>
      </c>
      <c r="AR45" s="3283">
        <f t="shared" si="14"/>
        <v>231.04335029955547</v>
      </c>
      <c r="AS45" s="3287">
        <f t="shared" si="17"/>
        <v>240.13005089866638</v>
      </c>
    </row>
    <row r="46" spans="3:45" s="3280" customFormat="1" ht="20.100000000000001" customHeight="1">
      <c r="C46" s="3290"/>
      <c r="D46" s="3338"/>
      <c r="E46" s="3340"/>
      <c r="G46" s="3340"/>
      <c r="I46" s="3338"/>
      <c r="J46" s="3341"/>
      <c r="K46" s="3338"/>
      <c r="L46" s="3313"/>
      <c r="M46" s="3340"/>
      <c r="N46" s="3347" t="s">
        <v>163</v>
      </c>
      <c r="O46" s="3348"/>
      <c r="P46" s="3241" t="s">
        <v>908</v>
      </c>
      <c r="Q46" s="3349">
        <f>J79</f>
        <v>4.2216669731276255</v>
      </c>
      <c r="R46" s="3350"/>
      <c r="S46" s="3351"/>
      <c r="U46" s="3282"/>
      <c r="V46" s="3329"/>
      <c r="W46" s="3282"/>
      <c r="Z46" s="3301"/>
      <c r="AB46" s="3301"/>
      <c r="AD46" s="3301"/>
      <c r="AF46" s="3287">
        <v>2</v>
      </c>
      <c r="AG46" s="3283">
        <f t="shared" si="9"/>
        <v>43.317554701382242</v>
      </c>
      <c r="AH46" s="3283">
        <f t="shared" si="10"/>
        <v>81.31755470138225</v>
      </c>
      <c r="AI46" s="3287">
        <f t="shared" si="15"/>
        <v>86.635109402764499</v>
      </c>
      <c r="AK46" s="3287">
        <v>2</v>
      </c>
      <c r="AL46" s="3283">
        <f t="shared" si="11"/>
        <v>0</v>
      </c>
      <c r="AM46" s="3283">
        <f t="shared" si="12"/>
        <v>0</v>
      </c>
      <c r="AN46" s="3287">
        <f t="shared" si="16"/>
        <v>0</v>
      </c>
      <c r="AP46" s="3287">
        <v>2</v>
      </c>
      <c r="AQ46" s="3283">
        <f t="shared" si="13"/>
        <v>160.08670059911091</v>
      </c>
      <c r="AR46" s="3283">
        <f t="shared" si="14"/>
        <v>311.08670059911094</v>
      </c>
      <c r="AS46" s="3287">
        <f t="shared" si="17"/>
        <v>320.17340119822182</v>
      </c>
    </row>
    <row r="47" spans="3:45" s="3280" customFormat="1" ht="20.100000000000001" customHeight="1">
      <c r="C47" s="3290"/>
      <c r="D47" s="3338"/>
      <c r="E47" s="3340"/>
      <c r="G47" s="3340"/>
      <c r="I47" s="3338"/>
      <c r="J47" s="3341"/>
      <c r="K47" s="3338"/>
      <c r="L47" s="3313"/>
      <c r="M47" s="3340"/>
      <c r="N47" s="3352" t="s">
        <v>354</v>
      </c>
      <c r="O47" s="3353"/>
      <c r="P47" s="3354" t="s">
        <v>188</v>
      </c>
      <c r="Q47" s="3355">
        <f>P79</f>
        <v>33.878040310118287</v>
      </c>
      <c r="R47" s="3356"/>
      <c r="S47" s="3357"/>
      <c r="U47" s="3282"/>
      <c r="V47" s="3329"/>
      <c r="W47" s="3282"/>
      <c r="Z47" s="3301"/>
      <c r="AB47" s="3301"/>
      <c r="AD47" s="3301"/>
      <c r="AF47" s="3287">
        <v>3</v>
      </c>
      <c r="AG47" s="3283">
        <f t="shared" si="9"/>
        <v>64.97633205207336</v>
      </c>
      <c r="AH47" s="3283">
        <f t="shared" si="10"/>
        <v>102.97633205207336</v>
      </c>
      <c r="AI47" s="3287">
        <f t="shared" si="15"/>
        <v>99.252986669737169</v>
      </c>
      <c r="AK47" s="3287">
        <v>3</v>
      </c>
      <c r="AL47" s="3283">
        <f t="shared" si="11"/>
        <v>0</v>
      </c>
      <c r="AM47" s="3283">
        <f t="shared" si="12"/>
        <v>0</v>
      </c>
      <c r="AN47" s="3287">
        <f t="shared" si="16"/>
        <v>0</v>
      </c>
      <c r="AP47" s="3287">
        <v>3</v>
      </c>
      <c r="AQ47" s="3283">
        <f t="shared" si="13"/>
        <v>240.13005089866635</v>
      </c>
      <c r="AR47" s="3283">
        <f t="shared" si="14"/>
        <v>391.13005089866635</v>
      </c>
      <c r="AS47" s="3287">
        <f t="shared" si="17"/>
        <v>366.8047116255791</v>
      </c>
    </row>
    <row r="48" spans="3:45" s="3280" customFormat="1" ht="20.100000000000001" customHeight="1">
      <c r="C48" s="3290"/>
      <c r="D48" s="3338"/>
      <c r="E48" s="3340"/>
      <c r="G48" s="3340"/>
      <c r="I48" s="3338"/>
      <c r="J48" s="3341"/>
      <c r="K48" s="3338"/>
      <c r="L48" s="3313"/>
      <c r="M48" s="3340"/>
      <c r="N48" s="3352" t="s">
        <v>1013</v>
      </c>
      <c r="O48" s="3353"/>
      <c r="P48" s="3250" t="s">
        <v>908</v>
      </c>
      <c r="Q48" s="3355">
        <f>J82</f>
        <v>10.633679085198722</v>
      </c>
      <c r="R48" s="3356"/>
      <c r="S48" s="3357"/>
      <c r="U48" s="3282"/>
      <c r="V48" s="3329"/>
      <c r="W48" s="3282"/>
      <c r="Z48" s="3301"/>
      <c r="AB48" s="3301"/>
      <c r="AD48" s="3301"/>
      <c r="AF48" s="3287">
        <v>4</v>
      </c>
      <c r="AG48" s="3283">
        <f t="shared" si="9"/>
        <v>86.635109402764485</v>
      </c>
      <c r="AH48" s="3283">
        <f t="shared" si="10"/>
        <v>124.63510940276448</v>
      </c>
      <c r="AI48" s="3287">
        <f t="shared" si="15"/>
        <v>106.10590592348504</v>
      </c>
      <c r="AK48" s="3287">
        <v>4</v>
      </c>
      <c r="AL48" s="3283">
        <f t="shared" si="11"/>
        <v>0</v>
      </c>
      <c r="AM48" s="3283">
        <f t="shared" si="12"/>
        <v>0</v>
      </c>
      <c r="AN48" s="3287">
        <f t="shared" si="16"/>
        <v>0</v>
      </c>
      <c r="AP48" s="3287">
        <v>4</v>
      </c>
      <c r="AQ48" s="3283">
        <f t="shared" si="13"/>
        <v>320.17340119822182</v>
      </c>
      <c r="AR48" s="3283">
        <f t="shared" si="14"/>
        <v>471.17340119822182</v>
      </c>
      <c r="AS48" s="3287">
        <f t="shared" si="17"/>
        <v>392.1307310735238</v>
      </c>
    </row>
    <row r="49" spans="3:45" s="3280" customFormat="1" ht="20.100000000000001" customHeight="1">
      <c r="C49" s="3290"/>
      <c r="D49" s="3338"/>
      <c r="E49" s="3340"/>
      <c r="G49" s="3340"/>
      <c r="I49" s="3338"/>
      <c r="J49" s="3341"/>
      <c r="K49" s="3338"/>
      <c r="L49" s="3313"/>
      <c r="M49" s="3340"/>
      <c r="N49" s="3358" t="s">
        <v>1065</v>
      </c>
      <c r="O49" s="3359"/>
      <c r="P49" s="3360" t="s">
        <v>188</v>
      </c>
      <c r="Q49" s="3361">
        <f>P82</f>
        <v>35.93876831765224</v>
      </c>
      <c r="R49" s="3362"/>
      <c r="S49" s="3363"/>
      <c r="U49" s="3282"/>
      <c r="V49" s="3329"/>
      <c r="W49" s="3282"/>
      <c r="Z49" s="3364"/>
      <c r="AB49" s="3301"/>
      <c r="AD49" s="3301"/>
      <c r="AF49" s="3287">
        <v>5</v>
      </c>
      <c r="AG49" s="3283">
        <f t="shared" si="9"/>
        <v>108.29388675345561</v>
      </c>
      <c r="AH49" s="3283">
        <f t="shared" si="10"/>
        <v>146.29388675345561</v>
      </c>
      <c r="AI49" s="3287">
        <f t="shared" si="15"/>
        <v>108.29388675345561</v>
      </c>
      <c r="AK49" s="3287">
        <v>5</v>
      </c>
      <c r="AL49" s="3283">
        <f t="shared" si="11"/>
        <v>0</v>
      </c>
      <c r="AM49" s="3283">
        <f t="shared" si="12"/>
        <v>0</v>
      </c>
      <c r="AN49" s="3287">
        <f t="shared" si="16"/>
        <v>0</v>
      </c>
      <c r="AP49" s="3287">
        <v>5</v>
      </c>
      <c r="AQ49" s="3283">
        <f t="shared" si="13"/>
        <v>400.2167514977773</v>
      </c>
      <c r="AR49" s="3283">
        <f t="shared" si="14"/>
        <v>551.2167514977773</v>
      </c>
      <c r="AS49" s="3287">
        <f t="shared" si="17"/>
        <v>400.2167514977773</v>
      </c>
    </row>
    <row r="50" spans="3:45" s="3280" customFormat="1" ht="20.100000000000001" customHeight="1">
      <c r="C50" s="3290"/>
      <c r="D50" s="3338"/>
      <c r="E50" s="3340"/>
      <c r="G50" s="3340"/>
      <c r="I50" s="3338"/>
      <c r="J50" s="3341"/>
      <c r="K50" s="3338"/>
      <c r="L50" s="3313"/>
      <c r="M50" s="3340"/>
      <c r="N50" s="4879" t="s">
        <v>1011</v>
      </c>
      <c r="O50" s="4879"/>
      <c r="P50" s="4879"/>
      <c r="Q50" s="4879"/>
      <c r="R50" s="4879"/>
      <c r="S50" s="4879"/>
      <c r="U50" s="3282"/>
      <c r="V50" s="3329"/>
      <c r="W50" s="3282"/>
      <c r="Z50" s="3301"/>
      <c r="AB50" s="3301"/>
      <c r="AD50" s="3301"/>
      <c r="AF50" s="3287">
        <v>6</v>
      </c>
      <c r="AG50" s="3283">
        <f t="shared" si="9"/>
        <v>129.95266410414672</v>
      </c>
      <c r="AH50" s="3283">
        <f t="shared" si="10"/>
        <v>167.95266410414672</v>
      </c>
      <c r="AI50" s="3287">
        <f t="shared" si="15"/>
        <v>106.10590592348504</v>
      </c>
      <c r="AK50" s="3287">
        <v>6</v>
      </c>
      <c r="AL50" s="3283">
        <f t="shared" si="11"/>
        <v>0</v>
      </c>
      <c r="AM50" s="3283">
        <f t="shared" si="12"/>
        <v>0</v>
      </c>
      <c r="AN50" s="3287">
        <f t="shared" si="16"/>
        <v>0</v>
      </c>
      <c r="AP50" s="3287">
        <v>6</v>
      </c>
      <c r="AQ50" s="3283">
        <f t="shared" si="13"/>
        <v>480.26010179733271</v>
      </c>
      <c r="AR50" s="3283">
        <f t="shared" si="14"/>
        <v>631.26010179733271</v>
      </c>
      <c r="AS50" s="3287">
        <f t="shared" si="17"/>
        <v>392.1307310735238</v>
      </c>
    </row>
    <row r="51" spans="3:45" s="3280" customFormat="1" ht="20.100000000000001" customHeight="1">
      <c r="C51" s="3290"/>
      <c r="D51" s="3338"/>
      <c r="E51" s="3340"/>
      <c r="G51" s="3340"/>
      <c r="I51" s="3338"/>
      <c r="J51" s="3341"/>
      <c r="K51" s="3338"/>
      <c r="L51" s="3313"/>
      <c r="M51" s="3340"/>
      <c r="U51" s="3282"/>
      <c r="V51" s="3329"/>
      <c r="W51" s="3282"/>
      <c r="Z51" s="3301"/>
      <c r="AB51" s="3301"/>
      <c r="AD51" s="3301"/>
      <c r="AF51" s="3287">
        <v>7</v>
      </c>
      <c r="AG51" s="3283">
        <f t="shared" si="9"/>
        <v>151.61144145483786</v>
      </c>
      <c r="AH51" s="3283">
        <f t="shared" si="10"/>
        <v>189.61144145483786</v>
      </c>
      <c r="AI51" s="3287">
        <f t="shared" si="15"/>
        <v>99.252986669737169</v>
      </c>
      <c r="AK51" s="3287">
        <v>7</v>
      </c>
      <c r="AL51" s="3283">
        <f t="shared" si="11"/>
        <v>0</v>
      </c>
      <c r="AM51" s="3283">
        <f t="shared" si="12"/>
        <v>0</v>
      </c>
      <c r="AN51" s="3287">
        <f t="shared" si="16"/>
        <v>0</v>
      </c>
      <c r="AP51" s="3287">
        <v>7</v>
      </c>
      <c r="AQ51" s="3283">
        <f t="shared" si="13"/>
        <v>560.30345209688824</v>
      </c>
      <c r="AR51" s="3283">
        <f t="shared" si="14"/>
        <v>711.30345209688824</v>
      </c>
      <c r="AS51" s="3287">
        <f t="shared" si="17"/>
        <v>366.8047116255791</v>
      </c>
    </row>
    <row r="52" spans="3:45" s="3280" customFormat="1" ht="20.100000000000001" customHeight="1">
      <c r="C52" s="3290"/>
      <c r="D52" s="3338"/>
      <c r="E52" s="3340"/>
      <c r="G52" s="3340"/>
      <c r="I52" s="3338"/>
      <c r="J52" s="3341"/>
      <c r="K52" s="3338"/>
      <c r="L52" s="3313"/>
      <c r="M52" s="3340"/>
      <c r="U52" s="3282"/>
      <c r="V52" s="3329"/>
      <c r="W52" s="3282"/>
      <c r="Z52" s="3301"/>
      <c r="AB52" s="3301"/>
      <c r="AD52" s="3301"/>
      <c r="AF52" s="3287">
        <v>8</v>
      </c>
      <c r="AG52" s="3283">
        <f t="shared" si="9"/>
        <v>173.27021880552897</v>
      </c>
      <c r="AH52" s="3283">
        <f t="shared" si="10"/>
        <v>211.27021880552897</v>
      </c>
      <c r="AI52" s="3287">
        <f t="shared" si="15"/>
        <v>86.635109402764499</v>
      </c>
      <c r="AK52" s="3287">
        <v>8</v>
      </c>
      <c r="AL52" s="3283">
        <f t="shared" si="11"/>
        <v>0</v>
      </c>
      <c r="AM52" s="3283">
        <f t="shared" si="12"/>
        <v>0</v>
      </c>
      <c r="AN52" s="3287">
        <f t="shared" si="16"/>
        <v>0</v>
      </c>
      <c r="AP52" s="3287">
        <v>8</v>
      </c>
      <c r="AQ52" s="3283">
        <f t="shared" si="13"/>
        <v>640.34680239644365</v>
      </c>
      <c r="AR52" s="3283">
        <f t="shared" si="14"/>
        <v>791.34680239644365</v>
      </c>
      <c r="AS52" s="3287">
        <f t="shared" si="17"/>
        <v>320.17340119822182</v>
      </c>
    </row>
    <row r="53" spans="3:45" s="3280" customFormat="1" ht="20.100000000000001" customHeight="1">
      <c r="C53" s="3290"/>
      <c r="D53" s="3338"/>
      <c r="E53" s="3340"/>
      <c r="G53" s="3340"/>
      <c r="I53" s="3338"/>
      <c r="J53" s="3341"/>
      <c r="K53" s="3338"/>
      <c r="L53" s="3313"/>
      <c r="M53" s="3340"/>
      <c r="U53" s="3282"/>
      <c r="V53" s="3329"/>
      <c r="W53" s="3282"/>
      <c r="Z53" s="3301"/>
      <c r="AB53" s="3301"/>
      <c r="AD53" s="3301"/>
      <c r="AF53" s="3287">
        <v>9</v>
      </c>
      <c r="AG53" s="3283">
        <f t="shared" si="9"/>
        <v>194.92899615622008</v>
      </c>
      <c r="AH53" s="3283">
        <f t="shared" si="10"/>
        <v>232.92899615622008</v>
      </c>
      <c r="AI53" s="3287">
        <f t="shared" si="15"/>
        <v>64.976332052073388</v>
      </c>
      <c r="AK53" s="3287">
        <v>9</v>
      </c>
      <c r="AL53" s="3283">
        <f t="shared" si="11"/>
        <v>0</v>
      </c>
      <c r="AM53" s="3283">
        <f t="shared" si="12"/>
        <v>0</v>
      </c>
      <c r="AN53" s="3287">
        <f t="shared" si="16"/>
        <v>0</v>
      </c>
      <c r="AP53" s="3287">
        <v>9</v>
      </c>
      <c r="AQ53" s="3283">
        <f t="shared" si="13"/>
        <v>720.39015269599906</v>
      </c>
      <c r="AR53" s="3283">
        <f t="shared" si="14"/>
        <v>871.39015269599906</v>
      </c>
      <c r="AS53" s="3287">
        <f t="shared" si="17"/>
        <v>240.13005089866644</v>
      </c>
    </row>
    <row r="54" spans="3:45" s="3280" customFormat="1" ht="20.100000000000001" customHeight="1">
      <c r="C54" s="3290"/>
      <c r="D54" s="3338"/>
      <c r="E54" s="3340"/>
      <c r="G54" s="3340"/>
      <c r="I54" s="3338"/>
      <c r="J54" s="3341"/>
      <c r="K54" s="3338"/>
      <c r="L54" s="3313"/>
      <c r="M54" s="3340"/>
      <c r="N54" s="3365"/>
      <c r="O54" s="3282"/>
      <c r="P54" s="3282"/>
      <c r="V54" s="3293"/>
      <c r="Z54" s="3301"/>
      <c r="AB54" s="3301"/>
      <c r="AD54" s="3301"/>
      <c r="AF54" s="3287">
        <v>9.25</v>
      </c>
      <c r="AG54" s="3283">
        <f t="shared" si="9"/>
        <v>200.34369049389286</v>
      </c>
      <c r="AH54" s="3283">
        <f t="shared" si="10"/>
        <v>238.34369049389286</v>
      </c>
      <c r="AI54" s="3287">
        <f t="shared" si="15"/>
        <v>57.04734471925272</v>
      </c>
      <c r="AK54" s="3287">
        <v>9.25</v>
      </c>
      <c r="AL54" s="3283">
        <f t="shared" si="11"/>
        <v>0</v>
      </c>
      <c r="AM54" s="3283">
        <f t="shared" si="12"/>
        <v>0</v>
      </c>
      <c r="AN54" s="3287">
        <f t="shared" si="16"/>
        <v>0</v>
      </c>
      <c r="AP54" s="3287">
        <v>9.25</v>
      </c>
      <c r="AQ54" s="3283">
        <f t="shared" si="13"/>
        <v>740.40099027088797</v>
      </c>
      <c r="AR54" s="3283">
        <f t="shared" si="14"/>
        <v>891.40099027088797</v>
      </c>
      <c r="AS54" s="3287">
        <f t="shared" si="17"/>
        <v>210.82725599360447</v>
      </c>
    </row>
    <row r="55" spans="3:45" s="3280" customFormat="1" ht="20.100000000000001" customHeight="1">
      <c r="C55" s="3290"/>
      <c r="D55" s="3338"/>
      <c r="E55" s="3340"/>
      <c r="G55" s="3340"/>
      <c r="I55" s="3338"/>
      <c r="J55" s="3341"/>
      <c r="K55" s="3338"/>
      <c r="L55" s="3313"/>
      <c r="M55" s="3340"/>
      <c r="N55" s="3365"/>
      <c r="O55" s="3282"/>
      <c r="P55" s="3282"/>
      <c r="V55" s="3293"/>
      <c r="Z55" s="3301"/>
      <c r="AB55" s="3301"/>
      <c r="AD55" s="3301"/>
      <c r="AF55" s="3287">
        <v>9.5</v>
      </c>
      <c r="AG55" s="3283">
        <f t="shared" si="9"/>
        <v>205.75838483156565</v>
      </c>
      <c r="AH55" s="3283">
        <f t="shared" si="10"/>
        <v>243.75838483156565</v>
      </c>
      <c r="AI55" s="3287">
        <f t="shared" si="15"/>
        <v>47.204210856155129</v>
      </c>
      <c r="AK55" s="3287">
        <v>9.5</v>
      </c>
      <c r="AL55" s="3283">
        <f t="shared" si="11"/>
        <v>0</v>
      </c>
      <c r="AM55" s="3283">
        <f t="shared" si="12"/>
        <v>0</v>
      </c>
      <c r="AN55" s="3287">
        <f t="shared" si="16"/>
        <v>0</v>
      </c>
      <c r="AP55" s="3287">
        <v>9.5</v>
      </c>
      <c r="AQ55" s="3283">
        <f t="shared" si="13"/>
        <v>760.41182784577688</v>
      </c>
      <c r="AR55" s="3283">
        <f t="shared" si="14"/>
        <v>911.41182784577688</v>
      </c>
      <c r="AS55" s="3287">
        <f t="shared" si="17"/>
        <v>174.45043752909413</v>
      </c>
    </row>
    <row r="56" spans="3:45" s="3280" customFormat="1" ht="20.100000000000001" customHeight="1">
      <c r="C56" s="3290"/>
      <c r="D56" s="3338"/>
      <c r="E56" s="3340"/>
      <c r="G56" s="3340"/>
      <c r="I56" s="3338"/>
      <c r="J56" s="3341"/>
      <c r="K56" s="3338"/>
      <c r="L56" s="3313"/>
      <c r="M56" s="3340"/>
      <c r="N56" s="3365"/>
      <c r="O56" s="3365"/>
      <c r="P56" s="3365"/>
      <c r="Q56" s="3"/>
      <c r="R56" s="3366"/>
      <c r="S56" s="3340"/>
      <c r="T56" s="3340"/>
      <c r="V56" s="3293"/>
      <c r="Z56" s="3301"/>
      <c r="AB56" s="3301"/>
      <c r="AD56" s="3301"/>
      <c r="AF56" s="3287">
        <v>9.75</v>
      </c>
      <c r="AG56" s="3283">
        <f t="shared" si="9"/>
        <v>211.17307916923843</v>
      </c>
      <c r="AH56" s="3283">
        <f t="shared" si="10"/>
        <v>249.17307916923843</v>
      </c>
      <c r="AI56" s="3287">
        <f t="shared" si="15"/>
        <v>33.81475530070567</v>
      </c>
      <c r="AK56" s="3287">
        <v>9.75</v>
      </c>
      <c r="AL56" s="3283">
        <f t="shared" si="11"/>
        <v>0</v>
      </c>
      <c r="AM56" s="3283">
        <f t="shared" si="12"/>
        <v>0</v>
      </c>
      <c r="AN56" s="3287">
        <f t="shared" si="16"/>
        <v>0</v>
      </c>
      <c r="AP56" s="3287">
        <v>9.75</v>
      </c>
      <c r="AQ56" s="3283">
        <f t="shared" si="13"/>
        <v>780.42266542066568</v>
      </c>
      <c r="AR56" s="3283">
        <f t="shared" si="14"/>
        <v>931.42266542066568</v>
      </c>
      <c r="AS56" s="3287">
        <f t="shared" si="17"/>
        <v>124.96764060145651</v>
      </c>
    </row>
    <row r="57" spans="3:45" s="3280" customFormat="1" ht="20.100000000000001" customHeight="1">
      <c r="C57" s="3290"/>
      <c r="D57" s="3338"/>
      <c r="E57" s="3340"/>
      <c r="G57" s="3340"/>
      <c r="I57" s="3338"/>
      <c r="J57" s="3341"/>
      <c r="K57" s="3338"/>
      <c r="L57" s="3313"/>
      <c r="M57" s="3340"/>
      <c r="N57" s="3365"/>
      <c r="O57" s="3365"/>
      <c r="P57" s="3365"/>
      <c r="Q57" s="3"/>
      <c r="R57" s="3366"/>
      <c r="S57" s="3340"/>
      <c r="T57" s="3340"/>
      <c r="V57" s="3293"/>
      <c r="Z57" s="3301"/>
      <c r="AB57" s="3301"/>
      <c r="AD57" s="3301"/>
      <c r="AF57" s="3287">
        <v>9.85</v>
      </c>
      <c r="AG57" s="3283">
        <f t="shared" si="9"/>
        <v>213.33895690430754</v>
      </c>
      <c r="AH57" s="3283">
        <f t="shared" si="10"/>
        <v>251.33895690430754</v>
      </c>
      <c r="AI57" s="3287">
        <f t="shared" si="15"/>
        <v>26.326776201670913</v>
      </c>
      <c r="AK57" s="3287">
        <v>9.85</v>
      </c>
      <c r="AL57" s="3283">
        <f t="shared" si="11"/>
        <v>0</v>
      </c>
      <c r="AM57" s="3283">
        <f t="shared" si="12"/>
        <v>0</v>
      </c>
      <c r="AN57" s="3287">
        <f t="shared" si="16"/>
        <v>0</v>
      </c>
      <c r="AP57" s="3287">
        <v>9.85</v>
      </c>
      <c r="AQ57" s="3283">
        <f t="shared" si="13"/>
        <v>788.42700045062122</v>
      </c>
      <c r="AR57" s="3283">
        <f t="shared" si="14"/>
        <v>939.42700045062122</v>
      </c>
      <c r="AS57" s="3287">
        <f t="shared" si="17"/>
        <v>97.294659603724241</v>
      </c>
    </row>
    <row r="58" spans="3:45" s="3280" customFormat="1" ht="20.100000000000001" customHeight="1">
      <c r="C58" s="3290"/>
      <c r="D58" s="3338"/>
      <c r="E58" s="3340"/>
      <c r="G58" s="3340"/>
      <c r="I58" s="3338"/>
      <c r="J58" s="3341"/>
      <c r="K58" s="3338"/>
      <c r="L58" s="3313"/>
      <c r="M58" s="3340"/>
      <c r="N58" s="3365"/>
      <c r="O58" s="3365"/>
      <c r="P58" s="3365"/>
      <c r="T58" s="3340"/>
      <c r="V58" s="3293"/>
      <c r="Z58" s="3301"/>
      <c r="AB58" s="3301"/>
      <c r="AD58" s="3301"/>
      <c r="AF58" s="3287">
        <v>9.9</v>
      </c>
      <c r="AG58" s="3283">
        <f t="shared" si="9"/>
        <v>214.42189577184212</v>
      </c>
      <c r="AH58" s="3283">
        <f t="shared" si="10"/>
        <v>252.42189577184212</v>
      </c>
      <c r="AI58" s="3287">
        <f t="shared" si="15"/>
        <v>21.550211367027035</v>
      </c>
      <c r="AK58" s="3287">
        <v>9.9</v>
      </c>
      <c r="AL58" s="3283">
        <f t="shared" si="11"/>
        <v>0</v>
      </c>
      <c r="AM58" s="3283">
        <f t="shared" si="12"/>
        <v>0</v>
      </c>
      <c r="AN58" s="3287">
        <f t="shared" si="16"/>
        <v>0</v>
      </c>
      <c r="AP58" s="3287">
        <v>9.9</v>
      </c>
      <c r="AQ58" s="3283">
        <f t="shared" si="13"/>
        <v>792.42916796559905</v>
      </c>
      <c r="AR58" s="3283">
        <f t="shared" si="14"/>
        <v>943.42916796559905</v>
      </c>
      <c r="AS58" s="3287">
        <f t="shared" si="17"/>
        <v>79.642127971981992</v>
      </c>
    </row>
    <row r="59" spans="3:45" s="3280" customFormat="1" ht="20.100000000000001" customHeight="1">
      <c r="C59" s="3290"/>
      <c r="D59" s="3338"/>
      <c r="E59" s="3340"/>
      <c r="G59" s="3340"/>
      <c r="I59" s="3338"/>
      <c r="J59" s="3341"/>
      <c r="K59" s="3338"/>
      <c r="L59" s="3313"/>
      <c r="M59" s="3340"/>
      <c r="N59" s="3346"/>
      <c r="O59" s="3282"/>
      <c r="P59" s="3282"/>
      <c r="T59" s="3340"/>
      <c r="V59" s="3293"/>
      <c r="Z59" s="3301"/>
      <c r="AB59" s="3301"/>
      <c r="AD59" s="3301"/>
      <c r="AF59" s="3287">
        <v>9.98</v>
      </c>
      <c r="AG59" s="3283">
        <f t="shared" si="9"/>
        <v>216.15459795989739</v>
      </c>
      <c r="AH59" s="3283">
        <f t="shared" si="10"/>
        <v>254.15459795989739</v>
      </c>
      <c r="AI59" s="3287">
        <f t="shared" si="15"/>
        <v>9.6764087455436183</v>
      </c>
      <c r="AJ59" s="3334"/>
      <c r="AK59" s="3287">
        <v>9.98</v>
      </c>
      <c r="AL59" s="3283">
        <f t="shared" si="11"/>
        <v>0</v>
      </c>
      <c r="AM59" s="3283">
        <f t="shared" si="12"/>
        <v>0</v>
      </c>
      <c r="AN59" s="3287">
        <f t="shared" si="16"/>
        <v>0</v>
      </c>
      <c r="AO59" s="3334"/>
      <c r="AP59" s="3287">
        <v>9.98</v>
      </c>
      <c r="AQ59" s="3283">
        <f t="shared" si="13"/>
        <v>798.83263598956353</v>
      </c>
      <c r="AR59" s="3283">
        <f t="shared" si="14"/>
        <v>949.83263598956353</v>
      </c>
      <c r="AS59" s="3287">
        <f t="shared" si="17"/>
        <v>35.76066009268488</v>
      </c>
    </row>
    <row r="60" spans="3:45" s="3280" customFormat="1" ht="20.100000000000001" customHeight="1">
      <c r="C60" s="3290"/>
      <c r="D60" s="3338"/>
      <c r="E60" s="3340"/>
      <c r="G60" s="3340"/>
      <c r="I60" s="3338"/>
      <c r="J60" s="3341"/>
      <c r="K60" s="3338"/>
      <c r="L60" s="3313"/>
      <c r="M60" s="3340"/>
      <c r="N60" s="3365"/>
      <c r="O60" s="3365"/>
      <c r="P60" s="3365"/>
      <c r="Q60" s="3"/>
      <c r="R60" s="3366"/>
      <c r="S60" s="3340"/>
      <c r="T60" s="3340"/>
      <c r="V60" s="3293"/>
      <c r="Z60" s="3301"/>
      <c r="AB60" s="3301"/>
      <c r="AD60" s="3301"/>
      <c r="AF60" s="3287">
        <v>10</v>
      </c>
      <c r="AG60" s="3283">
        <f t="shared" si="9"/>
        <v>216.58777350691122</v>
      </c>
      <c r="AH60" s="3283">
        <f t="shared" si="10"/>
        <v>254.58777350691122</v>
      </c>
      <c r="AI60" s="3287">
        <f t="shared" si="15"/>
        <v>0</v>
      </c>
      <c r="AK60" s="3287">
        <v>10</v>
      </c>
      <c r="AL60" s="3283">
        <f t="shared" si="11"/>
        <v>0</v>
      </c>
      <c r="AM60" s="3283">
        <f t="shared" si="12"/>
        <v>0</v>
      </c>
      <c r="AN60" s="3287">
        <f t="shared" si="16"/>
        <v>0</v>
      </c>
      <c r="AP60" s="3287">
        <v>10</v>
      </c>
      <c r="AQ60" s="3283">
        <f t="shared" si="13"/>
        <v>800.43350299555459</v>
      </c>
      <c r="AR60" s="3283">
        <f t="shared" si="14"/>
        <v>951.43350299555459</v>
      </c>
      <c r="AS60" s="3287">
        <f t="shared" si="17"/>
        <v>0</v>
      </c>
    </row>
    <row r="61" spans="3:45" s="3280" customFormat="1" ht="20.100000000000001" customHeight="1">
      <c r="C61" s="3290"/>
      <c r="D61" s="3338"/>
      <c r="E61" s="3340"/>
      <c r="F61" s="3366"/>
      <c r="G61" s="3340"/>
      <c r="H61" s="3366"/>
      <c r="I61" s="3338"/>
      <c r="J61" s="3341"/>
      <c r="K61" s="3338"/>
      <c r="L61" s="3313"/>
      <c r="M61" s="3340"/>
      <c r="N61" s="3365"/>
      <c r="O61" s="3365"/>
      <c r="P61" s="3365"/>
      <c r="Q61" s="3"/>
      <c r="R61" s="3366"/>
      <c r="S61" s="3340"/>
      <c r="T61" s="3340"/>
      <c r="U61" s="3366"/>
      <c r="V61" s="3367"/>
      <c r="W61" s="3366"/>
      <c r="Y61" s="3366"/>
      <c r="Z61" s="3366"/>
      <c r="AA61" s="3366"/>
      <c r="AB61" s="3366"/>
      <c r="AC61" s="3366"/>
      <c r="AD61" s="3366"/>
    </row>
    <row r="62" spans="3:45" s="3280" customFormat="1" ht="20.100000000000001" customHeight="1">
      <c r="C62" s="3290"/>
      <c r="D62" s="3338"/>
      <c r="G62" s="3340"/>
      <c r="I62" s="3338"/>
      <c r="J62" s="3341"/>
      <c r="K62" s="3338"/>
      <c r="L62" s="3313"/>
      <c r="M62" s="3340"/>
      <c r="N62" s="3368" t="s">
        <v>1010</v>
      </c>
      <c r="O62" s="3365"/>
      <c r="P62" s="3365"/>
      <c r="Q62" s="3"/>
      <c r="R62" s="3366"/>
      <c r="S62" s="3340"/>
      <c r="T62" s="3340"/>
      <c r="U62" s="3369"/>
      <c r="V62" s="3370"/>
      <c r="W62" s="3369"/>
      <c r="Y62" s="3369"/>
      <c r="Z62" s="3369"/>
      <c r="AA62" s="3369"/>
      <c r="AB62" s="3369"/>
      <c r="AC62" s="3369"/>
      <c r="AD62" s="3369"/>
    </row>
    <row r="63" spans="3:45" s="3280" customFormat="1" ht="20.100000000000001" customHeight="1">
      <c r="C63" s="3290"/>
      <c r="D63" s="3338"/>
      <c r="G63" s="3340"/>
      <c r="I63" s="3338"/>
      <c r="J63" s="3341"/>
      <c r="K63" s="3338"/>
      <c r="L63" s="3313"/>
      <c r="M63" s="3340"/>
      <c r="N63" s="3371" t="s">
        <v>1009</v>
      </c>
      <c r="O63" s="3365"/>
      <c r="P63" s="3365"/>
      <c r="Q63" s="3"/>
      <c r="R63" s="3366"/>
      <c r="S63" s="3340"/>
      <c r="T63" s="3340"/>
      <c r="U63" s="3369"/>
      <c r="V63" s="3370"/>
      <c r="W63" s="3369"/>
      <c r="Y63" s="3372"/>
      <c r="Z63" s="3369"/>
      <c r="AA63" s="3372"/>
      <c r="AB63" s="3369"/>
      <c r="AC63" s="3372"/>
      <c r="AD63" s="3369"/>
    </row>
    <row r="64" spans="3:45" s="3280" customFormat="1" ht="20.100000000000001" customHeight="1">
      <c r="C64" s="3290"/>
      <c r="D64" s="3338"/>
      <c r="G64" s="3340"/>
      <c r="I64" s="3338"/>
      <c r="J64" s="3341"/>
      <c r="K64" s="3338"/>
      <c r="L64" s="3313"/>
      <c r="M64" s="3340"/>
      <c r="N64" s="3365"/>
      <c r="O64" s="3365"/>
      <c r="P64" s="3365"/>
      <c r="Q64" s="3"/>
      <c r="R64" s="3366"/>
      <c r="S64" s="3340"/>
      <c r="T64" s="3340"/>
      <c r="U64" s="3369"/>
      <c r="V64" s="3370"/>
      <c r="W64" s="3369"/>
      <c r="Y64" s="3372"/>
      <c r="Z64" s="3369"/>
      <c r="AA64" s="3372"/>
      <c r="AB64" s="3369"/>
      <c r="AC64" s="3372"/>
      <c r="AD64" s="3369"/>
    </row>
    <row r="65" spans="3:30" ht="7.5" customHeight="1">
      <c r="C65" s="3373"/>
      <c r="D65" s="3374"/>
      <c r="G65" s="3185"/>
      <c r="I65" s="3374"/>
      <c r="J65" s="3375"/>
      <c r="K65" s="3374"/>
      <c r="L65" s="3184"/>
      <c r="M65" s="3185"/>
      <c r="N65" s="3376"/>
      <c r="U65" s="3377"/>
      <c r="V65" s="3378"/>
      <c r="W65" s="3377"/>
      <c r="Z65" s="3377"/>
      <c r="AA65" s="3379"/>
      <c r="AB65" s="3377"/>
      <c r="AC65" s="3379"/>
      <c r="AD65" s="3377"/>
    </row>
    <row r="66" spans="3:30" ht="20.100000000000001" customHeight="1">
      <c r="C66" s="3373"/>
      <c r="D66" s="3374"/>
      <c r="G66" s="3185"/>
      <c r="I66" s="3374"/>
      <c r="J66" s="3375"/>
      <c r="K66" s="3374"/>
      <c r="L66" s="3184"/>
      <c r="M66" s="3185"/>
      <c r="N66" s="3376"/>
      <c r="U66" s="3377"/>
      <c r="V66" s="3378"/>
      <c r="W66" s="3377"/>
      <c r="Z66" s="3377"/>
      <c r="AA66" s="3377"/>
      <c r="AB66" s="3377"/>
      <c r="AC66" s="3377"/>
      <c r="AD66" s="3377"/>
    </row>
    <row r="67" spans="3:30" ht="20.100000000000001" customHeight="1">
      <c r="C67" s="3373"/>
      <c r="D67" s="3374"/>
      <c r="G67" s="3185"/>
      <c r="I67" s="3374"/>
      <c r="J67" s="3375"/>
      <c r="K67" s="3374"/>
      <c r="L67" s="3184"/>
      <c r="M67" s="3185"/>
      <c r="N67" s="3376"/>
      <c r="U67" s="3377"/>
      <c r="V67" s="3378"/>
      <c r="W67" s="3377"/>
      <c r="Y67" s="3371" t="s">
        <v>1008</v>
      </c>
      <c r="Z67" s="3377"/>
      <c r="AA67" s="3377"/>
      <c r="AB67" s="3377"/>
      <c r="AC67" s="3377"/>
      <c r="AD67" s="3377"/>
    </row>
    <row r="68" spans="3:30" ht="20.100000000000001" customHeight="1">
      <c r="C68" s="3380"/>
      <c r="D68" s="3381"/>
      <c r="E68" s="3382"/>
      <c r="F68" s="3383"/>
      <c r="G68" s="3382"/>
      <c r="H68" s="3383"/>
      <c r="I68" s="3381"/>
      <c r="J68" s="3384"/>
      <c r="K68" s="3381"/>
      <c r="L68" s="3026"/>
      <c r="M68" s="3382"/>
      <c r="N68" s="3385"/>
      <c r="O68" s="3386"/>
      <c r="P68" s="3386"/>
      <c r="Q68" s="3383"/>
      <c r="R68" s="3383"/>
      <c r="S68" s="3383"/>
      <c r="T68" s="3383"/>
      <c r="U68" s="3387"/>
      <c r="V68" s="3388"/>
      <c r="W68" s="3377"/>
      <c r="Y68" s="3377"/>
      <c r="Z68" s="3377"/>
      <c r="AA68" s="3377"/>
      <c r="AB68" s="3377"/>
      <c r="AC68" s="3377"/>
      <c r="AD68" s="3377"/>
    </row>
    <row r="69" spans="3:30" ht="20.100000000000001" customHeight="1">
      <c r="D69" s="3374"/>
      <c r="E69" s="3185"/>
      <c r="G69" s="3185"/>
      <c r="I69" s="3374"/>
      <c r="J69" s="3375"/>
      <c r="K69" s="3374"/>
      <c r="L69" s="3184"/>
      <c r="M69" s="3185"/>
      <c r="N69" s="3376"/>
      <c r="U69" s="3377"/>
      <c r="V69" s="3377"/>
      <c r="W69" s="3377"/>
      <c r="Y69" s="3377"/>
      <c r="Z69" s="3377"/>
      <c r="AA69" s="3377"/>
      <c r="AB69" s="3377"/>
      <c r="AC69" s="3377"/>
      <c r="AD69" s="3377"/>
    </row>
    <row r="70" spans="3:30" ht="20.100000000000001" customHeight="1">
      <c r="D70" s="3374"/>
      <c r="E70" s="3185"/>
      <c r="G70" s="3185"/>
      <c r="I70" s="3374"/>
      <c r="J70" s="3375"/>
      <c r="K70" s="3374"/>
      <c r="L70" s="3184"/>
      <c r="M70" s="3185"/>
      <c r="N70" s="3376"/>
      <c r="U70" s="3377"/>
      <c r="V70" s="3377"/>
      <c r="W70" s="3377"/>
      <c r="Y70" s="3377"/>
      <c r="Z70" s="3377"/>
      <c r="AA70" s="3377"/>
      <c r="AB70" s="3377"/>
      <c r="AC70" s="3377"/>
      <c r="AD70" s="3377"/>
    </row>
    <row r="71" spans="3:30" ht="20.100000000000001" customHeight="1">
      <c r="D71" s="3374"/>
      <c r="E71" s="3185"/>
      <c r="G71" s="3185"/>
      <c r="J71" s="3374"/>
      <c r="K71" s="3374"/>
      <c r="L71" s="3184"/>
      <c r="M71" s="3185"/>
      <c r="N71" s="3376"/>
      <c r="O71" s="3376"/>
      <c r="P71" s="3376"/>
      <c r="Q71" s="3186"/>
      <c r="R71" s="3389"/>
      <c r="S71" s="3185"/>
      <c r="T71" s="3185"/>
      <c r="U71" s="3377"/>
      <c r="V71" s="3377"/>
      <c r="W71" s="3377"/>
      <c r="Y71" s="3377"/>
      <c r="Z71" s="3377"/>
      <c r="AA71" s="3377"/>
      <c r="AB71" s="3377"/>
      <c r="AC71" s="3377"/>
      <c r="AD71" s="3377"/>
    </row>
    <row r="72" spans="3:30" ht="20.100000000000001" customHeight="1">
      <c r="D72" s="3374"/>
      <c r="E72" s="3185"/>
      <c r="G72" s="3185"/>
      <c r="I72" s="3374"/>
      <c r="J72" s="3375"/>
      <c r="K72" s="3374"/>
      <c r="L72" s="3184"/>
      <c r="M72" s="3185"/>
      <c r="N72" s="3376"/>
      <c r="O72" s="3376"/>
      <c r="P72" s="3376"/>
      <c r="Q72" s="3186"/>
      <c r="R72" s="3389"/>
      <c r="S72" s="3185"/>
      <c r="T72" s="3185"/>
      <c r="U72" s="3377"/>
      <c r="V72" s="3377"/>
      <c r="W72" s="3377"/>
      <c r="Y72" s="3377"/>
      <c r="Z72" s="3377"/>
      <c r="AA72" s="3377"/>
      <c r="AB72" s="3377"/>
      <c r="AC72" s="3377"/>
      <c r="AD72" s="3377"/>
    </row>
    <row r="73" spans="3:30" ht="20.100000000000001" customHeight="1">
      <c r="D73" s="3374"/>
      <c r="E73" s="3185"/>
      <c r="F73" s="3389"/>
      <c r="G73" s="3185"/>
      <c r="H73" s="3389"/>
      <c r="I73" s="3374"/>
      <c r="J73" s="3375"/>
      <c r="K73" s="3374"/>
      <c r="L73" s="3184"/>
      <c r="M73" s="3185"/>
      <c r="N73" s="3376"/>
      <c r="O73" s="3376"/>
      <c r="P73" s="3376"/>
      <c r="Q73" s="3186"/>
      <c r="R73" s="3389"/>
      <c r="S73" s="3185"/>
      <c r="T73" s="3185"/>
      <c r="U73" s="3377"/>
      <c r="V73" s="3377"/>
      <c r="W73" s="3377"/>
      <c r="Y73" s="3377"/>
      <c r="Z73" s="3377"/>
      <c r="AA73" s="3377"/>
      <c r="AB73" s="3377"/>
      <c r="AC73" s="3377"/>
      <c r="AD73" s="3377"/>
    </row>
    <row r="74" spans="3:30" ht="20.100000000000001" customHeight="1">
      <c r="D74" s="3374"/>
      <c r="E74" s="3185"/>
      <c r="G74" s="3185"/>
      <c r="I74" s="3374"/>
      <c r="J74" s="3375"/>
      <c r="K74" s="3374"/>
      <c r="L74" s="3184"/>
      <c r="M74" s="3185"/>
      <c r="N74" s="3376"/>
      <c r="O74" s="3376"/>
      <c r="P74" s="3376"/>
      <c r="Q74" s="3186"/>
      <c r="R74" s="3389"/>
      <c r="S74" s="3185"/>
      <c r="T74" s="3185"/>
      <c r="U74" s="3377"/>
      <c r="V74" s="3377"/>
      <c r="W74" s="3377"/>
      <c r="Y74" s="3377"/>
      <c r="Z74" s="3377"/>
      <c r="AA74" s="3377"/>
      <c r="AB74" s="3377"/>
      <c r="AC74" s="3377"/>
      <c r="AD74" s="3377"/>
    </row>
    <row r="75" spans="3:30" ht="20.100000000000001" customHeight="1">
      <c r="D75" s="3374"/>
      <c r="E75" s="3185"/>
      <c r="G75" s="3185"/>
      <c r="I75" s="3374"/>
      <c r="J75" s="3375"/>
      <c r="K75" s="3374"/>
      <c r="L75" s="3184"/>
      <c r="M75" s="3185"/>
      <c r="N75" s="3376"/>
      <c r="O75" s="3376"/>
      <c r="P75" s="3376"/>
      <c r="Q75" s="3186"/>
      <c r="R75" s="3389"/>
      <c r="S75" s="3185"/>
      <c r="T75" s="3185"/>
      <c r="U75" s="3377"/>
      <c r="V75" s="3377"/>
      <c r="W75" s="3377"/>
      <c r="Y75" s="3377"/>
      <c r="Z75" s="3377"/>
      <c r="AA75" s="3377"/>
      <c r="AB75" s="3377"/>
      <c r="AC75" s="3377"/>
      <c r="AD75" s="3377"/>
    </row>
    <row r="76" spans="3:30" ht="20.100000000000001" customHeight="1">
      <c r="D76" s="3383"/>
      <c r="E76" s="3383"/>
      <c r="F76" s="3383"/>
      <c r="G76" s="3383"/>
      <c r="H76" s="3383"/>
      <c r="I76" s="3026"/>
      <c r="J76" s="3383"/>
      <c r="K76" s="3026"/>
      <c r="L76" s="3383"/>
      <c r="M76" s="3383"/>
      <c r="N76" s="3386"/>
      <c r="O76" s="3386"/>
      <c r="P76" s="3386"/>
      <c r="Q76" s="3383"/>
      <c r="R76" s="3383"/>
      <c r="S76" s="3383"/>
      <c r="T76" s="3383"/>
    </row>
    <row r="77" spans="3:30" ht="18.95" customHeight="1">
      <c r="K77" s="3184"/>
    </row>
    <row r="78" spans="3:30" ht="18.95" customHeight="1">
      <c r="I78" s="3390" t="s">
        <v>1007</v>
      </c>
      <c r="J78" s="3390"/>
      <c r="K78" s="3025"/>
      <c r="L78" s="3390"/>
      <c r="M78" s="3390"/>
    </row>
    <row r="79" spans="3:30" ht="18.95" customHeight="1">
      <c r="E79" s="3391" t="s">
        <v>1006</v>
      </c>
      <c r="G79" s="4871">
        <v>3</v>
      </c>
      <c r="H79" s="4871"/>
      <c r="I79" s="3392">
        <v>0</v>
      </c>
      <c r="J79" s="3393">
        <f>(I79-AU11)/(I80-AU11)*(J80-AV11)+AV11+G79</f>
        <v>4.2216669731276255</v>
      </c>
      <c r="K79" s="3392"/>
      <c r="L79" s="3394">
        <f>(J80-J79)/(I80-I79)</f>
        <v>0.67141592352932178</v>
      </c>
      <c r="M79" s="3395">
        <f>ATAN(L79)</f>
        <v>0.59128334753492495</v>
      </c>
      <c r="P79" s="3396">
        <f>DEGREES(M79)</f>
        <v>33.878040310118287</v>
      </c>
    </row>
    <row r="80" spans="3:30" ht="18.95" customHeight="1">
      <c r="G80" s="4871">
        <v>7</v>
      </c>
      <c r="H80" s="4871"/>
      <c r="I80" s="3393">
        <f>AD31</f>
        <v>600.2167514977773</v>
      </c>
      <c r="J80" s="3393">
        <f>AD30+G80</f>
        <v>407.21675149777724</v>
      </c>
      <c r="K80" s="3395"/>
      <c r="L80" s="3395"/>
      <c r="M80" s="3395"/>
    </row>
    <row r="81" spans="5:16" ht="18.95" customHeight="1">
      <c r="G81" s="4880"/>
      <c r="H81" s="4880"/>
      <c r="I81" s="3392"/>
      <c r="J81" s="3392"/>
      <c r="K81" s="3392"/>
      <c r="L81" s="3395"/>
      <c r="M81" s="3395"/>
    </row>
    <row r="82" spans="5:16" ht="18.95" customHeight="1">
      <c r="E82" s="3391" t="s">
        <v>1005</v>
      </c>
      <c r="G82" s="4871">
        <v>-7</v>
      </c>
      <c r="H82" s="4871"/>
      <c r="I82" s="3392">
        <v>0</v>
      </c>
      <c r="J82" s="3393">
        <f>(I82-AU12)/(I83-AU12)*(J83-AV12)+AV12+G82</f>
        <v>10.633679085198722</v>
      </c>
      <c r="K82" s="3395"/>
      <c r="L82" s="3394">
        <f>(J83-J82)/(I83-I82)</f>
        <v>0.72491097436139851</v>
      </c>
      <c r="M82" s="3395">
        <f>ATAN(L82)</f>
        <v>0.62724983625445496</v>
      </c>
      <c r="P82" s="3396">
        <f>DEGREES(M82)</f>
        <v>35.93876831765224</v>
      </c>
    </row>
    <row r="83" spans="5:16" ht="18.95" customHeight="1">
      <c r="G83" s="4871">
        <v>10</v>
      </c>
      <c r="H83" s="4871"/>
      <c r="I83" s="3393">
        <f>AD41</f>
        <v>551.2167514977773</v>
      </c>
      <c r="J83" s="3393">
        <f>AD40+G83</f>
        <v>410.2167514977773</v>
      </c>
      <c r="K83" s="3395"/>
      <c r="L83" s="3395"/>
      <c r="M83" s="3395"/>
    </row>
    <row r="84" spans="5:16" ht="18.95" customHeight="1"/>
    <row r="85" spans="5:16" ht="18.95" customHeight="1"/>
    <row r="86" spans="5:16" ht="18.95" customHeight="1"/>
    <row r="87" spans="5:16" ht="18.95" customHeight="1"/>
    <row r="88" spans="5:16" ht="18.95" customHeight="1"/>
    <row r="89" spans="5:16" ht="18.95" customHeight="1">
      <c r="G89" s="3279" t="s">
        <v>37</v>
      </c>
      <c r="I89" s="3364">
        <f>AVERAGE(R19:T19)</f>
        <v>1.26</v>
      </c>
    </row>
    <row r="90" spans="5:16" ht="18.95" customHeight="1">
      <c r="G90" s="3279" t="s">
        <v>210</v>
      </c>
      <c r="I90" s="3397">
        <v>15</v>
      </c>
      <c r="M90" s="3398">
        <f>I91</f>
        <v>189</v>
      </c>
      <c r="N90" s="3376">
        <f>I92</f>
        <v>131.11927652016942</v>
      </c>
    </row>
    <row r="91" spans="5:16" ht="18.95" customHeight="1">
      <c r="G91" s="3279" t="s">
        <v>1004</v>
      </c>
      <c r="I91" s="3398">
        <f>I89*I90*10</f>
        <v>189</v>
      </c>
      <c r="M91" s="3398">
        <f>M90</f>
        <v>189</v>
      </c>
      <c r="N91" s="3376">
        <f>N90</f>
        <v>131.11927652016942</v>
      </c>
    </row>
    <row r="92" spans="5:16" ht="18.95" customHeight="1">
      <c r="G92" s="3399" t="s">
        <v>1003</v>
      </c>
      <c r="H92" s="3399"/>
      <c r="I92" s="3400">
        <f>Q46+I91*TAN(M79)</f>
        <v>131.11927652016942</v>
      </c>
    </row>
    <row r="93" spans="5:16" ht="18.95" customHeight="1"/>
    <row r="94" spans="5:16" ht="18.95" customHeight="1"/>
    <row r="95" spans="5:16" ht="18.95" customHeight="1"/>
    <row r="96" spans="5:16" ht="18.95" customHeight="1"/>
    <row r="97" ht="18.600000000000001" customHeight="1"/>
    <row r="98" ht="18.600000000000001" customHeight="1"/>
    <row r="99" ht="18.600000000000001" customHeight="1"/>
    <row r="100" ht="18.600000000000001" customHeight="1"/>
    <row r="101" ht="18.600000000000001" customHeight="1"/>
    <row r="102" ht="18.600000000000001" customHeight="1"/>
    <row r="103" ht="18.600000000000001" customHeight="1"/>
    <row r="104" ht="18.600000000000001" customHeight="1"/>
    <row r="105" ht="18.600000000000001" customHeight="1"/>
    <row r="106" ht="18.600000000000001" customHeight="1"/>
    <row r="107" ht="18.600000000000001" customHeight="1"/>
    <row r="108" ht="18.600000000000001" customHeight="1"/>
    <row r="109" ht="18.600000000000001" customHeight="1"/>
    <row r="110" ht="18.600000000000001" customHeight="1"/>
    <row r="111" ht="18.600000000000001" customHeight="1"/>
    <row r="112" ht="18.600000000000001" customHeight="1"/>
    <row r="113" ht="18.600000000000001" customHeight="1"/>
    <row r="114" ht="18.600000000000001" customHeight="1"/>
    <row r="115" ht="18.600000000000001" customHeight="1"/>
    <row r="116" ht="18.600000000000001" customHeight="1"/>
    <row r="117" ht="18.600000000000001" customHeight="1"/>
    <row r="118" ht="18.600000000000001" customHeight="1"/>
    <row r="119" ht="18.600000000000001" customHeight="1"/>
    <row r="120" ht="18.600000000000001" customHeight="1"/>
    <row r="121" ht="18.600000000000001" customHeight="1"/>
    <row r="122" ht="18.600000000000001" customHeight="1"/>
    <row r="123" ht="18.600000000000001" customHeight="1"/>
    <row r="124" ht="18.600000000000001" customHeight="1"/>
    <row r="125" ht="18.600000000000001" customHeight="1"/>
    <row r="126" ht="18.600000000000001" customHeight="1"/>
    <row r="127" ht="18.600000000000001" customHeight="1"/>
    <row r="128" ht="18.600000000000001" customHeight="1"/>
    <row r="129" ht="18.600000000000001" customHeight="1"/>
  </sheetData>
  <mergeCells count="18">
    <mergeCell ref="G83:H83"/>
    <mergeCell ref="D9:U9"/>
    <mergeCell ref="N18:Q18"/>
    <mergeCell ref="D31:E31"/>
    <mergeCell ref="I31:J31"/>
    <mergeCell ref="K31:L31"/>
    <mergeCell ref="R44:T44"/>
    <mergeCell ref="N50:S50"/>
    <mergeCell ref="G79:H79"/>
    <mergeCell ref="G80:H80"/>
    <mergeCell ref="G81:H81"/>
    <mergeCell ref="G82:H82"/>
    <mergeCell ref="D8:U8"/>
    <mergeCell ref="F2:S2"/>
    <mergeCell ref="F3:S3"/>
    <mergeCell ref="F4:S4"/>
    <mergeCell ref="F5:S5"/>
    <mergeCell ref="F6:U6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4" fitToHeight="0" orientation="portrait" r:id="rId1"/>
  <headerFooter>
    <oddFooter>&amp;R&amp;"Aptos,Regular"&amp;9Page &amp;P of &amp;N</oddFooter>
  </headerFooter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5CD12-8A63-4BFF-BC43-009D3CCA65E5}">
  <sheetPr codeName="Sheet3">
    <tabColor rgb="FFEE0000"/>
  </sheetPr>
  <dimension ref="A1:N44"/>
  <sheetViews>
    <sheetView showGridLines="0" workbookViewId="0">
      <selection activeCell="B9" sqref="B9"/>
    </sheetView>
  </sheetViews>
  <sheetFormatPr defaultColWidth="9" defaultRowHeight="13.5"/>
  <cols>
    <col min="1" max="1" width="17.375" style="1815" bestFit="1" customWidth="1"/>
    <col min="2" max="2" width="29.75" style="1816" customWidth="1"/>
    <col min="3" max="3" width="11.25" style="1817" customWidth="1"/>
    <col min="4" max="4" width="9.5" style="1817" customWidth="1"/>
    <col min="5" max="5" width="28" style="1815" bestFit="1" customWidth="1"/>
    <col min="6" max="6" width="2.5" style="1815" customWidth="1"/>
    <col min="7" max="7" width="4.125" style="1815" customWidth="1"/>
    <col min="8" max="8" width="40.625" style="1815" bestFit="1" customWidth="1"/>
    <col min="9" max="9" width="2.25" style="1815" customWidth="1"/>
    <col min="10" max="10" width="25.125" style="1815" bestFit="1" customWidth="1"/>
    <col min="11" max="11" width="16.5" style="1815" customWidth="1"/>
    <col min="12" max="12" width="24.5" style="1815" bestFit="1" customWidth="1"/>
    <col min="13" max="13" width="24.25" style="1815" bestFit="1" customWidth="1"/>
    <col min="14" max="14" width="23.125" style="1815" bestFit="1" customWidth="1"/>
    <col min="15" max="16384" width="9" style="1815"/>
  </cols>
  <sheetData>
    <row r="1" spans="1:14">
      <c r="A1" s="1815" t="s">
        <v>203</v>
      </c>
      <c r="B1" s="1816" t="s">
        <v>1535</v>
      </c>
      <c r="C1" s="2740">
        <v>1</v>
      </c>
      <c r="D1" s="1818" t="s">
        <v>505</v>
      </c>
      <c r="E1" s="1818" t="s">
        <v>506</v>
      </c>
      <c r="G1" s="1784" t="s">
        <v>1079</v>
      </c>
      <c r="H1" s="1785" t="s">
        <v>1080</v>
      </c>
      <c r="I1" s="1783"/>
      <c r="J1" s="25" t="s">
        <v>624</v>
      </c>
      <c r="K1" s="1819" t="s">
        <v>625</v>
      </c>
      <c r="L1" s="1820" t="s">
        <v>684</v>
      </c>
      <c r="M1" s="1820" t="s">
        <v>685</v>
      </c>
      <c r="N1" s="1815" t="s">
        <v>666</v>
      </c>
    </row>
    <row r="2" spans="1:14">
      <c r="A2" s="1815" t="s">
        <v>204</v>
      </c>
      <c r="B2" s="1816" t="s">
        <v>1559</v>
      </c>
      <c r="D2" s="1821" t="s">
        <v>497</v>
      </c>
      <c r="E2" s="1788" t="s">
        <v>839</v>
      </c>
      <c r="G2" s="1786">
        <v>1</v>
      </c>
      <c r="H2" s="1787" t="s">
        <v>838</v>
      </c>
      <c r="I2" s="1783"/>
      <c r="J2" s="25" t="s">
        <v>626</v>
      </c>
      <c r="K2" s="1822" t="s">
        <v>627</v>
      </c>
      <c r="L2" s="1823" t="s">
        <v>686</v>
      </c>
      <c r="M2" s="1823" t="s">
        <v>624</v>
      </c>
      <c r="N2" s="1815" t="s">
        <v>667</v>
      </c>
    </row>
    <row r="3" spans="1:14">
      <c r="A3" s="1815" t="s">
        <v>205</v>
      </c>
      <c r="B3" s="1824" t="s">
        <v>1379</v>
      </c>
      <c r="D3" s="1821" t="s">
        <v>213</v>
      </c>
      <c r="E3" s="1788" t="s">
        <v>840</v>
      </c>
      <c r="G3" s="1786">
        <v>2</v>
      </c>
      <c r="H3" s="1787" t="s">
        <v>1072</v>
      </c>
      <c r="I3" s="1783"/>
      <c r="J3" s="25" t="s">
        <v>628</v>
      </c>
      <c r="K3" s="1825" t="s">
        <v>629</v>
      </c>
      <c r="L3" s="1823" t="s">
        <v>687</v>
      </c>
      <c r="M3" s="1823" t="s">
        <v>626</v>
      </c>
      <c r="N3" s="1815" t="s">
        <v>668</v>
      </c>
    </row>
    <row r="4" spans="1:14">
      <c r="A4" s="1826" t="s">
        <v>206</v>
      </c>
      <c r="B4" s="1816" t="s">
        <v>1375</v>
      </c>
      <c r="D4" s="1821" t="s">
        <v>806</v>
      </c>
      <c r="E4" s="1788" t="s">
        <v>841</v>
      </c>
      <c r="G4" s="1786">
        <v>3</v>
      </c>
      <c r="H4" s="1787" t="s">
        <v>1073</v>
      </c>
      <c r="I4" s="1783"/>
      <c r="J4" s="25" t="s">
        <v>630</v>
      </c>
      <c r="K4" s="1827" t="s">
        <v>631</v>
      </c>
      <c r="L4" s="1823" t="s">
        <v>688</v>
      </c>
      <c r="M4" s="1823" t="s">
        <v>628</v>
      </c>
      <c r="N4" s="1815" t="s">
        <v>669</v>
      </c>
    </row>
    <row r="5" spans="1:14">
      <c r="A5" s="1826" t="s">
        <v>207</v>
      </c>
      <c r="B5" s="1816" t="s">
        <v>1376</v>
      </c>
      <c r="D5" s="1821" t="s">
        <v>1541</v>
      </c>
      <c r="E5" s="1788" t="s">
        <v>1545</v>
      </c>
      <c r="G5" s="1786">
        <v>4</v>
      </c>
      <c r="H5" s="1787" t="s">
        <v>1071</v>
      </c>
      <c r="I5" s="1783"/>
      <c r="J5" s="25" t="s">
        <v>632</v>
      </c>
      <c r="K5" s="1828" t="s">
        <v>633</v>
      </c>
      <c r="L5" s="1823" t="s">
        <v>664</v>
      </c>
      <c r="M5" s="1823" t="s">
        <v>630</v>
      </c>
      <c r="N5" s="1815" t="s">
        <v>670</v>
      </c>
    </row>
    <row r="6" spans="1:14">
      <c r="D6" s="1821" t="s">
        <v>823</v>
      </c>
      <c r="E6" s="1788"/>
      <c r="G6" s="1786">
        <v>5</v>
      </c>
      <c r="H6" s="1787" t="s">
        <v>1082</v>
      </c>
      <c r="I6" s="1783"/>
      <c r="J6" s="25" t="s">
        <v>634</v>
      </c>
      <c r="K6" s="1829" t="s">
        <v>635</v>
      </c>
      <c r="L6" s="1823" t="s">
        <v>689</v>
      </c>
      <c r="M6" s="1823" t="s">
        <v>632</v>
      </c>
      <c r="N6" s="1815" t="s">
        <v>671</v>
      </c>
    </row>
    <row r="7" spans="1:14">
      <c r="A7" s="1815" t="s">
        <v>1310</v>
      </c>
      <c r="B7" s="2741" t="str">
        <f>IF(
OR(B1="",B3="",B16="",B13="",B18="",C1=""),
"",
IFERROR(
_xlfn.LET(
_xlpm.lab_id,"23",
_xlpm.po,B3,
_xlpm.klien,MID(_xlpm.po,4,3),
_xlpm.no_po,VALUE(RIGHT(_xlpm.po,3)),
_xlpm.bh,B1,
_xlpm.isComp,ISNUMBER(SEARCH("Composite",_xlpm.bh)),
_xlpm.jenis_raw,B16,
_xlpm.jenis,IF(_xlpm.isComp,"CMT",
    IF(ISNUMBER(SEARCH("Undisturbed",_xlpm.jenis_raw)),"UDS",
    IF(ISNUMBER(SEARCH("Disturbed",_xlpm.jenis_raw)),"DS",
    IF(ISNUMBER(SEARCH("Bulk",_xlpm.jenis_raw)),"BLS","")))),
_xlpm.hol_id,IF(_xlpm.isComp,
LEFT(MID(_xlpm.bh,SEARCH("BH",_xlpm.bh),20),SEARCH("_",MID(_xlpm.bh,SEARCH("BH",_xlpm.bh),20))-1),
LEFT(_xlpm.bh,SEARCH("_",_xlpm.bh)-1)
),
_xlpm.seq_awal,IFERROR(VALUE(MID(_xlpm.bh,SEARCH("DS-",_xlpm.bh)+3,3)),""),
_xlpm.seq_akhir,IFERROR(VALUE(RIGHT(TRIM(_xlpm.bh),1)),""),
_xlpm.seq,IF(_xlpm.isComp,_xlpm.seq_awal&amp;"-"&amp;_xlpm.seq_akhir,IFERROR(VALUE(RIGHT(_xlpm.bh,2)),"")),
_xlpm.depth,B13,
_xlpm.kedalaman,IF(_xlpm.isComp,
IFERROR(TRIM(LEFT(_xlpm.depth,SEARCH("-",_xlpm.depth)-1))&amp;"-"&amp;TRIM(RIGHT(SUBSTITUTE(_xlpm.depth,"-",REPT(" ",100)),100)),""),
_xlpm.depth
),
_xlpm.tgl,TEXT(B18,"ddmmyy"),
_xlpm.no_urut,TEXT(C1,"000"),
_xlpm.lab_id&amp;"-"&amp;_xlpm.klien&amp;"-"&amp;_xlpm.no_po&amp;"-"&amp;_xlpm.jenis&amp;"-"&amp;_xlpm.seq&amp;"-"&amp;_xlpm.hol_id&amp;"-"&amp;_xlpm.kedalaman&amp;"-"&amp;_xlpm.tgl&amp;"-"&amp;_xlpm.no_urut
),
""
)
)</f>
        <v>23-GQT--19-UDS-1-BH-05-0,00-0,50-100726-001</v>
      </c>
      <c r="C7" s="1817" t="str">
        <f>IF(
OR(B1="",B3="",B16="",B13="",B18="",C1=""),
"",
IFERROR(
_xlfn.LET(
_xlpm.lab_id,"23",
_xlpm.po,B3,
_xlpm.klien,MID(_xlpm.po,4,3),
_xlpm.no_po,VALUE(RIGHT(_xlpm.po,3)),
_xlpm.bh,B1,
_xlpm.isComp,ISNUMBER(SEARCH("Composite",_xlpm.bh)),
_xlpm.jenis_raw,B16,
_xlpm.jenis,IF(_xlpm.isComp,"CMT",
    IF(ISNUMBER(SEARCH("Undisturbed",_xlpm.jenis_raw)),"UDS",
    IF(ISNUMBER(SEARCH("Disturbed",_xlpm.jenis_raw)),"DS",
    IF(ISNUMBER(SEARCH("Bulk",_xlpm.jenis_raw)),"BLS","")))),
_xlpm.hol_id,IF(_xlpm.isComp,
LEFT(MID(_xlpm.bh,SEARCH("BH",_xlpm.bh),20),SEARCH("_",MID(_xlpm.bh,SEARCH("BH",_xlpm.bh),20))-1),
LEFT(_xlpm.bh,SEARCH("_",_xlpm.bh)-1)
),
_xlpm.seq_awal,IFERROR(VALUE(MID(_xlpm.bh,SEARCH("DS-",_xlpm.bh)+3,3)),""),
_xlpm.seq_akhir,IFERROR(VALUE(RIGHT(TRIM(_xlpm.bh),1)),""),
_xlpm.seq,IF(_xlpm.isComp,_xlpm.seq_awal&amp;"-"&amp;_xlpm.seq_akhir,IFERROR(VALUE(RIGHT(_xlpm.bh,2)),"")),
_xlpm.depth,B13,
_xlpm.kedalaman,IF(_xlpm.isComp,
IFERROR(LEFT(_xlpm.depth,SEARCH(",",_xlpm.depth)-1)&amp;"-"&amp;RIGHT(TRIM(_xlpm.depth),LEN(TRIM(_xlpm.depth))-SEARCH("-",TRIM(_xlpm.depth))),""),
_xlpm.depth
),
_xlpm.tgl,TEXT(B18,"ddmmyyyy"),
_xlpm.no_urut,TEXT(C1,"000"),
_xlpm.lab_id&amp;"-"&amp;_xlpm.klien&amp;"-"&amp;_xlpm.no_po&amp;"-"&amp;_xlpm.jenis&amp;"-"&amp;_xlpm.seq&amp;"-"&amp;_xlpm.hol_id&amp;"-"&amp;_xlpm.kedalaman&amp;"-"&amp;_xlpm.tgl&amp;"-"&amp;_xlpm.no_urut
),
""
)
)</f>
        <v>23-GQT--19-UDS-1-BH-05-0,00-0,50-10072026-001</v>
      </c>
      <c r="D7" s="1821"/>
      <c r="E7" s="1788"/>
      <c r="G7" s="1786">
        <v>6</v>
      </c>
      <c r="H7" s="1787" t="s">
        <v>1070</v>
      </c>
      <c r="I7" s="1783"/>
      <c r="J7" s="25" t="s">
        <v>636</v>
      </c>
      <c r="K7" s="1830" t="s">
        <v>637</v>
      </c>
      <c r="L7" s="1823" t="s">
        <v>690</v>
      </c>
      <c r="M7" s="1823" t="s">
        <v>634</v>
      </c>
      <c r="N7" s="1815" t="s">
        <v>672</v>
      </c>
    </row>
    <row r="8" spans="1:14">
      <c r="A8" s="1815" t="s">
        <v>82</v>
      </c>
      <c r="B8" s="1816" t="s">
        <v>1562</v>
      </c>
      <c r="C8" s="1831" t="str">
        <f>CONCATENATE("Project : ",B8)</f>
        <v>Project : hidroplogi</v>
      </c>
      <c r="D8" s="1821"/>
      <c r="E8" s="1788"/>
      <c r="G8" s="1786">
        <v>7</v>
      </c>
      <c r="H8" s="1787" t="s">
        <v>1093</v>
      </c>
      <c r="I8" s="1783"/>
      <c r="J8" s="25" t="s">
        <v>638</v>
      </c>
      <c r="K8" s="1832" t="s">
        <v>639</v>
      </c>
      <c r="L8" s="1823" t="s">
        <v>691</v>
      </c>
      <c r="M8" s="1823" t="s">
        <v>636</v>
      </c>
      <c r="N8" s="1815" t="s">
        <v>673</v>
      </c>
    </row>
    <row r="9" spans="1:14">
      <c r="A9" s="1815" t="s">
        <v>208</v>
      </c>
      <c r="B9" s="1833" t="s">
        <v>1377</v>
      </c>
      <c r="C9" s="1831" t="str">
        <f>B9</f>
        <v>Morowali Utara</v>
      </c>
      <c r="D9" s="1821"/>
      <c r="E9" s="1788"/>
      <c r="G9" s="1786">
        <v>8</v>
      </c>
      <c r="H9" s="1787" t="s">
        <v>1074</v>
      </c>
      <c r="I9" s="1783"/>
      <c r="J9" s="25" t="s">
        <v>640</v>
      </c>
      <c r="K9" s="1834" t="s">
        <v>641</v>
      </c>
      <c r="L9" s="1823" t="s">
        <v>692</v>
      </c>
      <c r="M9" s="1823" t="s">
        <v>638</v>
      </c>
      <c r="N9" s="1815" t="s">
        <v>674</v>
      </c>
    </row>
    <row r="10" spans="1:14">
      <c r="D10" s="1821"/>
      <c r="E10" s="1788"/>
      <c r="G10" s="1786">
        <v>9</v>
      </c>
      <c r="H10" s="1788" t="s">
        <v>1075</v>
      </c>
      <c r="I10" s="1783"/>
      <c r="J10" s="25" t="s">
        <v>642</v>
      </c>
      <c r="K10" s="1835" t="s">
        <v>643</v>
      </c>
      <c r="L10" s="1823" t="s">
        <v>693</v>
      </c>
      <c r="M10" s="1823" t="s">
        <v>640</v>
      </c>
      <c r="N10" s="1815" t="s">
        <v>675</v>
      </c>
    </row>
    <row r="11" spans="1:14" ht="14.25" thickBot="1">
      <c r="A11" s="1815" t="s">
        <v>209</v>
      </c>
      <c r="B11" s="1816" t="str">
        <f>IF(
OR(B1="",B3="",B16="",B13="",B18="",C1=""),
"",
IFERROR(
_xlfn.LET(
_xlpm.lab_id,"23",
_xlpm.po,B3,
_xlpm.klien,MID(_xlpm.po,4,3),
_xlpm.no_po,VALUE(RIGHT(_xlpm.po,3)),
_xlpm.bh,B1,
_xlpm.isComp,ISNUMBER(SEARCH("Composite",_xlpm.bh)),
_xlpm.jenis_raw,B16,
_xlpm.jenis,IF(_xlpm.isComp,"CMT",
    IF(ISNUMBER(SEARCH("Undisturbed",_xlpm.jenis_raw)),"UDS",
    IF(ISNUMBER(SEARCH("Disturbed",_xlpm.jenis_raw)),"DS",
    IF(ISNUMBER(SEARCH("Bulk",_xlpm.jenis_raw)),"BLS","")))),
_xlpm.depth,B13,
_xlpm.kedalaman,IF(_xlpm.isComp,
IFERROR(TRIM(LEFT(_xlpm.depth,SEARCH("-",_xlpm.depth)-1))&amp;"-"&amp;TRIM(RIGHT(SUBSTITUTE(_xlpm.depth,"-",REPT(" ",100)),100)),""),
_xlpm.depth
),
_xlpm.tgl,TEXT(B18,"ddmmyy"),
_xlpm.no_urut,TEXT(C1,"000"),
_xlpm.lab_id&amp;"-"&amp;_xlpm.klien&amp;"-"&amp;_xlpm.no_po&amp;"-"&amp;_xlpm.jenis&amp;"-"&amp;_xlpm.bh&amp;"-"&amp;_xlpm.kedalaman&amp;"-"&amp;_xlpm.tgl&amp;"-"&amp;_xlpm.no_urut
),
""
)
)</f>
        <v>23-GQT--19-UDS-BH-05_UDS-01-0,00-0,50-100726-001</v>
      </c>
      <c r="G11" s="1786">
        <v>10</v>
      </c>
      <c r="H11" s="1787" t="s">
        <v>1068</v>
      </c>
      <c r="I11" s="1783"/>
      <c r="J11" s="25" t="s">
        <v>644</v>
      </c>
      <c r="K11" s="1836" t="s">
        <v>645</v>
      </c>
      <c r="L11" s="1823" t="s">
        <v>694</v>
      </c>
      <c r="M11" s="1823" t="s">
        <v>642</v>
      </c>
      <c r="N11" s="1815" t="s">
        <v>676</v>
      </c>
    </row>
    <row r="12" spans="1:14">
      <c r="A12" s="1815" t="s">
        <v>809</v>
      </c>
      <c r="B12" s="1837" t="str">
        <f>IF(ATB!AH79="NP","NP","(" &amp; ATB!AH79 &amp; ") " &amp; ('A. GS'!H12))</f>
        <v>NP</v>
      </c>
      <c r="C12" s="1838" t="str">
        <f>ATB!AH79</f>
        <v>NP</v>
      </c>
      <c r="D12" s="1817" t="s">
        <v>810</v>
      </c>
      <c r="E12" s="1839" t="s">
        <v>1086</v>
      </c>
      <c r="G12" s="1786">
        <v>11</v>
      </c>
      <c r="H12" s="1787" t="s">
        <v>1078</v>
      </c>
      <c r="I12" s="1783"/>
      <c r="J12" s="25" t="s">
        <v>640</v>
      </c>
      <c r="K12" s="1840" t="s">
        <v>646</v>
      </c>
      <c r="L12" s="1823" t="s">
        <v>695</v>
      </c>
      <c r="M12" s="1823" t="s">
        <v>644</v>
      </c>
      <c r="N12" s="1815" t="s">
        <v>674</v>
      </c>
    </row>
    <row r="13" spans="1:14">
      <c r="A13" s="1815" t="s">
        <v>528</v>
      </c>
      <c r="B13" s="2871" t="s">
        <v>1536</v>
      </c>
      <c r="C13" s="1817" t="str">
        <f>IFERROR(SUBSTITUTE(TRIM(LEFT(B13,FIND("-",B13)-1)),",","."),"")</f>
        <v>0.00</v>
      </c>
      <c r="E13" s="4881">
        <v>12</v>
      </c>
      <c r="G13" s="1786">
        <v>12</v>
      </c>
      <c r="H13" s="1787" t="s">
        <v>1067</v>
      </c>
      <c r="I13" s="1783"/>
      <c r="J13" s="25" t="s">
        <v>642</v>
      </c>
      <c r="K13" s="1841" t="s">
        <v>647</v>
      </c>
      <c r="L13" s="1823" t="s">
        <v>696</v>
      </c>
      <c r="M13" s="1823" t="s">
        <v>648</v>
      </c>
      <c r="N13" s="1815" t="s">
        <v>675</v>
      </c>
    </row>
    <row r="14" spans="1:14">
      <c r="A14" s="1815" t="s">
        <v>504</v>
      </c>
      <c r="B14" s="1842" t="str">
        <f>'A. GS'!H12</f>
        <v>silty CLAY with sand</v>
      </c>
      <c r="C14" s="1817" t="str">
        <f>IFERROR(SUBSTITUTE(TRIM(MID(B13,FIND("-",B13)+1,99)),",","."),"")</f>
        <v>0.50</v>
      </c>
      <c r="E14" s="4882"/>
      <c r="G14" s="1786">
        <v>13</v>
      </c>
      <c r="H14" s="1787" t="s">
        <v>1076</v>
      </c>
      <c r="I14" s="1783"/>
      <c r="J14" s="25" t="s">
        <v>648</v>
      </c>
      <c r="K14" s="1843" t="s">
        <v>649</v>
      </c>
      <c r="L14" s="1823" t="s">
        <v>697</v>
      </c>
      <c r="M14" s="1823" t="s">
        <v>651</v>
      </c>
      <c r="N14" s="1815" t="s">
        <v>677</v>
      </c>
    </row>
    <row r="15" spans="1:14" ht="14.25" thickBot="1">
      <c r="A15" s="1815" t="s">
        <v>529</v>
      </c>
      <c r="B15" s="1816" t="str">
        <f>IF(E13="","",IF(E15="",VLOOKUP(E13,G1:H24,2,0),VLOOKUP(E13,G1:H24,2,0)&amp;" to "&amp;VLOOKUP(E15,G1:H24,2,0)))</f>
        <v>Abu-abu / Gray</v>
      </c>
      <c r="C15" s="1844" t="s">
        <v>847</v>
      </c>
      <c r="E15" s="4058"/>
      <c r="G15" s="1786">
        <v>14</v>
      </c>
      <c r="H15" s="1787" t="s">
        <v>1069</v>
      </c>
      <c r="I15" s="1783"/>
      <c r="J15" s="25" t="s">
        <v>636</v>
      </c>
      <c r="K15" s="1845" t="s">
        <v>650</v>
      </c>
      <c r="L15" s="1823" t="s">
        <v>698</v>
      </c>
      <c r="M15" s="1823" t="s">
        <v>653</v>
      </c>
      <c r="N15" s="1815" t="s">
        <v>672</v>
      </c>
    </row>
    <row r="16" spans="1:14">
      <c r="A16" s="1815" t="s">
        <v>503</v>
      </c>
      <c r="B16" s="1816" t="s">
        <v>839</v>
      </c>
      <c r="C16" s="1846" t="str">
        <f>"The samples were received as "&amp;B16&amp;" and the validity of the sampling process was not verified by the laboratory."</f>
        <v>The samples were received as Undisturbed Sample / UDS and the validity of the sampling process was not verified by the laboratory.</v>
      </c>
      <c r="G16" s="1786">
        <v>15</v>
      </c>
      <c r="H16" s="1787" t="s">
        <v>1077</v>
      </c>
      <c r="I16" s="1783"/>
      <c r="J16" s="25" t="s">
        <v>651</v>
      </c>
      <c r="K16" s="1847" t="s">
        <v>652</v>
      </c>
      <c r="L16" s="1823" t="s">
        <v>699</v>
      </c>
      <c r="M16" s="1823" t="s">
        <v>655</v>
      </c>
      <c r="N16" s="1815" t="s">
        <v>678</v>
      </c>
    </row>
    <row r="17" spans="1:14">
      <c r="A17" s="1815" t="s">
        <v>814</v>
      </c>
      <c r="B17" s="1848"/>
      <c r="C17" s="1849" t="s">
        <v>782</v>
      </c>
      <c r="D17" s="1817" t="s">
        <v>802</v>
      </c>
      <c r="G17" s="1786">
        <v>16</v>
      </c>
      <c r="H17" s="1787" t="s">
        <v>1084</v>
      </c>
      <c r="I17" s="1783"/>
      <c r="J17" s="25" t="s">
        <v>653</v>
      </c>
      <c r="K17" s="1850" t="s">
        <v>654</v>
      </c>
      <c r="L17" s="1823" t="s">
        <v>665</v>
      </c>
      <c r="M17" s="1823" t="s">
        <v>657</v>
      </c>
      <c r="N17" s="1815" t="s">
        <v>679</v>
      </c>
    </row>
    <row r="18" spans="1:14">
      <c r="A18" s="1815" t="s">
        <v>811</v>
      </c>
      <c r="B18" s="1848">
        <v>46213</v>
      </c>
      <c r="C18" s="1851"/>
      <c r="D18" s="1817" t="s">
        <v>813</v>
      </c>
      <c r="G18" s="1786">
        <v>17</v>
      </c>
      <c r="H18" s="1787" t="s">
        <v>1085</v>
      </c>
      <c r="I18" s="1783"/>
      <c r="J18" s="25" t="s">
        <v>655</v>
      </c>
      <c r="K18" s="1852" t="s">
        <v>656</v>
      </c>
      <c r="L18" s="1823" t="s">
        <v>700</v>
      </c>
      <c r="M18" s="1823" t="s">
        <v>660</v>
      </c>
      <c r="N18" s="1815" t="s">
        <v>680</v>
      </c>
    </row>
    <row r="19" spans="1:14">
      <c r="A19" s="1815" t="s">
        <v>812</v>
      </c>
      <c r="B19" s="1848">
        <v>46217</v>
      </c>
      <c r="C19" s="1853"/>
      <c r="G19" s="1786">
        <v>18</v>
      </c>
      <c r="H19" s="1787" t="s">
        <v>1083</v>
      </c>
      <c r="I19" s="1783"/>
      <c r="J19" s="25" t="s">
        <v>657</v>
      </c>
      <c r="K19" s="1854" t="s">
        <v>658</v>
      </c>
      <c r="L19" s="1823" t="s">
        <v>701</v>
      </c>
      <c r="M19" s="1823" t="s">
        <v>662</v>
      </c>
      <c r="N19" s="1815" t="s">
        <v>681</v>
      </c>
    </row>
    <row r="20" spans="1:14">
      <c r="A20" s="1815" t="s">
        <v>75</v>
      </c>
      <c r="B20" s="1855" t="s">
        <v>806</v>
      </c>
      <c r="G20" s="1786">
        <v>19</v>
      </c>
      <c r="H20" s="1787" t="s">
        <v>1081</v>
      </c>
      <c r="I20" s="1783"/>
      <c r="J20" s="25" t="s">
        <v>653</v>
      </c>
      <c r="K20" s="1856" t="s">
        <v>659</v>
      </c>
      <c r="N20" s="1815" t="s">
        <v>679</v>
      </c>
    </row>
    <row r="21" spans="1:14">
      <c r="A21" s="1815" t="s">
        <v>211</v>
      </c>
      <c r="G21" s="1786">
        <v>20</v>
      </c>
      <c r="H21" s="1787"/>
      <c r="I21" s="1783"/>
      <c r="J21" s="25" t="s">
        <v>660</v>
      </c>
      <c r="K21" s="1857" t="s">
        <v>661</v>
      </c>
      <c r="N21" s="1815" t="s">
        <v>682</v>
      </c>
    </row>
    <row r="22" spans="1:14">
      <c r="A22" s="1815" t="s">
        <v>74</v>
      </c>
      <c r="B22" s="1816" t="s">
        <v>527</v>
      </c>
      <c r="J22" s="25" t="s">
        <v>662</v>
      </c>
      <c r="K22" s="1858" t="s">
        <v>663</v>
      </c>
      <c r="N22" s="1815" t="s">
        <v>683</v>
      </c>
    </row>
    <row r="23" spans="1:14">
      <c r="A23" s="1815" t="s">
        <v>212</v>
      </c>
    </row>
    <row r="24" spans="1:14">
      <c r="A24" s="1815" t="s">
        <v>800</v>
      </c>
      <c r="B24" s="1859">
        <v>46216</v>
      </c>
    </row>
    <row r="25" spans="1:14">
      <c r="A25" s="1815" t="s">
        <v>801</v>
      </c>
      <c r="B25" s="1848">
        <v>46216</v>
      </c>
    </row>
    <row r="27" spans="1:14" ht="14.25" thickBot="1">
      <c r="A27" s="1815" t="s">
        <v>1544</v>
      </c>
      <c r="B27" s="1816" t="s">
        <v>1090</v>
      </c>
      <c r="F27" s="1823"/>
    </row>
    <row r="28" spans="1:14">
      <c r="A28" s="1860" t="s">
        <v>1044</v>
      </c>
      <c r="B28" s="1861">
        <v>46204</v>
      </c>
      <c r="C28" s="2740">
        <v>1</v>
      </c>
      <c r="D28" s="1788" t="s">
        <v>839</v>
      </c>
      <c r="E28" s="1788" t="s">
        <v>868</v>
      </c>
    </row>
    <row r="29" spans="1:14">
      <c r="A29" s="1862" t="s">
        <v>1087</v>
      </c>
      <c r="B29" s="1863">
        <v>46212</v>
      </c>
      <c r="C29" s="2740">
        <v>1</v>
      </c>
      <c r="D29" s="1788" t="s">
        <v>840</v>
      </c>
      <c r="E29" s="1788" t="s">
        <v>869</v>
      </c>
    </row>
    <row r="30" spans="1:14">
      <c r="A30" s="1862" t="s">
        <v>1091</v>
      </c>
      <c r="B30" s="1863">
        <v>46214</v>
      </c>
      <c r="C30" s="2740">
        <v>1</v>
      </c>
      <c r="D30" s="1788" t="s">
        <v>841</v>
      </c>
      <c r="E30" s="1788" t="s">
        <v>870</v>
      </c>
    </row>
    <row r="31" spans="1:14">
      <c r="A31" s="1862" t="s">
        <v>1088</v>
      </c>
      <c r="B31" s="1863">
        <v>46219</v>
      </c>
      <c r="C31" s="2740">
        <v>1</v>
      </c>
      <c r="D31" s="1788" t="s">
        <v>1545</v>
      </c>
      <c r="E31" s="1788" t="s">
        <v>1546</v>
      </c>
    </row>
    <row r="32" spans="1:14">
      <c r="A32" s="1862" t="s">
        <v>1049</v>
      </c>
      <c r="B32" s="1863">
        <v>46218</v>
      </c>
      <c r="C32" s="2740">
        <v>1</v>
      </c>
      <c r="D32" s="1788"/>
      <c r="E32" s="1788" t="s">
        <v>1547</v>
      </c>
    </row>
    <row r="33" spans="1:6">
      <c r="A33" s="1862" t="s">
        <v>1089</v>
      </c>
      <c r="B33" s="1863">
        <v>46220</v>
      </c>
      <c r="C33" s="2740">
        <v>1</v>
      </c>
      <c r="D33" s="1864" t="str">
        <f>VLOOKUP(B16,D28:E32,2,0)</f>
        <v>Sampel Tidak Terganggu / UDS</v>
      </c>
    </row>
    <row r="34" spans="1:6">
      <c r="A34" s="1862" t="s">
        <v>1050</v>
      </c>
      <c r="B34" s="1863">
        <v>46221</v>
      </c>
      <c r="C34" s="2740">
        <v>1</v>
      </c>
      <c r="D34" s="1817" t="str">
        <f>"Sampel diterima sebagai "&amp;D33&amp;" dan keabsahan proses pengambilan sampel tidak diverifikasi oleh laboratorium"</f>
        <v>Sampel diterima sebagai Sampel Tidak Terganggu / UDS dan keabsahan proses pengambilan sampel tidak diverifikasi oleh laboratorium</v>
      </c>
    </row>
    <row r="35" spans="1:6">
      <c r="A35" s="1862" t="s">
        <v>1092</v>
      </c>
      <c r="B35" s="1863">
        <v>46223</v>
      </c>
      <c r="C35" s="2740">
        <v>1</v>
      </c>
      <c r="D35" s="1815"/>
      <c r="F35" s="1823"/>
    </row>
    <row r="36" spans="1:6">
      <c r="A36" s="1862" t="s">
        <v>1096</v>
      </c>
      <c r="B36" s="2840">
        <v>46224</v>
      </c>
      <c r="C36" s="2740">
        <v>1</v>
      </c>
      <c r="D36" s="1815"/>
      <c r="F36" s="1823"/>
    </row>
    <row r="37" spans="1:6">
      <c r="A37" s="1862" t="s">
        <v>1331</v>
      </c>
      <c r="B37" s="2840">
        <v>46225</v>
      </c>
      <c r="C37" s="2740">
        <v>1</v>
      </c>
      <c r="D37" s="1815"/>
      <c r="F37" s="1823"/>
    </row>
    <row r="38" spans="1:6">
      <c r="A38" s="1862" t="s">
        <v>1333</v>
      </c>
      <c r="B38" s="2840">
        <v>46226</v>
      </c>
      <c r="C38" s="2740">
        <v>1</v>
      </c>
      <c r="D38" s="1815"/>
      <c r="F38" s="1823"/>
    </row>
    <row r="39" spans="1:6">
      <c r="A39" s="2924" t="s">
        <v>1542</v>
      </c>
      <c r="B39" s="4033">
        <v>46227</v>
      </c>
      <c r="C39" s="2740">
        <v>1</v>
      </c>
      <c r="D39" s="1815"/>
      <c r="F39" s="1823"/>
    </row>
    <row r="40" spans="1:6" ht="14.25" thickBot="1">
      <c r="A40" s="2925" t="s">
        <v>1543</v>
      </c>
      <c r="B40" s="4059">
        <v>46230</v>
      </c>
      <c r="C40" s="2740">
        <v>1</v>
      </c>
      <c r="D40" s="1815"/>
      <c r="F40" s="1823"/>
    </row>
    <row r="41" spans="1:6">
      <c r="D41" s="1815"/>
      <c r="F41" s="1823"/>
    </row>
    <row r="42" spans="1:6">
      <c r="D42" s="1815"/>
      <c r="F42" s="1823"/>
    </row>
    <row r="43" spans="1:6">
      <c r="D43" s="1815"/>
      <c r="F43" s="1823"/>
    </row>
    <row r="44" spans="1:6">
      <c r="D44" s="1815"/>
      <c r="F44" s="1823"/>
    </row>
  </sheetData>
  <mergeCells count="1">
    <mergeCell ref="E13:E14"/>
  </mergeCells>
  <conditionalFormatting sqref="B1:B5 B8:B9 B13 B16:B19 C18 B24:B25">
    <cfRule type="containsBlanks" dxfId="4" priority="6">
      <formula>LEN(TRIM(B1))=0</formula>
    </cfRule>
  </conditionalFormatting>
  <conditionalFormatting sqref="B28:B40">
    <cfRule type="expression" dxfId="3" priority="2">
      <formula>$C28=""</formula>
    </cfRule>
    <cfRule type="expression" dxfId="2" priority="3">
      <formula>$B28&lt;&gt;""</formula>
    </cfRule>
    <cfRule type="expression" dxfId="1" priority="4">
      <formula>AND($C28=1,$B28="")</formula>
    </cfRule>
  </conditionalFormatting>
  <conditionalFormatting sqref="C1">
    <cfRule type="containsBlanks" dxfId="0" priority="5">
      <formula>LEN(TRIM(C1))=0</formula>
    </cfRule>
  </conditionalFormatting>
  <conditionalFormatting sqref="C28:C40">
    <cfRule type="iconSet" priority="1">
      <iconSet iconSet="3Symbols2" showValue="0">
        <cfvo type="percent" val="0"/>
        <cfvo type="percent" val="0"/>
        <cfvo type="percent" val="1"/>
      </iconSet>
    </cfRule>
  </conditionalFormatting>
  <dataValidations count="2">
    <dataValidation type="list" allowBlank="1" showInputMessage="1" showErrorMessage="1" sqref="B20" xr:uid="{8CEDD4AC-60F8-4654-A549-3422447F07F4}">
      <formula1>$D$2:$D$4</formula1>
    </dataValidation>
    <dataValidation type="list" showInputMessage="1" showErrorMessage="1" sqref="B16" xr:uid="{9EBABA05-DB48-4F82-BE26-46030A26C588}">
      <formula1>$E$2:$E$5</formula1>
    </dataValidation>
  </dataValidations>
  <pageMargins left="0.75" right="0.75" top="1" bottom="1" header="0.5" footer="0.5"/>
  <pageSetup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59286-13F2-4A78-8E14-1E499DBE2B85}">
  <sheetPr>
    <pageSetUpPr fitToPage="1"/>
  </sheetPr>
  <dimension ref="A1:CE109"/>
  <sheetViews>
    <sheetView showGridLines="0" zoomScaleNormal="100" zoomScaleSheetLayoutView="100" workbookViewId="0">
      <selection activeCell="E12" sqref="E12:K12"/>
    </sheetView>
  </sheetViews>
  <sheetFormatPr defaultColWidth="8" defaultRowHeight="11.25"/>
  <cols>
    <col min="1" max="1" width="1.625" style="3408" customWidth="1"/>
    <col min="2" max="2" width="8" style="3408"/>
    <col min="3" max="3" width="10.375" style="3408" customWidth="1"/>
    <col min="4" max="4" width="6.75" style="3408" customWidth="1"/>
    <col min="5" max="6" width="8" style="3408"/>
    <col min="7" max="7" width="5" style="3408" customWidth="1"/>
    <col min="8" max="8" width="4" style="3408" customWidth="1"/>
    <col min="9" max="12" width="7" style="3408" customWidth="1"/>
    <col min="13" max="13" width="11.125" style="3408" customWidth="1"/>
    <col min="14" max="14" width="1.875" style="3408" customWidth="1"/>
    <col min="15" max="15" width="8" style="3408"/>
    <col min="16" max="16" width="1.25" style="3408" bestFit="1" customWidth="1"/>
    <col min="17" max="17" width="9.25" style="3408" customWidth="1"/>
    <col min="18" max="18" width="4.125" style="3408" customWidth="1"/>
    <col min="19" max="19" width="1.625" style="3408" customWidth="1"/>
    <col min="20" max="20" width="1.375" style="3408" customWidth="1"/>
    <col min="21" max="22" width="8" style="3408" customWidth="1"/>
    <col min="23" max="23" width="2.375" style="3408" customWidth="1"/>
    <col min="24" max="24" width="9.375" style="3408" customWidth="1"/>
    <col min="25" max="28" width="7.625" style="3408" customWidth="1"/>
    <col min="29" max="29" width="2.375" style="3408" customWidth="1"/>
    <col min="30" max="30" width="5.875" style="3408" customWidth="1"/>
    <col min="31" max="31" width="3.25" style="3409" customWidth="1"/>
    <col min="32" max="34" width="8.625" style="3409" customWidth="1"/>
    <col min="35" max="37" width="5" style="3409" customWidth="1"/>
    <col min="38" max="38" width="3.25" style="3409" customWidth="1"/>
    <col min="39" max="39" width="7.625" style="3408" customWidth="1"/>
    <col min="40" max="40" width="10" style="3408" customWidth="1"/>
    <col min="41" max="41" width="8" style="3408"/>
    <col min="42" max="42" width="11.5" style="3408" customWidth="1"/>
    <col min="43" max="53" width="8" style="3408"/>
    <col min="54" max="54" width="8.25" style="3408" customWidth="1"/>
    <col min="55" max="16384" width="8" style="3408"/>
  </cols>
  <sheetData>
    <row r="1" spans="1:58" ht="9.75" customHeight="1">
      <c r="A1" s="3404"/>
      <c r="B1" s="4884"/>
      <c r="C1" s="4884"/>
      <c r="D1" s="4884"/>
      <c r="E1" s="4884"/>
      <c r="F1" s="4884"/>
      <c r="G1" s="4884"/>
      <c r="H1" s="4884"/>
      <c r="I1" s="3406"/>
      <c r="J1" s="3406"/>
      <c r="K1" s="3406"/>
      <c r="L1" s="3406"/>
      <c r="M1" s="3406"/>
      <c r="N1" s="3405"/>
      <c r="O1" s="3405"/>
      <c r="P1" s="3405"/>
      <c r="Q1" s="3405"/>
      <c r="R1" s="3405"/>
      <c r="S1" s="3405"/>
      <c r="T1" s="3407"/>
    </row>
    <row r="2" spans="1:58" ht="15.75" customHeight="1">
      <c r="A2" s="3410"/>
      <c r="B2" s="3411"/>
      <c r="C2" s="3412"/>
      <c r="D2" s="4888" t="s">
        <v>821</v>
      </c>
      <c r="E2" s="4889"/>
      <c r="F2" s="4889"/>
      <c r="G2" s="4889"/>
      <c r="H2" s="4889"/>
      <c r="I2" s="4889"/>
      <c r="J2" s="4889"/>
      <c r="K2" s="4889"/>
      <c r="L2" s="4889"/>
      <c r="M2" s="4889"/>
      <c r="N2" s="4889"/>
      <c r="O2" s="4889"/>
      <c r="P2" s="4889"/>
      <c r="Q2" s="4889"/>
      <c r="R2" s="4889"/>
      <c r="S2" s="4890"/>
      <c r="T2" s="4031"/>
      <c r="U2" s="4010"/>
      <c r="V2" s="4010"/>
      <c r="W2" s="4010"/>
      <c r="X2" s="4010"/>
      <c r="Y2" s="4010"/>
      <c r="Z2" s="4010"/>
      <c r="AA2" s="4011"/>
      <c r="AB2" s="3415"/>
      <c r="AC2" s="3415"/>
      <c r="AD2" s="3416" t="s">
        <v>1380</v>
      </c>
      <c r="AE2" s="3417"/>
      <c r="AF2" s="3418"/>
      <c r="AG2" s="3418"/>
      <c r="AH2" s="3419"/>
      <c r="AI2" s="3417"/>
      <c r="AJ2" s="3417"/>
      <c r="AK2" s="3417"/>
      <c r="AL2" s="3420"/>
      <c r="AO2" s="3421"/>
    </row>
    <row r="3" spans="1:58" ht="15.75" customHeight="1">
      <c r="A3" s="3410"/>
      <c r="B3" s="3998"/>
      <c r="C3" s="3996"/>
      <c r="D3" s="4891" t="s">
        <v>819</v>
      </c>
      <c r="E3" s="4892"/>
      <c r="F3" s="4892"/>
      <c r="G3" s="4892"/>
      <c r="H3" s="4892"/>
      <c r="I3" s="4892"/>
      <c r="J3" s="4892"/>
      <c r="K3" s="4892"/>
      <c r="L3" s="4892"/>
      <c r="M3" s="4892"/>
      <c r="N3" s="4892"/>
      <c r="O3" s="4892"/>
      <c r="P3" s="4892"/>
      <c r="Q3" s="4892"/>
      <c r="R3" s="4892"/>
      <c r="S3" s="4893"/>
      <c r="T3" s="4030"/>
      <c r="U3" s="2857"/>
      <c r="V3" s="2857"/>
      <c r="W3" s="2857"/>
      <c r="X3" s="2857"/>
      <c r="Y3" s="2857"/>
      <c r="Z3" s="2857"/>
      <c r="AA3" s="4012"/>
      <c r="AD3" s="3425" t="s">
        <v>1381</v>
      </c>
      <c r="AE3" s="3426"/>
      <c r="AF3" s="3427"/>
      <c r="AG3" s="3427"/>
      <c r="AH3" s="3428"/>
      <c r="AI3" s="3426"/>
      <c r="AJ3" s="3426"/>
      <c r="AK3" s="3426"/>
      <c r="AL3" s="3429"/>
      <c r="AO3" s="3421"/>
    </row>
    <row r="4" spans="1:58" ht="15.75" customHeight="1">
      <c r="A4" s="3410"/>
      <c r="B4" s="3998"/>
      <c r="C4" s="3996"/>
      <c r="D4" s="4891" t="s">
        <v>820</v>
      </c>
      <c r="E4" s="4892"/>
      <c r="F4" s="4892"/>
      <c r="G4" s="4892"/>
      <c r="H4" s="4892"/>
      <c r="I4" s="4892"/>
      <c r="J4" s="4892"/>
      <c r="K4" s="4892"/>
      <c r="L4" s="4892"/>
      <c r="M4" s="4892"/>
      <c r="N4" s="4892"/>
      <c r="O4" s="4892"/>
      <c r="P4" s="4892"/>
      <c r="Q4" s="4892"/>
      <c r="R4" s="4892"/>
      <c r="S4" s="4893"/>
      <c r="T4" s="4030"/>
      <c r="U4" s="2857"/>
      <c r="V4" s="2857"/>
      <c r="W4" s="2857"/>
      <c r="X4" s="2857"/>
      <c r="Y4" s="2857"/>
      <c r="Z4" s="2857"/>
      <c r="AA4" s="4012"/>
      <c r="AD4" s="3430" t="s">
        <v>1382</v>
      </c>
      <c r="AE4" s="3426"/>
      <c r="AF4" s="3428"/>
      <c r="AG4" s="3428"/>
      <c r="AH4" s="3430" t="s">
        <v>1383</v>
      </c>
      <c r="AJ4" s="3431"/>
      <c r="AK4" s="3426"/>
      <c r="AL4" s="3432"/>
      <c r="AM4" s="3433"/>
      <c r="AN4" s="3434"/>
      <c r="AO4" s="3435"/>
      <c r="AP4" s="3434"/>
      <c r="AQ4" s="3434"/>
      <c r="AX4" s="3434"/>
      <c r="AY4" s="3434"/>
      <c r="AZ4" s="3434"/>
      <c r="BA4" s="3434"/>
    </row>
    <row r="5" spans="1:58" ht="15.75" customHeight="1">
      <c r="A5" s="3410"/>
      <c r="B5" s="3998"/>
      <c r="C5" s="3996"/>
      <c r="D5" s="4891" t="s">
        <v>830</v>
      </c>
      <c r="E5" s="4892"/>
      <c r="F5" s="4892"/>
      <c r="G5" s="4892"/>
      <c r="H5" s="4892"/>
      <c r="I5" s="4892"/>
      <c r="J5" s="4892"/>
      <c r="K5" s="4892"/>
      <c r="L5" s="4892"/>
      <c r="M5" s="4892"/>
      <c r="N5" s="4892"/>
      <c r="O5" s="4892"/>
      <c r="P5" s="4892"/>
      <c r="Q5" s="4892"/>
      <c r="R5" s="4892"/>
      <c r="S5" s="4893"/>
      <c r="T5" s="4030"/>
      <c r="U5" s="2857"/>
      <c r="V5" s="2857"/>
      <c r="W5" s="2857"/>
      <c r="X5" s="2857"/>
      <c r="Y5" s="2857"/>
      <c r="Z5" s="2857"/>
      <c r="AA5" s="4012"/>
      <c r="AD5" s="4005"/>
      <c r="AE5" s="4006"/>
      <c r="AF5" s="4007"/>
      <c r="AG5" s="4007"/>
      <c r="AH5" s="4005"/>
      <c r="AJ5" s="4008"/>
      <c r="AK5" s="4006"/>
      <c r="AL5" s="4009"/>
      <c r="AM5" s="3433"/>
      <c r="AN5" s="3434"/>
      <c r="AO5" s="3435"/>
      <c r="AP5" s="3434"/>
      <c r="AQ5" s="3434"/>
      <c r="AX5" s="3434"/>
      <c r="AY5" s="3434"/>
      <c r="AZ5" s="3434"/>
      <c r="BA5" s="3434"/>
    </row>
    <row r="6" spans="1:58" ht="15.75" customHeight="1">
      <c r="A6" s="3410"/>
      <c r="B6" s="3999"/>
      <c r="C6" s="4000"/>
      <c r="D6" s="4894" t="s">
        <v>827</v>
      </c>
      <c r="E6" s="4895"/>
      <c r="F6" s="4895"/>
      <c r="G6" s="4895"/>
      <c r="H6" s="4895"/>
      <c r="I6" s="4895"/>
      <c r="J6" s="4895"/>
      <c r="K6" s="4895"/>
      <c r="L6" s="4895"/>
      <c r="M6" s="4895"/>
      <c r="N6" s="4895"/>
      <c r="O6" s="4895"/>
      <c r="P6" s="4895"/>
      <c r="Q6" s="4895"/>
      <c r="R6" s="4895"/>
      <c r="S6" s="4896"/>
      <c r="T6" s="4032"/>
      <c r="U6" s="4013"/>
      <c r="V6" s="4013"/>
      <c r="W6" s="4013"/>
      <c r="X6" s="4013"/>
      <c r="Y6" s="4013"/>
      <c r="Z6" s="4013"/>
      <c r="AA6" s="4014"/>
      <c r="AB6" s="3437"/>
      <c r="AC6" s="3437"/>
      <c r="AD6" s="3438" t="s">
        <v>1384</v>
      </c>
      <c r="AE6" s="3439"/>
      <c r="AF6" s="3440"/>
      <c r="AG6" s="3440"/>
      <c r="AH6" s="3438" t="s">
        <v>1385</v>
      </c>
      <c r="AI6" s="3439"/>
      <c r="AJ6" s="3441" t="e">
        <f>#REF!</f>
        <v>#REF!</v>
      </c>
      <c r="AK6" s="3439"/>
      <c r="AL6" s="3442"/>
      <c r="AM6" s="3443"/>
      <c r="AN6" s="3444"/>
      <c r="AO6" s="3421"/>
      <c r="AP6" s="3445"/>
      <c r="AQ6" s="3445"/>
      <c r="AX6" s="3445"/>
      <c r="AY6" s="3445"/>
      <c r="AZ6" s="3444"/>
      <c r="BA6" s="3444"/>
    </row>
    <row r="7" spans="1:58" ht="6.75" customHeight="1">
      <c r="A7" s="3446"/>
      <c r="B7" s="3447"/>
      <c r="C7" s="3447"/>
      <c r="D7" s="3447"/>
      <c r="E7" s="3447"/>
      <c r="F7" s="3447"/>
      <c r="G7" s="3447"/>
      <c r="H7" s="3447"/>
      <c r="I7" s="3422"/>
      <c r="J7" s="3422"/>
      <c r="K7" s="3422"/>
      <c r="L7" s="3422"/>
      <c r="M7" s="3422"/>
      <c r="N7" s="3448"/>
      <c r="O7" s="3448"/>
      <c r="P7" s="3448"/>
      <c r="Q7" s="3448"/>
      <c r="R7" s="3448"/>
      <c r="S7" s="3448"/>
      <c r="T7" s="3449"/>
      <c r="W7" s="3424"/>
      <c r="AL7" s="3450"/>
      <c r="AM7" s="3443"/>
      <c r="AO7" s="3421"/>
      <c r="AP7" s="3445"/>
      <c r="AQ7" s="3445"/>
      <c r="AX7" s="3445"/>
      <c r="AY7" s="3445"/>
      <c r="BC7" s="3451" t="s">
        <v>1386</v>
      </c>
      <c r="BD7" s="3451"/>
      <c r="BE7" s="3451"/>
      <c r="BF7" s="3451"/>
    </row>
    <row r="8" spans="1:58" ht="15.95" customHeight="1">
      <c r="A8" s="3278"/>
      <c r="B8" s="4885" t="s">
        <v>1387</v>
      </c>
      <c r="C8" s="4886"/>
      <c r="D8" s="4886"/>
      <c r="E8" s="4886"/>
      <c r="F8" s="4886"/>
      <c r="G8" s="4886"/>
      <c r="H8" s="4886"/>
      <c r="I8" s="4886"/>
      <c r="J8" s="4886"/>
      <c r="K8" s="4886"/>
      <c r="L8" s="4886"/>
      <c r="M8" s="4886"/>
      <c r="N8" s="4886"/>
      <c r="O8" s="4886"/>
      <c r="P8" s="4886"/>
      <c r="Q8" s="4886"/>
      <c r="R8" s="4886"/>
      <c r="S8" s="4887"/>
      <c r="T8" s="1755"/>
      <c r="V8" s="3421"/>
      <c r="W8" s="4029" t="s">
        <v>1388</v>
      </c>
      <c r="X8" s="3421"/>
      <c r="Y8" s="3443"/>
      <c r="Z8" s="3443"/>
      <c r="AA8" s="3444"/>
      <c r="AB8" s="3444"/>
      <c r="AC8" s="3444"/>
      <c r="AD8" s="3444"/>
      <c r="AE8" s="3444"/>
      <c r="AF8" s="3444"/>
      <c r="AG8" s="3444"/>
      <c r="AH8" s="3444"/>
      <c r="AI8" s="3444"/>
      <c r="AJ8" s="3444"/>
      <c r="AK8" s="3444"/>
      <c r="AL8" s="3452"/>
      <c r="AM8" s="3443"/>
      <c r="AO8" s="3421"/>
      <c r="AP8" s="3453"/>
      <c r="AQ8" s="3453"/>
      <c r="AX8" s="3453"/>
      <c r="AY8" s="3453"/>
      <c r="BC8" s="3451"/>
      <c r="BD8" s="3451"/>
      <c r="BE8" s="3451"/>
      <c r="BF8" s="3451"/>
    </row>
    <row r="9" spans="1:58" ht="18.75">
      <c r="A9" s="3278"/>
      <c r="B9" s="4580" t="s">
        <v>1389</v>
      </c>
      <c r="C9" s="4581"/>
      <c r="D9" s="4581"/>
      <c r="E9" s="4581"/>
      <c r="F9" s="4581"/>
      <c r="G9" s="4581"/>
      <c r="H9" s="4581"/>
      <c r="I9" s="4581"/>
      <c r="J9" s="4581"/>
      <c r="K9" s="4581"/>
      <c r="L9" s="4581"/>
      <c r="M9" s="4581"/>
      <c r="N9" s="4581"/>
      <c r="O9" s="4581"/>
      <c r="P9" s="4581"/>
      <c r="Q9" s="4581"/>
      <c r="R9" s="4581"/>
      <c r="S9" s="4582"/>
      <c r="T9" s="1755"/>
      <c r="W9" s="3454" t="s">
        <v>1390</v>
      </c>
      <c r="X9" s="3443"/>
      <c r="Y9" s="3443"/>
      <c r="Z9" s="3443"/>
      <c r="AA9" s="3444"/>
      <c r="AB9" s="3444"/>
      <c r="AC9" s="3444"/>
      <c r="AD9" s="3444"/>
      <c r="AE9" s="3444"/>
      <c r="AF9" s="3444"/>
      <c r="AG9" s="3444"/>
      <c r="AH9" s="3444"/>
      <c r="AI9" s="3444"/>
      <c r="AJ9" s="3444"/>
      <c r="AK9" s="3444"/>
      <c r="AL9" s="3452"/>
      <c r="AM9" s="3443"/>
      <c r="AO9" s="3421"/>
      <c r="BC9" s="3451"/>
      <c r="BD9" s="3451"/>
      <c r="BE9" s="3451"/>
      <c r="BF9" s="3451"/>
    </row>
    <row r="10" spans="1:58" ht="8.1" customHeight="1">
      <c r="A10" s="3278"/>
      <c r="B10" s="281"/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1"/>
      <c r="R10" s="281"/>
      <c r="S10" s="281"/>
      <c r="T10" s="1752"/>
      <c r="W10" s="3424"/>
      <c r="AL10" s="3450"/>
      <c r="AO10" s="3421"/>
      <c r="BC10" s="3451"/>
      <c r="BD10" s="3451"/>
      <c r="BE10" s="3451"/>
      <c r="BF10" s="3451"/>
    </row>
    <row r="11" spans="1:58" s="3456" customFormat="1" ht="15.75" customHeight="1">
      <c r="A11" s="3455"/>
      <c r="B11" s="1745" t="s">
        <v>845</v>
      </c>
      <c r="C11" s="3280"/>
      <c r="D11" s="3280"/>
      <c r="E11" s="1747"/>
      <c r="F11" s="1747"/>
      <c r="G11" s="1747"/>
      <c r="H11" s="1747"/>
      <c r="I11" s="1747"/>
      <c r="J11" s="1747"/>
      <c r="K11" s="1747"/>
      <c r="L11" s="1747"/>
      <c r="M11" s="1747"/>
      <c r="N11" s="1747"/>
      <c r="O11" s="1747"/>
      <c r="P11" s="1747"/>
      <c r="Q11" s="1747"/>
      <c r="R11" s="1747"/>
      <c r="S11" s="1747"/>
      <c r="T11" s="1748"/>
      <c r="W11" s="3457"/>
      <c r="X11" s="3458" t="s">
        <v>1391</v>
      </c>
      <c r="Y11" s="3458"/>
      <c r="AE11" s="3459"/>
      <c r="AF11" s="3459"/>
      <c r="AG11" s="3459"/>
      <c r="AH11" s="3459"/>
      <c r="AI11" s="3459"/>
      <c r="AJ11" s="3459"/>
      <c r="AK11" s="3459"/>
      <c r="AL11" s="3460"/>
      <c r="AM11" s="3459"/>
      <c r="AO11" s="375"/>
      <c r="BC11" s="3461"/>
      <c r="BD11" s="3461"/>
    </row>
    <row r="12" spans="1:58" s="3456" customFormat="1" ht="15.95" customHeight="1">
      <c r="A12" s="2748"/>
      <c r="B12" s="1742" t="s">
        <v>600</v>
      </c>
      <c r="C12" s="3280"/>
      <c r="D12" s="3677" t="s">
        <v>27</v>
      </c>
      <c r="E12" s="4899" t="str">
        <f>Details!B4</f>
        <v xml:space="preserve">PT Itamatra Nusantara </v>
      </c>
      <c r="F12" s="4899"/>
      <c r="G12" s="4899"/>
      <c r="H12" s="4899"/>
      <c r="I12" s="4899"/>
      <c r="J12" s="4899"/>
      <c r="K12" s="4899"/>
      <c r="L12" s="2019" t="s">
        <v>394</v>
      </c>
      <c r="M12" s="3280"/>
      <c r="N12" s="3280" t="s">
        <v>27</v>
      </c>
      <c r="O12" s="4897" t="s">
        <v>823</v>
      </c>
      <c r="P12" s="4897"/>
      <c r="Q12" s="4897"/>
      <c r="R12" s="4897"/>
      <c r="S12" s="1742"/>
      <c r="T12" s="1743"/>
      <c r="W12" s="3457"/>
      <c r="X12" s="3459" t="s">
        <v>72</v>
      </c>
      <c r="Y12" s="3459"/>
      <c r="Z12" s="375" t="e">
        <f>#REF!</f>
        <v>#REF!</v>
      </c>
      <c r="AE12" s="3459"/>
      <c r="AG12" s="3459" t="s">
        <v>1392</v>
      </c>
      <c r="AH12" s="3459"/>
      <c r="AI12" s="375" t="e">
        <f>#REF!</f>
        <v>#REF!</v>
      </c>
      <c r="AJ12" s="3459"/>
      <c r="AK12" s="3459"/>
      <c r="AL12" s="3460"/>
      <c r="AO12" s="375"/>
      <c r="BC12" s="3461"/>
      <c r="BD12" s="3461"/>
      <c r="BE12" s="3461"/>
      <c r="BF12" s="3461"/>
    </row>
    <row r="13" spans="1:58" s="3456" customFormat="1" ht="15.95" customHeight="1">
      <c r="A13" s="2748"/>
      <c r="B13" s="1762" t="s">
        <v>842</v>
      </c>
      <c r="C13" s="3280"/>
      <c r="D13" s="3677" t="s">
        <v>27</v>
      </c>
      <c r="E13" s="4900" t="str">
        <f>Details!B8</f>
        <v>hidroplogi</v>
      </c>
      <c r="F13" s="4900"/>
      <c r="G13" s="4900"/>
      <c r="H13" s="4900"/>
      <c r="I13" s="4900"/>
      <c r="J13" s="4900"/>
      <c r="K13" s="4900"/>
      <c r="L13" s="2019" t="s">
        <v>822</v>
      </c>
      <c r="M13" s="3280"/>
      <c r="N13" s="3280" t="s">
        <v>27</v>
      </c>
      <c r="O13" s="4883" t="s">
        <v>824</v>
      </c>
      <c r="P13" s="4883"/>
      <c r="Q13" s="4883"/>
      <c r="R13" s="4883"/>
      <c r="S13" s="1742"/>
      <c r="T13" s="1743"/>
      <c r="W13" s="3457"/>
      <c r="X13" s="3459" t="s">
        <v>71</v>
      </c>
      <c r="Y13" s="3459"/>
      <c r="Z13" s="375" t="e">
        <f>#REF!</f>
        <v>#REF!</v>
      </c>
      <c r="AE13" s="3459"/>
      <c r="AG13" s="3459" t="s">
        <v>1393</v>
      </c>
      <c r="AH13" s="3459"/>
      <c r="AI13" s="375" t="e">
        <f>#REF!</f>
        <v>#REF!</v>
      </c>
      <c r="AJ13" s="3459"/>
      <c r="AK13" s="3459"/>
      <c r="AL13" s="3460"/>
      <c r="AO13" s="375"/>
      <c r="BC13" s="3461"/>
      <c r="BD13" s="3461"/>
      <c r="BE13" s="3461"/>
      <c r="BF13" s="3461"/>
    </row>
    <row r="14" spans="1:58" s="3456" customFormat="1" ht="15.95" customHeight="1">
      <c r="A14" s="2748"/>
      <c r="B14" s="1762" t="s">
        <v>1312</v>
      </c>
      <c r="C14" s="3280"/>
      <c r="D14" s="3677" t="s">
        <v>27</v>
      </c>
      <c r="E14" s="4901" t="str">
        <f>Details!B7</f>
        <v>23-GQT--19-UDS-1-BH-05-0,00-0,50-100726-001</v>
      </c>
      <c r="F14" s="4901"/>
      <c r="G14" s="4901"/>
      <c r="H14" s="4901"/>
      <c r="I14" s="4901"/>
      <c r="J14" s="4901"/>
      <c r="K14" s="4901"/>
      <c r="L14" s="2019" t="s">
        <v>395</v>
      </c>
      <c r="M14" s="3280"/>
      <c r="N14" s="3280" t="s">
        <v>27</v>
      </c>
      <c r="O14" s="4898">
        <f>Details!B40</f>
        <v>46230</v>
      </c>
      <c r="P14" s="4898"/>
      <c r="Q14" s="4898"/>
      <c r="R14" s="4898"/>
      <c r="S14" s="1742"/>
      <c r="T14" s="1743"/>
      <c r="W14" s="3457"/>
      <c r="X14" s="3459" t="s">
        <v>69</v>
      </c>
      <c r="Y14" s="3459"/>
      <c r="Z14" s="375" t="e">
        <f>#REF!</f>
        <v>#REF!</v>
      </c>
      <c r="AA14" s="3456" t="s">
        <v>68</v>
      </c>
      <c r="AE14" s="3459"/>
      <c r="AG14" s="3459" t="s">
        <v>1394</v>
      </c>
      <c r="AH14" s="3459"/>
      <c r="AI14" s="375" t="e">
        <f>#REF!</f>
        <v>#REF!</v>
      </c>
      <c r="AJ14" s="3459"/>
      <c r="AK14" s="3459"/>
      <c r="AL14" s="3460"/>
    </row>
    <row r="15" spans="1:58" s="3456" customFormat="1" ht="15.95" customHeight="1">
      <c r="A15" s="2748"/>
      <c r="B15" s="1742" t="s">
        <v>601</v>
      </c>
      <c r="C15" s="3280"/>
      <c r="D15" s="3677" t="s">
        <v>27</v>
      </c>
      <c r="E15" s="4902" t="str">
        <f>Details!B1</f>
        <v>BH-05_UDS-01</v>
      </c>
      <c r="F15" s="4902"/>
      <c r="G15" s="4902"/>
      <c r="H15" s="4902"/>
      <c r="I15" s="4902"/>
      <c r="J15" s="4902"/>
      <c r="K15" s="4902"/>
      <c r="L15" s="2019" t="s">
        <v>396</v>
      </c>
      <c r="M15" s="3280"/>
      <c r="N15" s="1762" t="s">
        <v>27</v>
      </c>
      <c r="O15" s="4430" t="str">
        <f>Details!B22</f>
        <v>AS Sumartadji</v>
      </c>
      <c r="P15" s="4430"/>
      <c r="Q15" s="4430"/>
      <c r="R15" s="4430"/>
      <c r="S15" s="1742"/>
      <c r="T15" s="1743"/>
      <c r="W15" s="3457"/>
      <c r="AE15" s="3459"/>
      <c r="AF15" s="3459"/>
      <c r="AG15" s="3459"/>
      <c r="AH15" s="3459"/>
      <c r="AI15" s="3459"/>
      <c r="AJ15" s="3459"/>
      <c r="AK15" s="3459"/>
      <c r="AL15" s="3460"/>
    </row>
    <row r="16" spans="1:58" s="3456" customFormat="1" ht="15.95" customHeight="1">
      <c r="A16" s="2748"/>
      <c r="B16" s="1742" t="s">
        <v>602</v>
      </c>
      <c r="C16" s="3280"/>
      <c r="D16" s="3540" t="s">
        <v>27</v>
      </c>
      <c r="E16" s="4900" t="str">
        <f>Details!B13</f>
        <v>0,00-0,50</v>
      </c>
      <c r="F16" s="4900"/>
      <c r="G16" s="4900"/>
      <c r="H16" s="4900"/>
      <c r="I16" s="4900"/>
      <c r="J16" s="4900"/>
      <c r="K16" s="4900"/>
      <c r="L16" s="2019" t="s">
        <v>186</v>
      </c>
      <c r="M16" s="3280"/>
      <c r="N16" s="1742" t="s">
        <v>27</v>
      </c>
      <c r="O16" s="4883" t="str">
        <f>Details!B2</f>
        <v>MGS/02/VI/2026</v>
      </c>
      <c r="P16" s="4883"/>
      <c r="Q16" s="4883"/>
      <c r="R16" s="4883"/>
      <c r="S16" s="1742"/>
      <c r="T16" s="1743"/>
      <c r="W16" s="3457"/>
      <c r="X16" s="3458" t="s">
        <v>1395</v>
      </c>
      <c r="Y16" s="3458"/>
      <c r="AD16" s="3458" t="s">
        <v>1396</v>
      </c>
      <c r="AE16" s="3459"/>
      <c r="AF16" s="3459"/>
      <c r="AG16" s="3459"/>
      <c r="AH16" s="3459"/>
      <c r="AI16" s="3459"/>
      <c r="AJ16" s="3459"/>
      <c r="AK16" s="3459"/>
      <c r="AL16" s="3460"/>
    </row>
    <row r="17" spans="1:65" s="3456" customFormat="1" ht="15.95" customHeight="1">
      <c r="A17" s="2748"/>
      <c r="B17" s="1742" t="s">
        <v>843</v>
      </c>
      <c r="C17" s="3280"/>
      <c r="D17" s="3677" t="s">
        <v>27</v>
      </c>
      <c r="E17" s="4897" t="str">
        <f>Details!B14</f>
        <v>silty CLAY with sand</v>
      </c>
      <c r="F17" s="4897"/>
      <c r="G17" s="4897"/>
      <c r="H17" s="4897"/>
      <c r="I17" s="4897"/>
      <c r="J17" s="4897"/>
      <c r="K17" s="4897"/>
      <c r="L17" s="3280"/>
      <c r="M17" s="3280"/>
      <c r="N17" s="1742"/>
      <c r="O17" s="2"/>
      <c r="P17" s="1742"/>
      <c r="Q17" s="5"/>
      <c r="R17" s="1742"/>
      <c r="S17" s="1742"/>
      <c r="T17" s="1743"/>
      <c r="W17" s="3457"/>
      <c r="AA17" s="362" t="s">
        <v>1265</v>
      </c>
      <c r="AB17" s="365" t="s">
        <v>1266</v>
      </c>
      <c r="AC17" s="376"/>
      <c r="AD17" s="3463" t="s">
        <v>1397</v>
      </c>
      <c r="AE17" s="3464"/>
      <c r="AF17" s="3465"/>
      <c r="AG17" s="3466"/>
      <c r="AH17" s="3466"/>
      <c r="AI17" s="3466"/>
      <c r="AJ17" s="3466"/>
      <c r="AK17" s="3466"/>
      <c r="AL17" s="3467"/>
      <c r="AO17" s="3456" t="s">
        <v>1398</v>
      </c>
    </row>
    <row r="18" spans="1:65" s="3456" customFormat="1" ht="15.95" customHeight="1">
      <c r="A18" s="2748"/>
      <c r="B18" s="3456" t="s">
        <v>603</v>
      </c>
      <c r="C18" s="3459"/>
      <c r="D18" s="3459" t="s">
        <v>1534</v>
      </c>
      <c r="E18" s="4900" t="str">
        <f>Details!B15</f>
        <v>Abu-abu / Gray</v>
      </c>
      <c r="F18" s="4900"/>
      <c r="G18" s="4900"/>
      <c r="H18" s="4900"/>
      <c r="I18" s="4900"/>
      <c r="J18" s="4900"/>
      <c r="K18" s="4900"/>
      <c r="L18" s="1742"/>
      <c r="M18" s="1742"/>
      <c r="N18" s="1742"/>
      <c r="O18" s="1742"/>
      <c r="P18" s="1742"/>
      <c r="Q18" s="1742"/>
      <c r="R18" s="1742"/>
      <c r="S18" s="1742"/>
      <c r="T18" s="1743"/>
      <c r="W18" s="3457"/>
      <c r="X18" s="3463" t="s">
        <v>1399</v>
      </c>
      <c r="Y18" s="4015"/>
      <c r="Z18" s="3465" t="s">
        <v>37</v>
      </c>
      <c r="AA18" s="4016">
        <v>10474</v>
      </c>
      <c r="AB18" s="4016">
        <v>10596</v>
      </c>
      <c r="AC18" s="4017"/>
      <c r="AD18" s="4018" t="s">
        <v>1400</v>
      </c>
      <c r="AE18" s="4019"/>
      <c r="AF18" s="4020" t="s">
        <v>2</v>
      </c>
      <c r="AG18" s="4021"/>
      <c r="AH18" s="4021"/>
      <c r="AI18" s="4021"/>
      <c r="AJ18" s="4021"/>
      <c r="AK18" s="4021"/>
      <c r="AL18" s="3460"/>
      <c r="AO18" s="4022" t="s">
        <v>1401</v>
      </c>
      <c r="AP18" s="4022"/>
      <c r="BD18" s="3458" t="s">
        <v>1402</v>
      </c>
      <c r="BG18" s="3458"/>
      <c r="BH18" s="3458"/>
      <c r="BK18" s="3458" t="s">
        <v>1403</v>
      </c>
    </row>
    <row r="19" spans="1:65" s="3456" customFormat="1" ht="15.95" customHeight="1">
      <c r="A19" s="3290"/>
      <c r="B19" s="4034" t="s">
        <v>844</v>
      </c>
      <c r="C19" s="375"/>
      <c r="D19" s="3540" t="s">
        <v>27</v>
      </c>
      <c r="E19" s="4899" t="str">
        <f>Details!B16</f>
        <v>Undisturbed Sample / UDS</v>
      </c>
      <c r="F19" s="4899"/>
      <c r="G19" s="4899"/>
      <c r="H19" s="4899"/>
      <c r="I19" s="4899"/>
      <c r="J19" s="4899"/>
      <c r="K19" s="4899"/>
      <c r="L19" s="3280"/>
      <c r="M19" s="3280"/>
      <c r="N19" s="3280"/>
      <c r="O19" s="3280"/>
      <c r="P19" s="3280"/>
      <c r="Q19" s="3280"/>
      <c r="R19" s="3280"/>
      <c r="S19" s="3280"/>
      <c r="T19" s="3293"/>
      <c r="W19" s="3457"/>
      <c r="X19" s="4018" t="s">
        <v>1404</v>
      </c>
      <c r="Y19" s="4023"/>
      <c r="Z19" s="4020" t="s">
        <v>37</v>
      </c>
      <c r="AA19" s="4024">
        <v>4164</v>
      </c>
      <c r="AB19" s="4024">
        <f>AA19</f>
        <v>4164</v>
      </c>
      <c r="AC19" s="4017"/>
      <c r="AD19" s="4025" t="s">
        <v>1396</v>
      </c>
      <c r="AE19" s="4026"/>
      <c r="AF19" s="4027" t="s">
        <v>1</v>
      </c>
      <c r="AG19" s="4028">
        <f>AG171</f>
        <v>0</v>
      </c>
      <c r="AH19" s="4028">
        <f>(AH18-$AG$18)/$AA$22*100</f>
        <v>0</v>
      </c>
      <c r="AI19" s="4028">
        <f>(AI18-$AG$18)/$AA$22*100</f>
        <v>0</v>
      </c>
      <c r="AJ19" s="4028">
        <f>(AJ18-$AG$18)/$AA$22*100</f>
        <v>0</v>
      </c>
      <c r="AK19" s="4028">
        <f>(AK18-$AG$18)/$AA$22*100</f>
        <v>0</v>
      </c>
      <c r="AL19" s="3460"/>
      <c r="AO19" s="376" t="s">
        <v>116</v>
      </c>
      <c r="AP19" s="376" t="s">
        <v>115</v>
      </c>
      <c r="BD19" s="376" t="s">
        <v>982</v>
      </c>
      <c r="BE19" s="376" t="s">
        <v>1405</v>
      </c>
      <c r="BJ19" s="376" t="s">
        <v>982</v>
      </c>
      <c r="BK19" s="376" t="s">
        <v>1405</v>
      </c>
    </row>
    <row r="20" spans="1:65" ht="14.1" customHeight="1">
      <c r="A20" s="3290"/>
      <c r="B20" s="3473" t="s">
        <v>1406</v>
      </c>
      <c r="C20" s="3471"/>
      <c r="D20" s="3280"/>
      <c r="E20" s="3280"/>
      <c r="F20" s="3280"/>
      <c r="G20" s="3280"/>
      <c r="H20" s="3280"/>
      <c r="I20" s="3280"/>
      <c r="J20" s="3325"/>
      <c r="K20" s="3280"/>
      <c r="L20" s="3280"/>
      <c r="M20" s="3280"/>
      <c r="N20" s="3280"/>
      <c r="O20" s="3280"/>
      <c r="P20" s="3280"/>
      <c r="Q20" s="3280"/>
      <c r="R20" s="3280"/>
      <c r="S20" s="3280"/>
      <c r="T20" s="3293"/>
      <c r="W20" s="3424"/>
      <c r="X20" s="3430" t="s">
        <v>1407</v>
      </c>
      <c r="Y20" s="3428"/>
      <c r="Z20" s="3429" t="s">
        <v>37</v>
      </c>
      <c r="AA20" s="3474">
        <f>+AA18-AA19</f>
        <v>6310</v>
      </c>
      <c r="AB20" s="3474">
        <f>+AB18-AB19</f>
        <v>6432</v>
      </c>
      <c r="AC20" s="3475"/>
      <c r="AL20" s="3450"/>
      <c r="AO20" s="3476">
        <v>1.2500000000000001E-2</v>
      </c>
      <c r="AP20" s="3477">
        <f>VLOOKUP(AO20,AN32:AO42,2)</f>
        <v>30.01572003118169</v>
      </c>
      <c r="BD20" s="3408">
        <v>100</v>
      </c>
      <c r="BE20" s="3408">
        <v>7.0407999999999999</v>
      </c>
      <c r="BF20" s="3408">
        <f t="shared" ref="BF20:BF28" si="0">BE20</f>
        <v>7.0407999999999999</v>
      </c>
      <c r="BG20" s="3408">
        <f t="shared" ref="BG20:BG27" si="1">BF20-BF21</f>
        <v>0.47370000000000001</v>
      </c>
      <c r="BJ20" s="3408">
        <v>20</v>
      </c>
      <c r="BK20" s="3478">
        <v>52.72</v>
      </c>
      <c r="BL20" s="3478">
        <f t="shared" ref="BL20:BL28" si="2">BK20</f>
        <v>52.72</v>
      </c>
      <c r="BM20" s="3408">
        <f t="shared" ref="BM20:BM27" si="3">BL20-BL21</f>
        <v>2.6700000000000017</v>
      </c>
    </row>
    <row r="21" spans="1:65" ht="14.1" customHeight="1">
      <c r="A21" s="3479"/>
      <c r="B21" s="3473" t="s">
        <v>1395</v>
      </c>
      <c r="C21" s="3473"/>
      <c r="D21" s="3423"/>
      <c r="E21" s="3423"/>
      <c r="F21" s="3423"/>
      <c r="G21" s="4035"/>
      <c r="H21" s="3480"/>
      <c r="I21" s="3480"/>
      <c r="J21" s="3313"/>
      <c r="K21" s="391"/>
      <c r="L21" s="3313"/>
      <c r="M21" s="3313"/>
      <c r="N21" s="3480"/>
      <c r="O21" s="3480"/>
      <c r="P21" s="3480"/>
      <c r="Q21" s="3480"/>
      <c r="R21" s="3480"/>
      <c r="S21" s="3480"/>
      <c r="T21" s="3481"/>
      <c r="W21" s="3424"/>
      <c r="X21" s="3430" t="s">
        <v>1408</v>
      </c>
      <c r="Y21" s="3428"/>
      <c r="Z21" s="3429" t="s">
        <v>1409</v>
      </c>
      <c r="AA21" s="3482">
        <v>2105</v>
      </c>
      <c r="AB21" s="3482">
        <f>(AA21/AA22)*AB22</f>
        <v>2105</v>
      </c>
      <c r="AC21" s="3468"/>
      <c r="AL21" s="3450"/>
      <c r="AO21" s="3483">
        <f>AN33</f>
        <v>1.2500000000000001E-2</v>
      </c>
      <c r="AP21" s="3477">
        <f>VLOOKUP(AO21,AN33:AO43,2)</f>
        <v>30.01572003118169</v>
      </c>
      <c r="BD21" s="3408">
        <v>200</v>
      </c>
      <c r="BE21" s="3408">
        <v>6.5670999999999999</v>
      </c>
      <c r="BF21" s="3408">
        <f t="shared" si="0"/>
        <v>6.5670999999999999</v>
      </c>
      <c r="BG21" s="3408">
        <f t="shared" si="1"/>
        <v>0.23430000000000017</v>
      </c>
      <c r="BJ21" s="3408">
        <v>40</v>
      </c>
      <c r="BK21" s="3478">
        <v>50.05</v>
      </c>
      <c r="BL21" s="3478">
        <f t="shared" si="2"/>
        <v>50.05</v>
      </c>
      <c r="BM21" s="3408">
        <f t="shared" si="3"/>
        <v>0.84999999999999432</v>
      </c>
    </row>
    <row r="22" spans="1:65" ht="14.1" customHeight="1">
      <c r="A22" s="3479"/>
      <c r="B22" s="3423"/>
      <c r="C22" s="3423"/>
      <c r="D22" s="3423"/>
      <c r="E22" s="3484" t="s">
        <v>1265</v>
      </c>
      <c r="F22" s="3485"/>
      <c r="G22" s="390"/>
      <c r="H22" s="3480"/>
      <c r="I22" s="3480"/>
      <c r="J22" s="3313"/>
      <c r="K22" s="391"/>
      <c r="L22" s="3340"/>
      <c r="M22" s="3340"/>
      <c r="N22" s="3480"/>
      <c r="O22" s="3480"/>
      <c r="P22" s="3480"/>
      <c r="Q22" s="3480"/>
      <c r="R22" s="3480"/>
      <c r="S22" s="3480"/>
      <c r="T22" s="3481"/>
      <c r="W22" s="3424"/>
      <c r="X22" s="3430" t="s">
        <v>285</v>
      </c>
      <c r="Y22" s="3428"/>
      <c r="Z22" s="3429" t="s">
        <v>104</v>
      </c>
      <c r="AA22" s="3486">
        <v>11.461</v>
      </c>
      <c r="AB22" s="3486">
        <f>AA22+(AK18-AG18)</f>
        <v>11.461</v>
      </c>
      <c r="AC22" s="3487"/>
      <c r="AL22" s="3450"/>
      <c r="AO22" s="3476">
        <v>0.05</v>
      </c>
      <c r="AP22" s="3477">
        <f>VLOOKUP(AO22,AN34:AO44,2)</f>
        <v>120.06288012472676</v>
      </c>
      <c r="BD22" s="3408">
        <v>300</v>
      </c>
      <c r="BE22" s="3408">
        <v>6.3327999999999998</v>
      </c>
      <c r="BF22" s="3408">
        <f t="shared" si="0"/>
        <v>6.3327999999999998</v>
      </c>
      <c r="BG22" s="3408">
        <f t="shared" si="1"/>
        <v>0.11709999999999976</v>
      </c>
      <c r="BJ22" s="3408">
        <v>60</v>
      </c>
      <c r="BK22" s="3478">
        <v>49.2</v>
      </c>
      <c r="BL22" s="3478">
        <f t="shared" si="2"/>
        <v>49.2</v>
      </c>
      <c r="BM22" s="3408">
        <f t="shared" si="3"/>
        <v>0.38000000000000256</v>
      </c>
    </row>
    <row r="23" spans="1:65" ht="14.1" customHeight="1">
      <c r="A23" s="3479"/>
      <c r="B23" s="3488" t="s">
        <v>1399</v>
      </c>
      <c r="C23" s="3489"/>
      <c r="D23" s="3490" t="s">
        <v>37</v>
      </c>
      <c r="E23" s="4046">
        <v>12051</v>
      </c>
      <c r="F23" s="3491"/>
      <c r="G23" s="4036"/>
      <c r="H23" s="3480"/>
      <c r="I23" s="3480"/>
      <c r="J23" s="3313"/>
      <c r="K23" s="1328"/>
      <c r="L23" s="3313"/>
      <c r="M23" s="3313"/>
      <c r="N23" s="3480"/>
      <c r="O23" s="3480"/>
      <c r="P23" s="3480"/>
      <c r="Q23" s="3480"/>
      <c r="R23" s="3480"/>
      <c r="S23" s="3480"/>
      <c r="T23" s="3481"/>
      <c r="W23" s="3424"/>
      <c r="X23" s="3430" t="s">
        <v>1410</v>
      </c>
      <c r="Y23" s="3428"/>
      <c r="Z23" s="3429" t="s">
        <v>1411</v>
      </c>
      <c r="AA23" s="3492">
        <f>+AA20/AA21</f>
        <v>2.9976247030878862</v>
      </c>
      <c r="AB23" s="3492">
        <f>+AB20/AB21</f>
        <v>3.0555819477434678</v>
      </c>
      <c r="AC23" s="3493"/>
      <c r="AL23" s="3450"/>
      <c r="BD23" s="3408">
        <v>400</v>
      </c>
      <c r="BE23" s="3408">
        <v>6.2157</v>
      </c>
      <c r="BF23" s="3408">
        <f t="shared" si="0"/>
        <v>6.2157</v>
      </c>
      <c r="BG23" s="3408">
        <f t="shared" si="1"/>
        <v>7.7799999999999869E-2</v>
      </c>
      <c r="BJ23" s="3408">
        <v>80</v>
      </c>
      <c r="BK23" s="3478">
        <v>48.82</v>
      </c>
      <c r="BL23" s="3478">
        <f t="shared" si="2"/>
        <v>48.82</v>
      </c>
      <c r="BM23" s="3408">
        <f t="shared" si="3"/>
        <v>0.25</v>
      </c>
    </row>
    <row r="24" spans="1:65" ht="14.1" customHeight="1">
      <c r="A24" s="3479"/>
      <c r="B24" s="3488" t="s">
        <v>1404</v>
      </c>
      <c r="C24" s="3489"/>
      <c r="D24" s="3490" t="s">
        <v>37</v>
      </c>
      <c r="E24" s="4062">
        <f>IF(AG33="", "", HLOOKUP(AG33, $AF$26:$AH$31, 4, FALSE))</f>
        <v>7048.0999999999995</v>
      </c>
      <c r="F24" s="3491"/>
      <c r="G24" s="4037"/>
      <c r="H24" s="3480"/>
      <c r="I24" s="3480"/>
      <c r="J24" s="3313"/>
      <c r="K24" s="4038"/>
      <c r="L24" s="3313"/>
      <c r="M24" s="3313"/>
      <c r="N24" s="3480"/>
      <c r="O24" s="3480"/>
      <c r="P24" s="3480"/>
      <c r="Q24" s="3480"/>
      <c r="R24" s="3480"/>
      <c r="S24" s="3480"/>
      <c r="T24" s="3481"/>
      <c r="W24" s="3424"/>
      <c r="X24" s="3430" t="s">
        <v>1412</v>
      </c>
      <c r="Y24" s="3428"/>
      <c r="Z24" s="3429" t="s">
        <v>1</v>
      </c>
      <c r="AA24" s="3474">
        <f>AA55</f>
        <v>45.643404598628457</v>
      </c>
      <c r="AB24" s="3474">
        <f>AB55</f>
        <v>47.245901639344254</v>
      </c>
      <c r="AC24" s="3494"/>
      <c r="AD24" s="4065" t="s">
        <v>1553</v>
      </c>
      <c r="AE24" s="4065"/>
      <c r="AF24" s="4065"/>
      <c r="AG24" s="4065"/>
      <c r="AH24" s="4065"/>
      <c r="AI24" s="4065"/>
      <c r="AL24" s="3450"/>
      <c r="AO24" s="3444" t="s">
        <v>1413</v>
      </c>
      <c r="AP24" s="3444"/>
      <c r="BD24" s="3408">
        <v>500</v>
      </c>
      <c r="BE24" s="3408">
        <v>6.1379000000000001</v>
      </c>
      <c r="BF24" s="3408">
        <f t="shared" si="0"/>
        <v>6.1379000000000001</v>
      </c>
      <c r="BG24" s="3408">
        <f t="shared" si="1"/>
        <v>5.8900000000000396E-2</v>
      </c>
      <c r="BJ24" s="3408">
        <v>100</v>
      </c>
      <c r="BK24" s="3478">
        <v>48.57</v>
      </c>
      <c r="BL24" s="3478">
        <f t="shared" si="2"/>
        <v>48.57</v>
      </c>
      <c r="BM24" s="3408">
        <f t="shared" si="3"/>
        <v>-9.9999999999980105E-3</v>
      </c>
    </row>
    <row r="25" spans="1:65" ht="14.1" customHeight="1">
      <c r="A25" s="3290"/>
      <c r="B25" s="3488" t="s">
        <v>1407</v>
      </c>
      <c r="C25" s="3489"/>
      <c r="D25" s="3490" t="s">
        <v>37</v>
      </c>
      <c r="E25" s="4039">
        <f>E23-E24</f>
        <v>5002.9000000000005</v>
      </c>
      <c r="F25" s="3495"/>
      <c r="G25" s="3280"/>
      <c r="H25" s="3280"/>
      <c r="I25" s="3280"/>
      <c r="J25" s="3280"/>
      <c r="K25" s="3280"/>
      <c r="L25" s="3280"/>
      <c r="M25" s="3280"/>
      <c r="N25" s="3280"/>
      <c r="O25" s="3280"/>
      <c r="P25" s="3280"/>
      <c r="Q25" s="3280"/>
      <c r="R25" s="3280"/>
      <c r="S25" s="3280"/>
      <c r="T25" s="3293"/>
      <c r="W25" s="3424"/>
      <c r="X25" s="3438" t="s">
        <v>1414</v>
      </c>
      <c r="Y25" s="3496"/>
      <c r="Z25" s="3472" t="s">
        <v>1411</v>
      </c>
      <c r="AA25" s="3497">
        <f>+AA23/(1+(AA24/100))</f>
        <v>2.0581946098753279</v>
      </c>
      <c r="AB25" s="3497">
        <f>+AB23/(1+(AB24/100))</f>
        <v>2.0751558540675967</v>
      </c>
      <c r="AC25" s="3498"/>
      <c r="AD25" s="4065" t="s">
        <v>1347</v>
      </c>
      <c r="AE25" s="4065"/>
      <c r="AF25" s="4065"/>
      <c r="AG25" s="4065"/>
      <c r="AH25" s="4065"/>
      <c r="AI25" s="4065"/>
      <c r="AL25" s="3450"/>
      <c r="AO25" s="3443" t="s">
        <v>1415</v>
      </c>
      <c r="AP25" s="3421">
        <v>0</v>
      </c>
      <c r="BD25" s="3408">
        <v>600</v>
      </c>
      <c r="BE25" s="3408">
        <v>6.0789999999999997</v>
      </c>
      <c r="BF25" s="3408">
        <f t="shared" si="0"/>
        <v>6.0789999999999997</v>
      </c>
      <c r="BG25" s="3408">
        <f t="shared" si="1"/>
        <v>5.1499999999999879E-2</v>
      </c>
      <c r="BJ25" s="3408">
        <v>120</v>
      </c>
      <c r="BK25" s="3478">
        <v>48.58</v>
      </c>
      <c r="BL25" s="3478">
        <f t="shared" si="2"/>
        <v>48.58</v>
      </c>
      <c r="BM25" s="3408">
        <f t="shared" si="3"/>
        <v>1.9999999999996021E-2</v>
      </c>
    </row>
    <row r="26" spans="1:65" ht="14.1" customHeight="1">
      <c r="A26" s="3290"/>
      <c r="B26" s="3488" t="s">
        <v>1408</v>
      </c>
      <c r="C26" s="3489"/>
      <c r="D26" s="3490" t="s">
        <v>1416</v>
      </c>
      <c r="E26" s="4063">
        <f>IF(AG33="", "", HLOOKUP(AG33, $AF$26:$AH$31, 6, FALSE))</f>
        <v>3242.7217934538735</v>
      </c>
      <c r="F26" s="3499"/>
      <c r="G26" s="3280"/>
      <c r="H26" s="3280"/>
      <c r="I26" s="3280"/>
      <c r="J26" s="3280"/>
      <c r="K26" s="3280"/>
      <c r="L26" s="3280"/>
      <c r="M26" s="3280"/>
      <c r="N26" s="3280"/>
      <c r="O26" s="3280"/>
      <c r="P26" s="3280"/>
      <c r="Q26" s="3280"/>
      <c r="R26" s="3280"/>
      <c r="S26" s="3280"/>
      <c r="T26" s="3293"/>
      <c r="W26" s="3424"/>
      <c r="Z26" s="3409"/>
      <c r="AA26" s="3498"/>
      <c r="AB26" s="3498"/>
      <c r="AC26" s="3498"/>
      <c r="AD26" s="4066"/>
      <c r="AE26" s="4066"/>
      <c r="AF26" s="4066" t="s">
        <v>124</v>
      </c>
      <c r="AG26" s="4066" t="s">
        <v>123</v>
      </c>
      <c r="AH26" s="4066" t="s">
        <v>163</v>
      </c>
      <c r="AI26" s="4065"/>
      <c r="AL26" s="3450"/>
      <c r="AO26" s="3500" t="s">
        <v>1417</v>
      </c>
      <c r="AP26" s="3500" t="s">
        <v>1418</v>
      </c>
      <c r="AQ26" s="3500" t="s">
        <v>743</v>
      </c>
      <c r="BD26" s="3408">
        <v>700</v>
      </c>
      <c r="BE26" s="3408">
        <v>6.0274999999999999</v>
      </c>
      <c r="BF26" s="3408">
        <f t="shared" si="0"/>
        <v>6.0274999999999999</v>
      </c>
      <c r="BG26" s="3408">
        <f t="shared" si="1"/>
        <v>4.129999999999967E-2</v>
      </c>
      <c r="BJ26" s="3408">
        <v>140</v>
      </c>
      <c r="BK26" s="3478">
        <v>48.56</v>
      </c>
      <c r="BL26" s="3478">
        <f t="shared" si="2"/>
        <v>48.56</v>
      </c>
      <c r="BM26" s="3408">
        <f t="shared" si="3"/>
        <v>0.25</v>
      </c>
    </row>
    <row r="27" spans="1:65" ht="14.1" customHeight="1">
      <c r="A27" s="3290"/>
      <c r="B27" s="3488" t="s">
        <v>285</v>
      </c>
      <c r="C27" s="3489"/>
      <c r="D27" s="3490" t="s">
        <v>104</v>
      </c>
      <c r="E27" s="4064">
        <f>IF(AG33="", "", HLOOKUP(AG33, $AF$26:$AH$31, 3, FALSE) / 10)</f>
        <v>17.8</v>
      </c>
      <c r="F27" s="3501"/>
      <c r="G27" s="3502"/>
      <c r="H27" s="3502"/>
      <c r="I27" s="3503"/>
      <c r="J27" s="3503"/>
      <c r="K27" s="3503"/>
      <c r="L27" s="3503"/>
      <c r="M27" s="3503"/>
      <c r="N27" s="3280"/>
      <c r="O27" s="3280"/>
      <c r="P27" s="3280"/>
      <c r="Q27" s="3280"/>
      <c r="R27" s="3280"/>
      <c r="S27" s="3280"/>
      <c r="T27" s="3293"/>
      <c r="W27" s="3424"/>
      <c r="X27" s="3470" t="s">
        <v>1419</v>
      </c>
      <c r="Y27" s="3470"/>
      <c r="AB27" s="3409"/>
      <c r="AD27" s="4066" t="s">
        <v>935</v>
      </c>
      <c r="AE27" s="4066"/>
      <c r="AF27" s="4067">
        <v>152.30000000000001</v>
      </c>
      <c r="AG27" s="4067">
        <v>152.19999999999999</v>
      </c>
      <c r="AH27" s="4067">
        <v>152</v>
      </c>
      <c r="AI27" s="4065"/>
      <c r="AL27" s="3450"/>
      <c r="AO27" s="3504">
        <v>431.9</v>
      </c>
      <c r="AP27" s="3505">
        <v>0</v>
      </c>
      <c r="AQ27" s="3506">
        <f>+(-AP27)/AO27</f>
        <v>0</v>
      </c>
      <c r="BD27" s="3408">
        <v>800</v>
      </c>
      <c r="BE27" s="3408">
        <v>5.9862000000000002</v>
      </c>
      <c r="BF27" s="3408">
        <f t="shared" si="0"/>
        <v>5.9862000000000002</v>
      </c>
      <c r="BG27" s="3408">
        <f t="shared" si="1"/>
        <v>3.5300000000000331E-2</v>
      </c>
      <c r="BJ27" s="3408">
        <v>160</v>
      </c>
      <c r="BK27" s="3408">
        <v>48.31</v>
      </c>
      <c r="BL27" s="3478">
        <f t="shared" si="2"/>
        <v>48.31</v>
      </c>
      <c r="BM27" s="3408">
        <f t="shared" si="3"/>
        <v>0.14000000000000057</v>
      </c>
    </row>
    <row r="28" spans="1:65" ht="14.1" customHeight="1">
      <c r="A28" s="3290"/>
      <c r="B28" s="3488" t="s">
        <v>1410</v>
      </c>
      <c r="C28" s="3489"/>
      <c r="D28" s="3490" t="s">
        <v>1420</v>
      </c>
      <c r="E28" s="4049">
        <f>E25/E26</f>
        <v>1.5428088866887757</v>
      </c>
      <c r="F28" s="3507"/>
      <c r="G28" s="3280"/>
      <c r="H28" s="3313"/>
      <c r="I28" s="3508"/>
      <c r="J28" s="3508"/>
      <c r="K28" s="3508"/>
      <c r="L28" s="3508"/>
      <c r="M28" s="3508"/>
      <c r="N28" s="3280"/>
      <c r="O28" s="3280"/>
      <c r="P28" s="3280"/>
      <c r="Q28" s="3280"/>
      <c r="R28" s="3280"/>
      <c r="S28" s="3280"/>
      <c r="T28" s="3293"/>
      <c r="W28" s="3424"/>
      <c r="X28" s="3408" t="s">
        <v>1421</v>
      </c>
      <c r="Z28" s="3408">
        <f>D35</f>
        <v>28.7926</v>
      </c>
      <c r="AA28" s="3408" t="s">
        <v>1422</v>
      </c>
      <c r="AD28" s="4066" t="s">
        <v>1550</v>
      </c>
      <c r="AE28" s="4066"/>
      <c r="AF28" s="4067">
        <v>178</v>
      </c>
      <c r="AG28" s="4067">
        <v>177.8</v>
      </c>
      <c r="AH28" s="4067">
        <v>177.7</v>
      </c>
      <c r="AI28" s="4065"/>
      <c r="AL28" s="3450"/>
      <c r="BD28" s="3408">
        <v>900</v>
      </c>
      <c r="BE28" s="3408">
        <v>5.9508999999999999</v>
      </c>
      <c r="BF28" s="3408">
        <f t="shared" si="0"/>
        <v>5.9508999999999999</v>
      </c>
      <c r="BG28" s="3408">
        <f>BF28-BF30</f>
        <v>3.0800000000000161E-2</v>
      </c>
      <c r="BJ28" s="3408">
        <v>180</v>
      </c>
      <c r="BK28" s="3478">
        <v>48.17</v>
      </c>
      <c r="BL28" s="3478">
        <f t="shared" si="2"/>
        <v>48.17</v>
      </c>
      <c r="BM28" s="3408">
        <f>BL28-BL30</f>
        <v>0.10999999999999943</v>
      </c>
    </row>
    <row r="29" spans="1:65" ht="14.1" customHeight="1">
      <c r="A29" s="3290"/>
      <c r="B29" s="3488" t="s">
        <v>1412</v>
      </c>
      <c r="C29" s="3489"/>
      <c r="D29" s="3490" t="s">
        <v>1</v>
      </c>
      <c r="E29" s="4047">
        <f>E61</f>
        <v>37.229601518026541</v>
      </c>
      <c r="F29" s="3507"/>
      <c r="G29" s="3280"/>
      <c r="H29" s="3313"/>
      <c r="I29" s="3508"/>
      <c r="J29" s="3508"/>
      <c r="K29" s="3508"/>
      <c r="L29" s="3508"/>
      <c r="M29" s="3508"/>
      <c r="N29" s="3280"/>
      <c r="O29" s="3280"/>
      <c r="P29" s="3280"/>
      <c r="Q29" s="3280"/>
      <c r="R29" s="3280"/>
      <c r="S29" s="3280"/>
      <c r="T29" s="3293"/>
      <c r="W29" s="3424"/>
      <c r="X29" s="3408" t="s">
        <v>1423</v>
      </c>
      <c r="Y29" s="3509" t="s">
        <v>1424</v>
      </c>
      <c r="Z29" s="3510">
        <f>(48.62/25.4)^2*0.7854</f>
        <v>2.8777520549321101</v>
      </c>
      <c r="AA29" s="3511" t="s">
        <v>1425</v>
      </c>
      <c r="AD29" s="4066" t="s">
        <v>1551</v>
      </c>
      <c r="AE29" s="4066"/>
      <c r="AF29" s="4067">
        <v>7048.0999999999995</v>
      </c>
      <c r="AG29" s="4067">
        <v>6940.2</v>
      </c>
      <c r="AH29" s="4067">
        <v>7031.6</v>
      </c>
      <c r="AI29" s="4065"/>
      <c r="AL29" s="3450"/>
      <c r="BK29" s="3478"/>
      <c r="BL29" s="3478"/>
    </row>
    <row r="30" spans="1:65" ht="14.1" customHeight="1">
      <c r="A30" s="3290"/>
      <c r="B30" s="3488" t="s">
        <v>1414</v>
      </c>
      <c r="C30" s="3489"/>
      <c r="D30" s="3490" t="s">
        <v>1420</v>
      </c>
      <c r="E30" s="4048">
        <f>E28/(1+E29/100)</f>
        <v>1.1242537102945034</v>
      </c>
      <c r="F30" s="3507"/>
      <c r="G30" s="3280"/>
      <c r="H30" s="3313"/>
      <c r="I30" s="3512"/>
      <c r="J30" s="3512"/>
      <c r="K30" s="3512"/>
      <c r="L30" s="3512"/>
      <c r="M30" s="3512"/>
      <c r="N30" s="3280"/>
      <c r="O30" s="3280"/>
      <c r="P30" s="3280"/>
      <c r="Q30" s="3280"/>
      <c r="R30" s="3280"/>
      <c r="S30" s="3280"/>
      <c r="T30" s="3293"/>
      <c r="W30" s="3424"/>
      <c r="X30" s="3470"/>
      <c r="Y30" s="3470"/>
      <c r="AD30" s="4066" t="s">
        <v>1554</v>
      </c>
      <c r="AE30" s="4066"/>
      <c r="AF30" s="4067">
        <v>18217.5381654712</v>
      </c>
      <c r="AG30" s="4067">
        <v>18193.622791395745</v>
      </c>
      <c r="AH30" s="4067">
        <v>18145.839167134644</v>
      </c>
      <c r="AI30" s="4065"/>
      <c r="AL30" s="3450"/>
      <c r="AO30" s="3444"/>
      <c r="AQ30" s="3444"/>
      <c r="AR30" s="3444"/>
      <c r="AS30" s="3444"/>
      <c r="AT30" s="3444"/>
      <c r="AU30" s="3444"/>
      <c r="AV30" s="3444"/>
      <c r="BD30" s="3408">
        <v>1000</v>
      </c>
      <c r="BE30" s="3408">
        <v>5.9200999999999997</v>
      </c>
      <c r="BF30" s="3408">
        <f>BE30</f>
        <v>5.9200999999999997</v>
      </c>
      <c r="BJ30" s="3408">
        <v>200</v>
      </c>
      <c r="BK30" s="3478">
        <v>48.06</v>
      </c>
      <c r="BL30" s="3478">
        <f>BK30</f>
        <v>48.06</v>
      </c>
    </row>
    <row r="31" spans="1:65" ht="14.1" customHeight="1">
      <c r="A31" s="3290"/>
      <c r="B31" s="3280"/>
      <c r="C31" s="3280"/>
      <c r="D31" s="3280"/>
      <c r="E31" s="3280"/>
      <c r="F31" s="3280"/>
      <c r="G31" s="3280"/>
      <c r="H31" s="3313"/>
      <c r="I31" s="3513"/>
      <c r="J31" s="3513"/>
      <c r="K31" s="3513"/>
      <c r="L31" s="3513"/>
      <c r="M31" s="3513"/>
      <c r="N31" s="3280"/>
      <c r="O31" s="3280"/>
      <c r="P31" s="3280"/>
      <c r="Q31" s="3280"/>
      <c r="R31" s="3280"/>
      <c r="S31" s="3280"/>
      <c r="T31" s="3293"/>
      <c r="W31" s="3424"/>
      <c r="X31" s="4903" t="s">
        <v>16</v>
      </c>
      <c r="Y31" s="4903" t="s">
        <v>1426</v>
      </c>
      <c r="Z31" s="4911" t="s">
        <v>1427</v>
      </c>
      <c r="AA31" s="4903" t="s">
        <v>174</v>
      </c>
      <c r="AB31" s="4903" t="s">
        <v>166</v>
      </c>
      <c r="AD31" s="4066" t="s">
        <v>1555</v>
      </c>
      <c r="AE31" s="4066"/>
      <c r="AF31" s="4067">
        <v>3242.7217934538735</v>
      </c>
      <c r="AG31" s="4067">
        <v>3234.8261323101638</v>
      </c>
      <c r="AH31" s="4067">
        <v>3224.515619999826</v>
      </c>
      <c r="AI31" s="4065"/>
      <c r="AL31" s="3450"/>
      <c r="AN31" s="3443" t="s">
        <v>1428</v>
      </c>
      <c r="AO31" s="3443" t="s">
        <v>1429</v>
      </c>
      <c r="AP31" s="3434"/>
      <c r="AQ31" s="3434"/>
      <c r="AR31" s="3434"/>
      <c r="AS31" s="3434"/>
      <c r="AT31" s="3514"/>
      <c r="AU31" s="3514"/>
      <c r="AV31" s="3514"/>
    </row>
    <row r="32" spans="1:65" ht="14.1" customHeight="1">
      <c r="A32" s="3290"/>
      <c r="B32" s="3280"/>
      <c r="C32" s="3280"/>
      <c r="D32" s="3280"/>
      <c r="E32" s="3282"/>
      <c r="F32" s="3282"/>
      <c r="G32" s="3282"/>
      <c r="H32" s="3313"/>
      <c r="I32" s="3513"/>
      <c r="J32" s="3513"/>
      <c r="K32" s="3513"/>
      <c r="L32" s="3513"/>
      <c r="M32" s="3513"/>
      <c r="N32" s="3280"/>
      <c r="O32" s="3280"/>
      <c r="P32" s="3280"/>
      <c r="Q32" s="3280"/>
      <c r="R32" s="3280"/>
      <c r="S32" s="3280"/>
      <c r="T32" s="3293"/>
      <c r="W32" s="3424"/>
      <c r="X32" s="4904"/>
      <c r="Y32" s="4904"/>
      <c r="Z32" s="4912"/>
      <c r="AA32" s="4904"/>
      <c r="AB32" s="4904"/>
      <c r="AD32" s="4065"/>
      <c r="AE32" s="4065"/>
      <c r="AF32" s="4068"/>
      <c r="AG32" s="4068"/>
      <c r="AH32" s="4068"/>
      <c r="AI32" s="4065"/>
      <c r="AL32" s="3450"/>
      <c r="AN32" s="3515">
        <f>+'10x'!Y35</f>
        <v>0</v>
      </c>
      <c r="AO32" s="3516">
        <f>+'10x'!AB35</f>
        <v>0</v>
      </c>
      <c r="AP32" s="3445"/>
      <c r="AQ32" s="3445"/>
      <c r="AR32" s="3445"/>
      <c r="AS32" s="3445"/>
      <c r="AT32" s="3517"/>
      <c r="AU32" s="3518"/>
      <c r="AV32" s="3514"/>
    </row>
    <row r="33" spans="1:83" ht="14.1" customHeight="1">
      <c r="A33" s="3290"/>
      <c r="B33" s="3280"/>
      <c r="C33" s="3280"/>
      <c r="D33" s="3280"/>
      <c r="E33" s="3280"/>
      <c r="F33" s="3280"/>
      <c r="G33" s="3280"/>
      <c r="H33" s="3313"/>
      <c r="I33" s="3513"/>
      <c r="J33" s="3513"/>
      <c r="K33" s="3513"/>
      <c r="L33" s="3513"/>
      <c r="M33" s="3513"/>
      <c r="N33" s="3280"/>
      <c r="O33" s="3280"/>
      <c r="P33" s="3280"/>
      <c r="Q33" s="3280"/>
      <c r="R33" s="3280"/>
      <c r="S33" s="3280"/>
      <c r="T33" s="3314"/>
      <c r="W33" s="3424"/>
      <c r="X33" s="4904"/>
      <c r="Y33" s="4904"/>
      <c r="Z33" s="4912"/>
      <c r="AA33" s="4904"/>
      <c r="AB33" s="4904"/>
      <c r="AD33" s="4065" t="s">
        <v>1558</v>
      </c>
      <c r="AE33" s="4065"/>
      <c r="AF33" s="4068"/>
      <c r="AG33" s="4069" t="s">
        <v>124</v>
      </c>
      <c r="AH33" s="4068"/>
      <c r="AI33" s="4065"/>
      <c r="AL33" s="3450"/>
      <c r="AN33" s="3515">
        <f>+'10x'!Y36</f>
        <v>1.2500000000000001E-2</v>
      </c>
      <c r="AO33" s="3516">
        <f>+'10x'!AB36</f>
        <v>30.01572003118169</v>
      </c>
      <c r="AP33" s="3445"/>
      <c r="AQ33" s="3445"/>
      <c r="AR33" s="3445"/>
      <c r="AS33" s="3445"/>
      <c r="AT33" s="3514"/>
      <c r="AU33" s="3518"/>
      <c r="AV33" s="3514"/>
    </row>
    <row r="34" spans="1:83" ht="14.1" customHeight="1">
      <c r="A34" s="3290"/>
      <c r="B34" s="3473" t="s">
        <v>1419</v>
      </c>
      <c r="C34" s="3473"/>
      <c r="D34" s="3423"/>
      <c r="E34" s="3423"/>
      <c r="F34" s="3519"/>
      <c r="G34" s="3280"/>
      <c r="H34" s="3280"/>
      <c r="I34" s="3280"/>
      <c r="J34" s="3280"/>
      <c r="K34" s="3280"/>
      <c r="L34" s="3280"/>
      <c r="M34" s="3280"/>
      <c r="N34" s="3280"/>
      <c r="O34" s="3280"/>
      <c r="P34" s="3280"/>
      <c r="Q34" s="3280"/>
      <c r="R34" s="3280"/>
      <c r="S34" s="3280"/>
      <c r="T34" s="3293"/>
      <c r="W34" s="3424"/>
      <c r="X34" s="3520" t="s">
        <v>1199</v>
      </c>
      <c r="Y34" s="3520" t="s">
        <v>1430</v>
      </c>
      <c r="Z34" s="3521" t="s">
        <v>982</v>
      </c>
      <c r="AA34" s="3522" t="s">
        <v>1431</v>
      </c>
      <c r="AB34" s="3522" t="s">
        <v>1432</v>
      </c>
      <c r="AC34" s="3443"/>
      <c r="AD34" s="4065"/>
      <c r="AE34" s="4065"/>
      <c r="AF34" s="4068"/>
      <c r="AG34" s="4068"/>
      <c r="AH34" s="4068"/>
      <c r="AI34" s="4065"/>
      <c r="AL34" s="3450"/>
      <c r="AN34" s="3515">
        <f>+'10x'!Y37</f>
        <v>2.5000000000000001E-2</v>
      </c>
      <c r="AO34" s="3516">
        <f>+'10x'!AB37</f>
        <v>60.03144006236338</v>
      </c>
      <c r="AP34" s="3453"/>
      <c r="AQ34" s="3453"/>
      <c r="AR34" s="3453"/>
      <c r="AS34" s="3453"/>
      <c r="AT34" s="3514"/>
      <c r="AU34" s="3518"/>
      <c r="AV34" s="3514"/>
    </row>
    <row r="35" spans="1:83" ht="14.1" customHeight="1">
      <c r="A35" s="3290"/>
      <c r="B35" s="4905" t="s">
        <v>1433</v>
      </c>
      <c r="C35" s="4905"/>
      <c r="D35" s="3423">
        <v>28.7926</v>
      </c>
      <c r="E35" s="3423" t="s">
        <v>1422</v>
      </c>
      <c r="F35" s="3423"/>
      <c r="G35" s="3280"/>
      <c r="H35" s="3280"/>
      <c r="I35" s="3280"/>
      <c r="J35" s="3280"/>
      <c r="K35" s="3280"/>
      <c r="L35" s="3280"/>
      <c r="M35" s="3280"/>
      <c r="N35" s="3280"/>
      <c r="O35" s="3280"/>
      <c r="P35" s="3280"/>
      <c r="Q35" s="3280"/>
      <c r="R35" s="3280"/>
      <c r="S35" s="3280"/>
      <c r="T35" s="3293"/>
      <c r="W35" s="3424"/>
      <c r="X35" s="3523">
        <v>0</v>
      </c>
      <c r="Y35" s="3524">
        <v>0</v>
      </c>
      <c r="Z35" s="3525">
        <v>0</v>
      </c>
      <c r="AA35" s="3526">
        <v>0</v>
      </c>
      <c r="AB35" s="3527">
        <f>+Z35*AA35/$Z$29</f>
        <v>0</v>
      </c>
      <c r="AC35" s="3443"/>
      <c r="AD35" s="4065"/>
      <c r="AE35" s="4065"/>
      <c r="AF35" s="4068"/>
      <c r="AG35" s="4068"/>
      <c r="AH35" s="4068"/>
      <c r="AI35" s="4065"/>
      <c r="AL35" s="3450"/>
      <c r="AM35" s="3443"/>
      <c r="AN35" s="3515">
        <f>+'10x'!Y38</f>
        <v>0.05</v>
      </c>
      <c r="AO35" s="3516">
        <f>+'10x'!AB38</f>
        <v>120.06288012472676</v>
      </c>
      <c r="AT35" s="3518"/>
      <c r="AU35" s="3518"/>
      <c r="AV35" s="3518"/>
    </row>
    <row r="36" spans="1:83" ht="14.1" customHeight="1">
      <c r="A36" s="3290"/>
      <c r="B36" s="4905" t="s">
        <v>1423</v>
      </c>
      <c r="C36" s="4905"/>
      <c r="D36" s="3528">
        <f>AF43</f>
        <v>3.0800546209161292</v>
      </c>
      <c r="E36" s="3529" t="s">
        <v>1425</v>
      </c>
      <c r="F36" s="3423"/>
      <c r="G36" s="3502"/>
      <c r="H36" s="4906"/>
      <c r="I36" s="3325"/>
      <c r="J36" s="3325"/>
      <c r="K36" s="3325"/>
      <c r="L36" s="3325"/>
      <c r="M36" s="3325"/>
      <c r="N36" s="3325"/>
      <c r="O36" s="3325"/>
      <c r="P36" s="3325"/>
      <c r="Q36" s="3325"/>
      <c r="R36" s="3325"/>
      <c r="S36" s="3280"/>
      <c r="T36" s="3293"/>
      <c r="W36" s="3424"/>
      <c r="X36" s="3530">
        <v>0.25</v>
      </c>
      <c r="Y36" s="3531">
        <v>1.2500000000000001E-2</v>
      </c>
      <c r="Z36" s="3532">
        <v>3</v>
      </c>
      <c r="AA36" s="3533">
        <f t="shared" ref="AA36:AA45" si="4">Z36*$Z$28</f>
        <v>86.377800000000008</v>
      </c>
      <c r="AB36" s="3534">
        <f t="shared" ref="AB36:AB45" si="5">AA36/$Z$29</f>
        <v>30.01572003118169</v>
      </c>
      <c r="AC36" s="3443"/>
      <c r="AD36" s="4065"/>
      <c r="AE36" s="4065"/>
      <c r="AF36" s="4068"/>
      <c r="AG36" s="4068"/>
      <c r="AH36" s="4068"/>
      <c r="AI36" s="4065"/>
      <c r="AL36" s="3450"/>
      <c r="AN36" s="3515">
        <f>+'10x'!Y39</f>
        <v>7.4999999999999997E-2</v>
      </c>
      <c r="AO36" s="3516">
        <f>+'10x'!AB39</f>
        <v>180.09432018709012</v>
      </c>
      <c r="AT36" s="3514"/>
      <c r="AU36" s="3518"/>
      <c r="AV36" s="3514"/>
      <c r="BD36" s="3535">
        <v>2000</v>
      </c>
      <c r="BE36" s="3535">
        <v>6000</v>
      </c>
      <c r="BF36" s="3535">
        <v>10000</v>
      </c>
    </row>
    <row r="37" spans="1:83" ht="14.1" customHeight="1">
      <c r="A37" s="3290"/>
      <c r="B37" s="3473"/>
      <c r="C37" s="3473"/>
      <c r="D37" s="3423"/>
      <c r="E37" s="3423"/>
      <c r="F37" s="3423"/>
      <c r="G37" s="3502"/>
      <c r="H37" s="4906"/>
      <c r="I37" s="3313"/>
      <c r="J37" s="3536"/>
      <c r="K37" s="3313"/>
      <c r="L37" s="3313"/>
      <c r="M37" s="3313"/>
      <c r="N37" s="3313"/>
      <c r="O37" s="3313"/>
      <c r="P37" s="3313"/>
      <c r="Q37" s="3313"/>
      <c r="R37" s="3313"/>
      <c r="S37" s="3313"/>
      <c r="T37" s="3293"/>
      <c r="W37" s="3424"/>
      <c r="X37" s="3530">
        <v>0.5</v>
      </c>
      <c r="Y37" s="3531">
        <v>2.5000000000000001E-2</v>
      </c>
      <c r="Z37" s="3532">
        <v>6</v>
      </c>
      <c r="AA37" s="3533">
        <f t="shared" si="4"/>
        <v>172.75560000000002</v>
      </c>
      <c r="AB37" s="3534">
        <f t="shared" si="5"/>
        <v>60.03144006236338</v>
      </c>
      <c r="AC37" s="3443"/>
      <c r="AD37" s="4065" t="s">
        <v>1556</v>
      </c>
      <c r="AE37" s="4065"/>
      <c r="AF37" s="4068"/>
      <c r="AG37" s="4068"/>
      <c r="AH37" s="4068"/>
      <c r="AI37" s="4065"/>
      <c r="AL37" s="3450"/>
      <c r="AM37" s="3443"/>
      <c r="AN37" s="3515">
        <f>+'10x'!Y40</f>
        <v>0.1</v>
      </c>
      <c r="AO37" s="3516">
        <f>+'10x'!AB40</f>
        <v>230.1205202390596</v>
      </c>
      <c r="AP37" s="3537">
        <f>AN38-AN37</f>
        <v>4.9999999999999989E-2</v>
      </c>
      <c r="AQ37" s="3537">
        <f>AQ27/AP37</f>
        <v>0</v>
      </c>
      <c r="AR37" s="3408">
        <f>AQ37*(AO38-AO37)</f>
        <v>0</v>
      </c>
      <c r="AS37" s="3538">
        <f>AO37+AR37</f>
        <v>230.1205202390596</v>
      </c>
      <c r="AT37" s="3514"/>
      <c r="AU37" s="3518"/>
      <c r="AV37" s="3514"/>
    </row>
    <row r="38" spans="1:83" ht="14.1" customHeight="1">
      <c r="A38" s="3290"/>
      <c r="B38" s="4907" t="s">
        <v>16</v>
      </c>
      <c r="C38" s="4907" t="s">
        <v>1426</v>
      </c>
      <c r="D38" s="4909" t="s">
        <v>1427</v>
      </c>
      <c r="E38" s="4907" t="s">
        <v>174</v>
      </c>
      <c r="F38" s="4907" t="s">
        <v>166</v>
      </c>
      <c r="G38" s="3280"/>
      <c r="H38" s="3313"/>
      <c r="I38" s="3539"/>
      <c r="J38" s="3539"/>
      <c r="K38" s="3539"/>
      <c r="L38" s="3539"/>
      <c r="M38" s="3539"/>
      <c r="N38" s="3540"/>
      <c r="O38" s="3540"/>
      <c r="P38" s="3540"/>
      <c r="Q38" s="3540"/>
      <c r="R38" s="3313"/>
      <c r="S38" s="3313"/>
      <c r="T38" s="3293"/>
      <c r="W38" s="3424"/>
      <c r="X38" s="3530">
        <v>1</v>
      </c>
      <c r="Y38" s="3531">
        <v>0.05</v>
      </c>
      <c r="Z38" s="3532">
        <v>12</v>
      </c>
      <c r="AA38" s="3533">
        <f t="shared" si="4"/>
        <v>345.51120000000003</v>
      </c>
      <c r="AB38" s="3534">
        <f t="shared" si="5"/>
        <v>120.06288012472676</v>
      </c>
      <c r="AC38" s="3541"/>
      <c r="AD38" s="4070" t="s">
        <v>1557</v>
      </c>
      <c r="AE38" s="4065"/>
      <c r="AF38" s="4068">
        <v>7.36</v>
      </c>
      <c r="AG38" s="4068">
        <v>7.34</v>
      </c>
      <c r="AH38" s="4068"/>
      <c r="AI38" s="4071"/>
      <c r="AJ38" s="3543"/>
      <c r="AK38" s="3543"/>
      <c r="AL38" s="3544"/>
      <c r="AM38" s="3543"/>
      <c r="AN38" s="3515">
        <f>+'10x'!Y41</f>
        <v>0.15</v>
      </c>
      <c r="AO38" s="3516">
        <f>+'10x'!AB41</f>
        <v>330.17292034299857</v>
      </c>
      <c r="AQ38" s="3537"/>
      <c r="AS38" s="3545"/>
      <c r="AT38" s="3514"/>
      <c r="AU38" s="3518"/>
      <c r="AV38" s="3514"/>
    </row>
    <row r="39" spans="1:83" ht="14.1" customHeight="1">
      <c r="A39" s="3290"/>
      <c r="B39" s="4908"/>
      <c r="C39" s="4908"/>
      <c r="D39" s="4910"/>
      <c r="E39" s="4908"/>
      <c r="F39" s="4908"/>
      <c r="G39" s="3280"/>
      <c r="H39" s="3313"/>
      <c r="I39" s="3539"/>
      <c r="J39" s="3539"/>
      <c r="K39" s="3539"/>
      <c r="L39" s="3539"/>
      <c r="M39" s="3539"/>
      <c r="N39" s="3540"/>
      <c r="O39" s="3540"/>
      <c r="P39" s="3540"/>
      <c r="Q39" s="3540"/>
      <c r="R39" s="3313"/>
      <c r="S39" s="3313"/>
      <c r="T39" s="3293"/>
      <c r="W39" s="3424"/>
      <c r="X39" s="3530">
        <v>1.5</v>
      </c>
      <c r="Y39" s="3531">
        <v>7.4999999999999997E-2</v>
      </c>
      <c r="Z39" s="3532">
        <v>18</v>
      </c>
      <c r="AA39" s="3533">
        <f t="shared" si="4"/>
        <v>518.26679999999999</v>
      </c>
      <c r="AB39" s="3534">
        <f t="shared" si="5"/>
        <v>180.09432018709012</v>
      </c>
      <c r="AC39" s="3541"/>
      <c r="AD39" s="3510"/>
      <c r="AE39" s="3543"/>
      <c r="AF39" s="3543"/>
      <c r="AG39" s="3543"/>
      <c r="AH39" s="3543"/>
      <c r="AI39" s="3543"/>
      <c r="AJ39" s="3543"/>
      <c r="AK39" s="3543"/>
      <c r="AL39" s="3544"/>
      <c r="AM39" s="3543"/>
      <c r="AN39" s="3515">
        <f>+'10x'!Y42</f>
        <v>0.2</v>
      </c>
      <c r="AO39" s="3516">
        <f>+'10x'!AB42</f>
        <v>400.2096004157558</v>
      </c>
      <c r="AP39" s="3537">
        <f>AN40-AN39</f>
        <v>9.9999999999999978E-2</v>
      </c>
      <c r="AQ39" s="3537">
        <f>AQ27/AP39</f>
        <v>0</v>
      </c>
      <c r="AR39" s="3408">
        <f>AQ39*(AO40-AO39)</f>
        <v>0</v>
      </c>
      <c r="AS39" s="3538">
        <f>AO39+AR39</f>
        <v>400.2096004157558</v>
      </c>
      <c r="BC39" s="3478">
        <f t="shared" ref="BC39:BC48" si="6">Z36</f>
        <v>3</v>
      </c>
      <c r="BD39" s="3443">
        <f t="shared" ref="BD39:BD48" si="7">IF(BC39&lt;=100,2.0247,1.9965)</f>
        <v>2.0247000000000002</v>
      </c>
      <c r="BE39" s="3408">
        <f>IF(BC39&lt;=100,BH39,IF(BC39&lt;=200,BI39,IF(BC39&lt;=300,BJ39,IF(BC39&lt;=400,BK39,IF(BC39&lt;=500,BL39,IF(BC39&lt;=600,BM39))))))</f>
        <v>7.5002889999999995</v>
      </c>
      <c r="BF39" s="3408">
        <f>IF(BC39&lt;=160,CC39,IF(BC39&lt;=180,CD39,IF(BC39&lt;=200,CE39)))</f>
        <v>50.272500000000001</v>
      </c>
      <c r="BH39" s="3408">
        <f t="shared" ref="BH39:BH48" si="8">(BC39-$BD$20)/($BD$21-$BD$20)*-($BG$20)+$BF$20</f>
        <v>7.5002889999999995</v>
      </c>
      <c r="BI39" s="3408">
        <f t="shared" ref="BI39:BI48" si="9">(BC39-$BD$21)/($BD$22-$BD$21)*-($BG$21)+$BF$21</f>
        <v>7.0286710000000001</v>
      </c>
      <c r="BJ39" s="3408">
        <f t="shared" ref="BJ39:BJ48" si="10">(BC39-$BD$22)/($BD$23-$BD$22)*-($BG$22)+$BF$22</f>
        <v>6.6805869999999992</v>
      </c>
      <c r="BK39" s="3408">
        <f t="shared" ref="BK39:BK48" si="11">(BC39-$BD$23)/($BD$24-$BD$23)*-($BG$23)+$BF$23</f>
        <v>6.5245659999999992</v>
      </c>
      <c r="BL39" s="3408">
        <f t="shared" ref="BL39:BL48" si="12">(BC39-$BD$24)/($BD$25-$BD$24)*-($BG$24)+$BF$24</f>
        <v>6.430633000000002</v>
      </c>
      <c r="BM39" s="3408">
        <f t="shared" ref="BM39:BM48" si="13">(BC39-$BD$25)/($BD$26-$BD$25)*-($BG$25)+$BF$25</f>
        <v>6.3864549999999989</v>
      </c>
      <c r="BN39" s="3408">
        <f t="shared" ref="BN39:BN48" si="14">(BC39-$BD$26)/($BD$27-$BD$26)*-($BG$26)+$BF$26</f>
        <v>6.3153609999999976</v>
      </c>
      <c r="BO39" s="3408">
        <f t="shared" ref="BO39:BO48" si="15">(BC39-$BD$27)/($BD$28-$BD$27)*-($BG$27)+$BF$27</f>
        <v>6.2675410000000031</v>
      </c>
      <c r="BP39" s="3408">
        <f t="shared" ref="BP39:BP48" si="16">(BC39-$BD$28)/($BD$30-$BD$28)*-($BG$28)+$BF$28</f>
        <v>6.2271760000000009</v>
      </c>
      <c r="BW39" s="3408">
        <f t="shared" ref="BW39:BW48" si="17">(BC39-$BJ$20)/($BJ$21-$BJ$20)*-($BM$20)+$BL$20</f>
        <v>54.9895</v>
      </c>
      <c r="BX39" s="3408">
        <f t="shared" ref="BX39:BX48" si="18">(BC39-$BJ$21)/($BJ$22-$BJ$21)*-($BM$21)+$BL$21</f>
        <v>51.622499999999988</v>
      </c>
      <c r="BY39" s="3408">
        <f t="shared" ref="BY39:BY48" si="19">(BC39-$BJ$22)/($BJ$23-$BJ$22)*-($BM$22)+$BL$22</f>
        <v>50.283000000000008</v>
      </c>
      <c r="BZ39" s="3408">
        <f t="shared" ref="BZ39:BZ48" si="20">(BC39-$BJ$23)/($BJ$24-$BJ$23)*-($BM$23)+$BL$23</f>
        <v>49.782499999999999</v>
      </c>
      <c r="CA39" s="3408">
        <f t="shared" ref="CA39:CA48" si="21">(BC39-$BJ$24)/($BJ$25-$BJ$24)*-($BM$24)+$BL$24</f>
        <v>48.52150000000001</v>
      </c>
      <c r="CB39" s="3408">
        <f t="shared" ref="CB39:CB48" si="22">(BC39-$BJ$25)/($BJ$26-$BJ$25)*-($BM$25)+$BL$25</f>
        <v>48.696999999999974</v>
      </c>
      <c r="CC39" s="3408">
        <f t="shared" ref="CC39:CC48" si="23">(BC39-$BJ$26)/($BJ$27-$BJ$26)*-($BM$26)+$BL$26</f>
        <v>50.272500000000001</v>
      </c>
      <c r="CD39" s="3408">
        <f t="shared" ref="CD39:CD48" si="24">(BC39-$BJ$27)/($BJ$28-$BJ$27)*-($BM$27)+$BL$27</f>
        <v>49.409000000000006</v>
      </c>
      <c r="CE39" s="3408">
        <f t="shared" ref="CE39:CE48" si="25">(BC39-$BJ$28)/($BJ$30-$BJ$28)*-($BM$28)+$BL$28</f>
        <v>49.143499999999996</v>
      </c>
    </row>
    <row r="40" spans="1:83" ht="14.1" customHeight="1">
      <c r="A40" s="3290"/>
      <c r="B40" s="4908"/>
      <c r="C40" s="4908"/>
      <c r="D40" s="4910"/>
      <c r="E40" s="4908"/>
      <c r="F40" s="4908"/>
      <c r="G40" s="3280"/>
      <c r="H40" s="3313"/>
      <c r="I40" s="3546"/>
      <c r="J40" s="3546"/>
      <c r="K40" s="3546"/>
      <c r="L40" s="3546"/>
      <c r="M40" s="3546"/>
      <c r="N40" s="3540"/>
      <c r="O40" s="3540"/>
      <c r="P40" s="3540"/>
      <c r="Q40" s="3540"/>
      <c r="R40" s="3313"/>
      <c r="S40" s="3313"/>
      <c r="T40" s="3293"/>
      <c r="W40" s="3424"/>
      <c r="X40" s="3530">
        <v>2</v>
      </c>
      <c r="Y40" s="3531">
        <v>0.1</v>
      </c>
      <c r="Z40" s="3532">
        <v>23</v>
      </c>
      <c r="AA40" s="3533">
        <f t="shared" si="4"/>
        <v>662.22979999999995</v>
      </c>
      <c r="AB40" s="3534">
        <f t="shared" si="5"/>
        <v>230.1205202390596</v>
      </c>
      <c r="AC40" s="3541"/>
      <c r="AD40" s="3510"/>
      <c r="AE40" s="3543"/>
      <c r="AF40" s="3543"/>
      <c r="AG40" s="3543"/>
      <c r="AH40" s="3543"/>
      <c r="AI40" s="3543"/>
      <c r="AJ40" s="3543"/>
      <c r="AK40" s="3543"/>
      <c r="AL40" s="3544"/>
      <c r="AM40" s="3543"/>
      <c r="AN40" s="3515">
        <f>+'10x'!Y43</f>
        <v>0.3</v>
      </c>
      <c r="AO40" s="3516">
        <f>+'10x'!AB43</f>
        <v>480.25152049890704</v>
      </c>
      <c r="BC40" s="3478">
        <f t="shared" si="6"/>
        <v>6</v>
      </c>
      <c r="BD40" s="3443">
        <f t="shared" si="7"/>
        <v>2.0247000000000002</v>
      </c>
      <c r="BE40" s="3408">
        <f t="shared" ref="BE40:BE48" si="26">IF(BC40&lt;=400,BH40,IF(BC40&lt;=600,BI40,IF(BC40&lt;=800,BJ40,IF(BC40&lt;=1000,BK40))))</f>
        <v>7.486078</v>
      </c>
      <c r="BF40" s="3408">
        <f t="shared" ref="BF40:BF48" si="27">IF(BC40&lt;=160,CC40,IF(Z37&lt;=180,CD40,IF(Z37&lt;=200,CE40)))</f>
        <v>50.234999999999999</v>
      </c>
      <c r="BH40" s="3408">
        <f t="shared" si="8"/>
        <v>7.486078</v>
      </c>
      <c r="BI40" s="3408">
        <f t="shared" si="9"/>
        <v>7.0216419999999999</v>
      </c>
      <c r="BJ40" s="3408">
        <f t="shared" si="10"/>
        <v>6.6770739999999993</v>
      </c>
      <c r="BK40" s="3408">
        <f t="shared" si="11"/>
        <v>6.5222319999999998</v>
      </c>
      <c r="BL40" s="3408">
        <f t="shared" si="12"/>
        <v>6.428866000000002</v>
      </c>
      <c r="BM40" s="3408">
        <f t="shared" si="13"/>
        <v>6.3849099999999988</v>
      </c>
      <c r="BN40" s="3408">
        <f t="shared" si="14"/>
        <v>6.3141219999999976</v>
      </c>
      <c r="BO40" s="3408">
        <f t="shared" si="15"/>
        <v>6.2664820000000026</v>
      </c>
      <c r="BP40" s="3408">
        <f t="shared" si="16"/>
        <v>6.2262520000000015</v>
      </c>
      <c r="BW40" s="3408">
        <f t="shared" si="17"/>
        <v>54.588999999999999</v>
      </c>
      <c r="BX40" s="3408">
        <f t="shared" si="18"/>
        <v>51.49499999999999</v>
      </c>
      <c r="BY40" s="3408">
        <f t="shared" si="19"/>
        <v>50.226000000000013</v>
      </c>
      <c r="BZ40" s="3408">
        <f t="shared" si="20"/>
        <v>49.744999999999997</v>
      </c>
      <c r="CA40" s="3408">
        <f t="shared" si="21"/>
        <v>48.52300000000001</v>
      </c>
      <c r="CB40" s="3408">
        <f t="shared" si="22"/>
        <v>48.693999999999974</v>
      </c>
      <c r="CC40" s="3408">
        <f t="shared" si="23"/>
        <v>50.234999999999999</v>
      </c>
      <c r="CD40" s="3408">
        <f t="shared" si="24"/>
        <v>49.388000000000005</v>
      </c>
      <c r="CE40" s="3408">
        <f t="shared" si="25"/>
        <v>49.126999999999995</v>
      </c>
    </row>
    <row r="41" spans="1:83" ht="14.1" customHeight="1">
      <c r="A41" s="3290"/>
      <c r="B41" s="3547" t="s">
        <v>1199</v>
      </c>
      <c r="C41" s="3547" t="s">
        <v>1430</v>
      </c>
      <c r="D41" s="3548" t="s">
        <v>982</v>
      </c>
      <c r="E41" s="3549" t="s">
        <v>1431</v>
      </c>
      <c r="F41" s="3549" t="s">
        <v>1432</v>
      </c>
      <c r="G41" s="3282"/>
      <c r="H41" s="3313"/>
      <c r="I41" s="3546"/>
      <c r="J41" s="3546"/>
      <c r="K41" s="3546"/>
      <c r="L41" s="3546"/>
      <c r="M41" s="3546"/>
      <c r="N41" s="3540"/>
      <c r="O41" s="3540"/>
      <c r="P41" s="3540"/>
      <c r="Q41" s="3540"/>
      <c r="R41" s="3280"/>
      <c r="S41" s="3280"/>
      <c r="T41" s="3293"/>
      <c r="W41" s="3424"/>
      <c r="X41" s="3530">
        <v>3</v>
      </c>
      <c r="Y41" s="3531">
        <v>0.15</v>
      </c>
      <c r="Z41" s="3532">
        <v>33</v>
      </c>
      <c r="AA41" s="3533">
        <f t="shared" si="4"/>
        <v>950.1558</v>
      </c>
      <c r="AB41" s="3534">
        <f t="shared" si="5"/>
        <v>330.17292034299857</v>
      </c>
      <c r="AC41" s="3541"/>
      <c r="AD41" s="3510" t="s">
        <v>1560</v>
      </c>
      <c r="AE41" s="3543"/>
      <c r="AF41" s="3543"/>
      <c r="AG41" s="3543"/>
      <c r="AH41" s="3543"/>
      <c r="AI41" s="3543"/>
      <c r="AJ41" s="3543"/>
      <c r="AK41" s="3543"/>
      <c r="AL41" s="3544"/>
      <c r="AM41" s="3543"/>
      <c r="AN41" s="3515">
        <f>+'10x'!Y44</f>
        <v>0.4</v>
      </c>
      <c r="AO41" s="3516">
        <f>+'10x'!AB44</f>
        <v>500.26200051969482</v>
      </c>
      <c r="BC41" s="3478">
        <f t="shared" si="6"/>
        <v>12</v>
      </c>
      <c r="BD41" s="3443">
        <f t="shared" si="7"/>
        <v>2.0247000000000002</v>
      </c>
      <c r="BE41" s="3408">
        <f t="shared" si="26"/>
        <v>7.4576560000000001</v>
      </c>
      <c r="BF41" s="3408">
        <f t="shared" si="27"/>
        <v>50.160000000000004</v>
      </c>
      <c r="BH41" s="3408">
        <f t="shared" si="8"/>
        <v>7.4576560000000001</v>
      </c>
      <c r="BI41" s="3408">
        <f t="shared" si="9"/>
        <v>7.0075840000000005</v>
      </c>
      <c r="BJ41" s="3408">
        <f t="shared" si="10"/>
        <v>6.6700479999999986</v>
      </c>
      <c r="BK41" s="3408">
        <f t="shared" si="11"/>
        <v>6.5175639999999992</v>
      </c>
      <c r="BL41" s="3408">
        <f t="shared" si="12"/>
        <v>6.4253320000000018</v>
      </c>
      <c r="BM41" s="3408">
        <f t="shared" si="13"/>
        <v>6.3818199999999994</v>
      </c>
      <c r="BN41" s="3408">
        <f t="shared" si="14"/>
        <v>6.3116439999999976</v>
      </c>
      <c r="BO41" s="3408">
        <f t="shared" si="15"/>
        <v>6.2643640000000032</v>
      </c>
      <c r="BP41" s="3408">
        <f t="shared" si="16"/>
        <v>6.2244040000000016</v>
      </c>
      <c r="BW41" s="3408">
        <f t="shared" si="17"/>
        <v>53.787999999999997</v>
      </c>
      <c r="BX41" s="3408">
        <f t="shared" si="18"/>
        <v>51.239999999999988</v>
      </c>
      <c r="BY41" s="3408">
        <f t="shared" si="19"/>
        <v>50.112000000000009</v>
      </c>
      <c r="BZ41" s="3408">
        <f t="shared" si="20"/>
        <v>49.67</v>
      </c>
      <c r="CA41" s="3408">
        <f t="shared" si="21"/>
        <v>48.52600000000001</v>
      </c>
      <c r="CB41" s="3408">
        <f t="shared" si="22"/>
        <v>48.687999999999974</v>
      </c>
      <c r="CC41" s="3408">
        <f t="shared" si="23"/>
        <v>50.160000000000004</v>
      </c>
      <c r="CD41" s="3408">
        <f t="shared" si="24"/>
        <v>49.346000000000004</v>
      </c>
      <c r="CE41" s="3408">
        <f t="shared" si="25"/>
        <v>49.093999999999994</v>
      </c>
    </row>
    <row r="42" spans="1:83" ht="14.1" customHeight="1">
      <c r="A42" s="3290"/>
      <c r="B42" s="3550">
        <v>0</v>
      </c>
      <c r="C42" s="3551">
        <v>0</v>
      </c>
      <c r="D42" s="3552">
        <v>0</v>
      </c>
      <c r="E42" s="3553">
        <f>IF(D42="", "", D42*$D$35)</f>
        <v>0</v>
      </c>
      <c r="F42" s="3554">
        <f>IF(E42="", "", E42/$D$36)</f>
        <v>0</v>
      </c>
      <c r="G42" s="3280"/>
      <c r="H42" s="3313"/>
      <c r="I42" s="3555"/>
      <c r="J42" s="3555"/>
      <c r="K42" s="3555"/>
      <c r="L42" s="3555"/>
      <c r="M42" s="3555"/>
      <c r="N42" s="3280"/>
      <c r="O42" s="3280"/>
      <c r="P42" s="3280"/>
      <c r="Q42" s="3280"/>
      <c r="R42" s="3280"/>
      <c r="S42" s="3280"/>
      <c r="T42" s="3331"/>
      <c r="W42" s="3424"/>
      <c r="X42" s="3530">
        <v>4</v>
      </c>
      <c r="Y42" s="3531">
        <v>0.2</v>
      </c>
      <c r="Z42" s="3532">
        <v>40</v>
      </c>
      <c r="AA42" s="3533">
        <f t="shared" si="4"/>
        <v>1151.704</v>
      </c>
      <c r="AB42" s="3534">
        <f t="shared" si="5"/>
        <v>400.2096004157558</v>
      </c>
      <c r="AC42" s="3541"/>
      <c r="AD42" s="3510" t="s">
        <v>1561</v>
      </c>
      <c r="AE42" s="3543" t="s">
        <v>2</v>
      </c>
      <c r="AF42" s="3543">
        <v>50.3</v>
      </c>
      <c r="AG42" s="3543"/>
      <c r="AH42" s="3543"/>
      <c r="AI42" s="3543"/>
      <c r="AJ42" s="3543"/>
      <c r="AK42" s="3543"/>
      <c r="AL42" s="3544"/>
      <c r="AM42" s="3543"/>
      <c r="AN42" s="3515">
        <f>+'10x'!Y45</f>
        <v>0.5</v>
      </c>
      <c r="AO42" s="3516">
        <f>+'10x'!AB45</f>
        <v>490.25676050930093</v>
      </c>
      <c r="BC42" s="3478">
        <f t="shared" si="6"/>
        <v>18</v>
      </c>
      <c r="BD42" s="3443">
        <f t="shared" si="7"/>
        <v>2.0247000000000002</v>
      </c>
      <c r="BE42" s="3408">
        <f t="shared" si="26"/>
        <v>7.4292340000000001</v>
      </c>
      <c r="BF42" s="3408">
        <f t="shared" si="27"/>
        <v>50.085000000000001</v>
      </c>
      <c r="BH42" s="3408">
        <f t="shared" si="8"/>
        <v>7.4292340000000001</v>
      </c>
      <c r="BI42" s="3408">
        <f t="shared" si="9"/>
        <v>6.9935260000000001</v>
      </c>
      <c r="BJ42" s="3408">
        <f t="shared" si="10"/>
        <v>6.6630219999999989</v>
      </c>
      <c r="BK42" s="3408">
        <f t="shared" si="11"/>
        <v>6.5128959999999996</v>
      </c>
      <c r="BL42" s="3408">
        <f t="shared" si="12"/>
        <v>6.4217980000000017</v>
      </c>
      <c r="BM42" s="3408">
        <f t="shared" si="13"/>
        <v>6.3787299999999991</v>
      </c>
      <c r="BN42" s="3408">
        <f t="shared" si="14"/>
        <v>6.3091659999999976</v>
      </c>
      <c r="BO42" s="3408">
        <f t="shared" si="15"/>
        <v>6.2622460000000029</v>
      </c>
      <c r="BP42" s="3408">
        <f t="shared" si="16"/>
        <v>6.2225560000000009</v>
      </c>
      <c r="BW42" s="3408">
        <f t="shared" si="17"/>
        <v>52.987000000000002</v>
      </c>
      <c r="BX42" s="3408">
        <f t="shared" si="18"/>
        <v>50.984999999999992</v>
      </c>
      <c r="BY42" s="3408">
        <f t="shared" si="19"/>
        <v>49.998000000000005</v>
      </c>
      <c r="BZ42" s="3408">
        <f t="shared" si="20"/>
        <v>49.594999999999999</v>
      </c>
      <c r="CA42" s="3408">
        <f t="shared" si="21"/>
        <v>48.529000000000011</v>
      </c>
      <c r="CB42" s="3408">
        <f t="shared" si="22"/>
        <v>48.681999999999981</v>
      </c>
      <c r="CC42" s="3408">
        <f t="shared" si="23"/>
        <v>50.085000000000001</v>
      </c>
      <c r="CD42" s="3408">
        <f t="shared" si="24"/>
        <v>49.304000000000009</v>
      </c>
      <c r="CE42" s="3408">
        <f t="shared" si="25"/>
        <v>49.061</v>
      </c>
    </row>
    <row r="43" spans="1:83" ht="14.1" customHeight="1">
      <c r="A43" s="3332"/>
      <c r="B43" s="3556">
        <v>0.25</v>
      </c>
      <c r="C43" s="3557">
        <v>1.2500000000000001E-2</v>
      </c>
      <c r="D43" s="3558">
        <v>5</v>
      </c>
      <c r="E43" s="3559">
        <f t="shared" ref="E43:E52" si="28">IF(D43="", "", D43*$D$35)</f>
        <v>143.96299999999999</v>
      </c>
      <c r="F43" s="3560">
        <f t="shared" ref="F43:F52" si="29">IF(E43="", "", E43/$D$36)</f>
        <v>46.740404868917466</v>
      </c>
      <c r="G43" s="3280"/>
      <c r="H43" s="3313"/>
      <c r="I43" s="3555"/>
      <c r="J43" s="3555"/>
      <c r="K43" s="3555"/>
      <c r="L43" s="3555"/>
      <c r="M43" s="3555"/>
      <c r="N43" s="3280"/>
      <c r="O43" s="3280"/>
      <c r="P43" s="3280"/>
      <c r="Q43" s="3280"/>
      <c r="R43" s="3280"/>
      <c r="S43" s="3280"/>
      <c r="T43" s="3337"/>
      <c r="W43" s="3424"/>
      <c r="X43" s="3530">
        <v>6</v>
      </c>
      <c r="Y43" s="3531">
        <v>0.3</v>
      </c>
      <c r="Z43" s="3532">
        <v>48</v>
      </c>
      <c r="AA43" s="3533">
        <f t="shared" si="4"/>
        <v>1382.0448000000001</v>
      </c>
      <c r="AB43" s="3534">
        <f t="shared" si="5"/>
        <v>480.25152049890704</v>
      </c>
      <c r="AC43" s="3541"/>
      <c r="AD43" s="3510"/>
      <c r="AE43" s="3543"/>
      <c r="AF43" s="3543">
        <f>((AF42/25.4)/2)^2 * PI()</f>
        <v>3.0800546209161292</v>
      </c>
      <c r="AG43" s="3543"/>
      <c r="AH43" s="3543"/>
      <c r="AI43" s="3543"/>
      <c r="AJ43" s="3543"/>
      <c r="AK43" s="3543"/>
      <c r="AL43" s="3544"/>
      <c r="AM43" s="3543"/>
      <c r="AX43" s="3561"/>
      <c r="AY43" s="3516"/>
      <c r="BC43" s="3478">
        <f t="shared" si="6"/>
        <v>23</v>
      </c>
      <c r="BD43" s="3443">
        <f t="shared" si="7"/>
        <v>2.0247000000000002</v>
      </c>
      <c r="BE43" s="3408">
        <f t="shared" si="26"/>
        <v>7.4055489999999997</v>
      </c>
      <c r="BF43" s="3408">
        <f t="shared" si="27"/>
        <v>50.022500000000001</v>
      </c>
      <c r="BH43" s="3408">
        <f t="shared" si="8"/>
        <v>7.4055489999999997</v>
      </c>
      <c r="BI43" s="3408">
        <f t="shared" si="9"/>
        <v>6.9818110000000004</v>
      </c>
      <c r="BJ43" s="3408">
        <f t="shared" si="10"/>
        <v>6.6571669999999994</v>
      </c>
      <c r="BK43" s="3408">
        <f t="shared" si="11"/>
        <v>6.5090059999999994</v>
      </c>
      <c r="BL43" s="3408">
        <f t="shared" si="12"/>
        <v>6.4188530000000021</v>
      </c>
      <c r="BM43" s="3408">
        <f t="shared" si="13"/>
        <v>6.3761549999999989</v>
      </c>
      <c r="BN43" s="3408">
        <f t="shared" si="14"/>
        <v>6.3071009999999976</v>
      </c>
      <c r="BO43" s="3408">
        <f t="shared" si="15"/>
        <v>6.2604810000000031</v>
      </c>
      <c r="BP43" s="3408">
        <f t="shared" si="16"/>
        <v>6.2210160000000014</v>
      </c>
      <c r="BW43" s="3408">
        <f t="shared" si="17"/>
        <v>52.319499999999998</v>
      </c>
      <c r="BX43" s="3408">
        <f t="shared" si="18"/>
        <v>50.772499999999994</v>
      </c>
      <c r="BY43" s="3408">
        <f t="shared" si="19"/>
        <v>49.903000000000006</v>
      </c>
      <c r="BZ43" s="3408">
        <f t="shared" si="20"/>
        <v>49.532499999999999</v>
      </c>
      <c r="CA43" s="3408">
        <f t="shared" si="21"/>
        <v>48.531500000000008</v>
      </c>
      <c r="CB43" s="3408">
        <f t="shared" si="22"/>
        <v>48.676999999999978</v>
      </c>
      <c r="CC43" s="3408">
        <f t="shared" si="23"/>
        <v>50.022500000000001</v>
      </c>
      <c r="CD43" s="3408">
        <f t="shared" si="24"/>
        <v>49.269000000000005</v>
      </c>
      <c r="CE43" s="3408">
        <f t="shared" si="25"/>
        <v>49.033499999999997</v>
      </c>
    </row>
    <row r="44" spans="1:83" ht="14.1" customHeight="1">
      <c r="A44" s="3332"/>
      <c r="B44" s="3556">
        <v>0.5</v>
      </c>
      <c r="C44" s="3557">
        <v>2.5000000000000001E-2</v>
      </c>
      <c r="D44" s="3558">
        <v>9</v>
      </c>
      <c r="E44" s="3559">
        <f t="shared" si="28"/>
        <v>259.13339999999999</v>
      </c>
      <c r="F44" s="3560">
        <f t="shared" si="29"/>
        <v>84.13272876405145</v>
      </c>
      <c r="G44" s="3282"/>
      <c r="H44" s="3313"/>
      <c r="I44" s="3301"/>
      <c r="J44" s="3301"/>
      <c r="K44" s="3301"/>
      <c r="L44" s="3301"/>
      <c r="M44" s="3301"/>
      <c r="N44" s="3301"/>
      <c r="O44" s="3301"/>
      <c r="P44" s="3301"/>
      <c r="Q44" s="3301"/>
      <c r="R44" s="3301"/>
      <c r="S44" s="3280"/>
      <c r="T44" s="3337"/>
      <c r="W44" s="3424"/>
      <c r="X44" s="3530">
        <v>8</v>
      </c>
      <c r="Y44" s="3531">
        <v>0.4</v>
      </c>
      <c r="Z44" s="3532">
        <v>50</v>
      </c>
      <c r="AA44" s="3533">
        <f t="shared" si="4"/>
        <v>1439.63</v>
      </c>
      <c r="AB44" s="3534">
        <f t="shared" si="5"/>
        <v>500.26200051969482</v>
      </c>
      <c r="AC44" s="3541"/>
      <c r="AD44" s="3510"/>
      <c r="AE44" s="3543"/>
      <c r="AF44" s="3543"/>
      <c r="AG44" s="3543"/>
      <c r="AH44" s="3543"/>
      <c r="AI44" s="3543"/>
      <c r="AJ44" s="3543"/>
      <c r="AK44" s="3543"/>
      <c r="AL44" s="3544"/>
      <c r="AM44" s="3543"/>
      <c r="AX44" s="3561"/>
      <c r="AY44" s="3516"/>
      <c r="BC44" s="3478">
        <f t="shared" si="6"/>
        <v>33</v>
      </c>
      <c r="BD44" s="3443">
        <f t="shared" si="7"/>
        <v>2.0247000000000002</v>
      </c>
      <c r="BE44" s="3408">
        <f t="shared" si="26"/>
        <v>7.3581789999999998</v>
      </c>
      <c r="BF44" s="3408">
        <f t="shared" si="27"/>
        <v>49.897500000000001</v>
      </c>
      <c r="BH44" s="3408">
        <f t="shared" si="8"/>
        <v>7.3581789999999998</v>
      </c>
      <c r="BI44" s="3408">
        <f t="shared" si="9"/>
        <v>6.9583810000000001</v>
      </c>
      <c r="BJ44" s="3408">
        <f t="shared" si="10"/>
        <v>6.6454569999999995</v>
      </c>
      <c r="BK44" s="3408">
        <f t="shared" si="11"/>
        <v>6.5012259999999991</v>
      </c>
      <c r="BL44" s="3408">
        <f t="shared" si="12"/>
        <v>6.4129630000000022</v>
      </c>
      <c r="BM44" s="3408">
        <f t="shared" si="13"/>
        <v>6.3710049999999994</v>
      </c>
      <c r="BN44" s="3408">
        <f t="shared" si="14"/>
        <v>6.3029709999999977</v>
      </c>
      <c r="BO44" s="3408">
        <f t="shared" si="15"/>
        <v>6.2569510000000026</v>
      </c>
      <c r="BP44" s="3408">
        <f t="shared" si="16"/>
        <v>6.2179360000000017</v>
      </c>
      <c r="BW44" s="3408">
        <f t="shared" si="17"/>
        <v>50.984499999999997</v>
      </c>
      <c r="BX44" s="3408">
        <f t="shared" si="18"/>
        <v>50.347499999999997</v>
      </c>
      <c r="BY44" s="3408">
        <f t="shared" si="19"/>
        <v>49.713000000000008</v>
      </c>
      <c r="BZ44" s="3408">
        <f t="shared" si="20"/>
        <v>49.407499999999999</v>
      </c>
      <c r="CA44" s="3408">
        <f t="shared" si="21"/>
        <v>48.536500000000004</v>
      </c>
      <c r="CB44" s="3408">
        <f t="shared" si="22"/>
        <v>48.66699999999998</v>
      </c>
      <c r="CC44" s="3408">
        <f t="shared" si="23"/>
        <v>49.897500000000001</v>
      </c>
      <c r="CD44" s="3408">
        <f t="shared" si="24"/>
        <v>49.199000000000005</v>
      </c>
      <c r="CE44" s="3408">
        <f t="shared" si="25"/>
        <v>48.978499999999997</v>
      </c>
    </row>
    <row r="45" spans="1:83" ht="14.1" customHeight="1">
      <c r="A45" s="3290"/>
      <c r="B45" s="3556">
        <v>1</v>
      </c>
      <c r="C45" s="3557">
        <v>0.05</v>
      </c>
      <c r="D45" s="3558">
        <v>15</v>
      </c>
      <c r="E45" s="3559">
        <f t="shared" si="28"/>
        <v>431.88900000000001</v>
      </c>
      <c r="F45" s="3560">
        <f t="shared" si="29"/>
        <v>140.22121460675243</v>
      </c>
      <c r="G45" s="3280"/>
      <c r="H45" s="3313"/>
      <c r="I45" s="3555"/>
      <c r="J45" s="3555"/>
      <c r="K45" s="3555"/>
      <c r="L45" s="3555"/>
      <c r="M45" s="3555"/>
      <c r="N45" s="3555"/>
      <c r="O45" s="3555"/>
      <c r="P45" s="3555"/>
      <c r="Q45" s="3555"/>
      <c r="R45" s="3555"/>
      <c r="S45" s="3280"/>
      <c r="T45" s="3331"/>
      <c r="W45" s="3424"/>
      <c r="X45" s="3562">
        <v>10</v>
      </c>
      <c r="Y45" s="3563">
        <v>0.5</v>
      </c>
      <c r="Z45" s="3564">
        <v>49</v>
      </c>
      <c r="AA45" s="3533">
        <f t="shared" si="4"/>
        <v>1410.8374000000001</v>
      </c>
      <c r="AB45" s="3565">
        <f t="shared" si="5"/>
        <v>490.25676050930093</v>
      </c>
      <c r="AC45" s="3541"/>
      <c r="AD45" s="3510"/>
      <c r="AE45" s="3543"/>
      <c r="AF45" s="3543"/>
      <c r="AG45" s="3543"/>
      <c r="AH45" s="3543"/>
      <c r="AI45" s="3543"/>
      <c r="AJ45" s="3543"/>
      <c r="AK45" s="3543"/>
      <c r="AL45" s="3544"/>
      <c r="AM45" s="3543"/>
      <c r="AX45" s="3561"/>
      <c r="AY45" s="3516"/>
      <c r="BC45" s="3478">
        <f t="shared" si="6"/>
        <v>40</v>
      </c>
      <c r="BD45" s="3443">
        <f t="shared" si="7"/>
        <v>2.0247000000000002</v>
      </c>
      <c r="BE45" s="3408">
        <f t="shared" si="26"/>
        <v>7.3250200000000003</v>
      </c>
      <c r="BF45" s="3408">
        <f t="shared" si="27"/>
        <v>49.81</v>
      </c>
      <c r="BH45" s="3408">
        <f t="shared" si="8"/>
        <v>7.3250200000000003</v>
      </c>
      <c r="BI45" s="3408">
        <f t="shared" si="9"/>
        <v>6.94198</v>
      </c>
      <c r="BJ45" s="3408">
        <f t="shared" si="10"/>
        <v>6.6372599999999995</v>
      </c>
      <c r="BK45" s="3408">
        <f t="shared" si="11"/>
        <v>6.4957799999999999</v>
      </c>
      <c r="BL45" s="3408">
        <f t="shared" si="12"/>
        <v>6.4088400000000023</v>
      </c>
      <c r="BM45" s="3408">
        <f t="shared" si="13"/>
        <v>6.3673999999999991</v>
      </c>
      <c r="BN45" s="3408">
        <f t="shared" si="14"/>
        <v>6.3000799999999977</v>
      </c>
      <c r="BO45" s="3408">
        <f t="shared" si="15"/>
        <v>6.2544800000000027</v>
      </c>
      <c r="BP45" s="3408">
        <f t="shared" si="16"/>
        <v>6.2157800000000014</v>
      </c>
      <c r="BW45" s="3408">
        <f t="shared" si="17"/>
        <v>50.05</v>
      </c>
      <c r="BX45" s="3408">
        <f t="shared" si="18"/>
        <v>50.05</v>
      </c>
      <c r="BY45" s="3408">
        <f t="shared" si="19"/>
        <v>49.580000000000005</v>
      </c>
      <c r="BZ45" s="3408">
        <f t="shared" si="20"/>
        <v>49.32</v>
      </c>
      <c r="CA45" s="3408">
        <f t="shared" si="21"/>
        <v>48.540000000000006</v>
      </c>
      <c r="CB45" s="3408">
        <f t="shared" si="22"/>
        <v>48.659999999999982</v>
      </c>
      <c r="CC45" s="3408">
        <f t="shared" si="23"/>
        <v>49.81</v>
      </c>
      <c r="CD45" s="3408">
        <f t="shared" si="24"/>
        <v>49.150000000000006</v>
      </c>
      <c r="CE45" s="3408">
        <f t="shared" si="25"/>
        <v>48.94</v>
      </c>
    </row>
    <row r="46" spans="1:83" ht="14.1" customHeight="1">
      <c r="A46" s="3290"/>
      <c r="B46" s="3556">
        <v>1.5</v>
      </c>
      <c r="C46" s="3557">
        <v>7.4999999999999997E-2</v>
      </c>
      <c r="D46" s="3558">
        <v>20</v>
      </c>
      <c r="E46" s="3559">
        <f t="shared" si="28"/>
        <v>575.85199999999998</v>
      </c>
      <c r="F46" s="3560">
        <f t="shared" si="29"/>
        <v>186.96161947566986</v>
      </c>
      <c r="G46" s="3280"/>
      <c r="H46" s="3280"/>
      <c r="I46" s="3280"/>
      <c r="J46" s="3280"/>
      <c r="K46" s="3280"/>
      <c r="L46" s="3280"/>
      <c r="M46" s="3280"/>
      <c r="N46" s="3280"/>
      <c r="O46" s="3280"/>
      <c r="P46" s="3280"/>
      <c r="Q46" s="3280"/>
      <c r="R46" s="3280"/>
      <c r="S46" s="3280"/>
      <c r="T46" s="3331"/>
      <c r="W46" s="3424"/>
      <c r="X46" s="3566"/>
      <c r="Y46" s="3566"/>
      <c r="Z46" s="3567"/>
      <c r="AA46" s="3568"/>
      <c r="AB46" s="3569"/>
      <c r="AC46" s="3541"/>
      <c r="AD46" s="3510"/>
      <c r="AE46" s="3543"/>
      <c r="AF46" s="3543"/>
      <c r="AG46" s="3543"/>
      <c r="AH46" s="3543"/>
      <c r="AI46" s="3543"/>
      <c r="AJ46" s="3543"/>
      <c r="AK46" s="3543"/>
      <c r="AL46" s="3544"/>
      <c r="AM46" s="3543"/>
      <c r="AN46" s="3408">
        <v>2000</v>
      </c>
      <c r="AO46" s="3408">
        <v>8.5608000000000004</v>
      </c>
      <c r="AX46" s="3561"/>
      <c r="AY46" s="3516"/>
      <c r="BC46" s="3478">
        <f t="shared" si="6"/>
        <v>48</v>
      </c>
      <c r="BD46" s="3443">
        <f t="shared" si="7"/>
        <v>2.0247000000000002</v>
      </c>
      <c r="BE46" s="3408">
        <f t="shared" si="26"/>
        <v>7.2871240000000004</v>
      </c>
      <c r="BF46" s="3408">
        <f t="shared" si="27"/>
        <v>49.71</v>
      </c>
      <c r="BH46" s="3408">
        <f t="shared" si="8"/>
        <v>7.2871240000000004</v>
      </c>
      <c r="BI46" s="3408">
        <f t="shared" si="9"/>
        <v>6.9232360000000002</v>
      </c>
      <c r="BJ46" s="3408">
        <f t="shared" si="10"/>
        <v>6.6278919999999992</v>
      </c>
      <c r="BK46" s="3408">
        <f t="shared" si="11"/>
        <v>6.4895559999999994</v>
      </c>
      <c r="BL46" s="3408">
        <f t="shared" si="12"/>
        <v>6.4041280000000018</v>
      </c>
      <c r="BM46" s="3408">
        <f t="shared" si="13"/>
        <v>6.3632799999999987</v>
      </c>
      <c r="BN46" s="3408">
        <f t="shared" si="14"/>
        <v>6.2967759999999977</v>
      </c>
      <c r="BO46" s="3408">
        <f t="shared" si="15"/>
        <v>6.2516560000000023</v>
      </c>
      <c r="BP46" s="3408">
        <f t="shared" si="16"/>
        <v>6.2133160000000016</v>
      </c>
      <c r="BW46" s="3408">
        <f t="shared" si="17"/>
        <v>48.981999999999999</v>
      </c>
      <c r="BX46" s="3408">
        <f t="shared" si="18"/>
        <v>49.71</v>
      </c>
      <c r="BY46" s="3408">
        <f t="shared" si="19"/>
        <v>49.428000000000004</v>
      </c>
      <c r="BZ46" s="3408">
        <f t="shared" si="20"/>
        <v>49.22</v>
      </c>
      <c r="CA46" s="3408">
        <f t="shared" si="21"/>
        <v>48.544000000000004</v>
      </c>
      <c r="CB46" s="3408">
        <f t="shared" si="22"/>
        <v>48.651999999999987</v>
      </c>
      <c r="CC46" s="3408">
        <f t="shared" si="23"/>
        <v>49.71</v>
      </c>
      <c r="CD46" s="3408">
        <f t="shared" si="24"/>
        <v>49.094000000000008</v>
      </c>
      <c r="CE46" s="3408">
        <f t="shared" si="25"/>
        <v>48.896000000000001</v>
      </c>
    </row>
    <row r="47" spans="1:83" ht="14.1" customHeight="1">
      <c r="A47" s="3290"/>
      <c r="B47" s="3556">
        <v>2</v>
      </c>
      <c r="C47" s="3557">
        <v>0.1</v>
      </c>
      <c r="D47" s="3558">
        <v>25</v>
      </c>
      <c r="E47" s="3559">
        <f t="shared" si="28"/>
        <v>719.81500000000005</v>
      </c>
      <c r="F47" s="3560">
        <f t="shared" si="29"/>
        <v>233.70202434458736</v>
      </c>
      <c r="G47" s="3280">
        <f>IF(F47="", "", F47)</f>
        <v>233.70202434458736</v>
      </c>
      <c r="H47" s="3280"/>
      <c r="I47" s="3280"/>
      <c r="J47" s="3280"/>
      <c r="K47" s="3280"/>
      <c r="L47" s="3280"/>
      <c r="M47" s="3280"/>
      <c r="N47" s="3280"/>
      <c r="O47" s="3280"/>
      <c r="P47" s="3280"/>
      <c r="Q47" s="3280"/>
      <c r="R47" s="3280"/>
      <c r="S47" s="3280"/>
      <c r="T47" s="3329"/>
      <c r="W47" s="3424"/>
      <c r="AC47" s="3541"/>
      <c r="AD47" s="3510"/>
      <c r="AE47" s="3543"/>
      <c r="AF47" s="3543"/>
      <c r="AG47" s="3543"/>
      <c r="AH47" s="3543"/>
      <c r="AI47" s="3543"/>
      <c r="AJ47" s="3543"/>
      <c r="AK47" s="3543"/>
      <c r="AL47" s="3544"/>
      <c r="AM47" s="3543"/>
      <c r="AN47" s="3408">
        <v>6000</v>
      </c>
      <c r="AO47" s="3408">
        <v>30.782299999999999</v>
      </c>
      <c r="AS47" s="3570">
        <v>0</v>
      </c>
      <c r="AT47" s="3571">
        <f>D67</f>
        <v>233.70202434458736</v>
      </c>
      <c r="AX47" s="3561"/>
      <c r="AY47" s="3516"/>
      <c r="BC47" s="3478">
        <f t="shared" si="6"/>
        <v>50</v>
      </c>
      <c r="BD47" s="3443">
        <f t="shared" si="7"/>
        <v>2.0247000000000002</v>
      </c>
      <c r="BE47" s="3408">
        <f t="shared" si="26"/>
        <v>7.2776499999999995</v>
      </c>
      <c r="BF47" s="3408">
        <f t="shared" si="27"/>
        <v>49.685000000000002</v>
      </c>
      <c r="BH47" s="3408">
        <f t="shared" si="8"/>
        <v>7.2776499999999995</v>
      </c>
      <c r="BI47" s="3408">
        <f t="shared" si="9"/>
        <v>6.9185499999999998</v>
      </c>
      <c r="BJ47" s="3408">
        <f t="shared" si="10"/>
        <v>6.6255499999999987</v>
      </c>
      <c r="BK47" s="3408">
        <f t="shared" si="11"/>
        <v>6.4879999999999995</v>
      </c>
      <c r="BL47" s="3408">
        <f t="shared" si="12"/>
        <v>6.4029500000000024</v>
      </c>
      <c r="BM47" s="3408">
        <f t="shared" si="13"/>
        <v>6.3622499999999995</v>
      </c>
      <c r="BN47" s="3408">
        <f t="shared" si="14"/>
        <v>6.2959499999999977</v>
      </c>
      <c r="BO47" s="3408">
        <f t="shared" si="15"/>
        <v>6.2509500000000031</v>
      </c>
      <c r="BP47" s="3408">
        <f t="shared" si="16"/>
        <v>6.2127000000000017</v>
      </c>
      <c r="BW47" s="3408">
        <f t="shared" si="17"/>
        <v>48.714999999999996</v>
      </c>
      <c r="BX47" s="3408">
        <f t="shared" si="18"/>
        <v>49.625</v>
      </c>
      <c r="BY47" s="3408">
        <f t="shared" si="19"/>
        <v>49.39</v>
      </c>
      <c r="BZ47" s="3408">
        <f t="shared" si="20"/>
        <v>49.195</v>
      </c>
      <c r="CA47" s="3408">
        <f t="shared" si="21"/>
        <v>48.545000000000002</v>
      </c>
      <c r="CB47" s="3408">
        <f t="shared" si="22"/>
        <v>48.649999999999984</v>
      </c>
      <c r="CC47" s="3408">
        <f t="shared" si="23"/>
        <v>49.685000000000002</v>
      </c>
      <c r="CD47" s="3408">
        <f t="shared" si="24"/>
        <v>49.080000000000005</v>
      </c>
      <c r="CE47" s="3408">
        <f t="shared" si="25"/>
        <v>48.884999999999998</v>
      </c>
    </row>
    <row r="48" spans="1:83" ht="14.1" customHeight="1">
      <c r="A48" s="3290"/>
      <c r="B48" s="3556">
        <v>3</v>
      </c>
      <c r="C48" s="3557">
        <v>0.15</v>
      </c>
      <c r="D48" s="3558">
        <v>37</v>
      </c>
      <c r="E48" s="3559">
        <f t="shared" si="28"/>
        <v>1065.3262</v>
      </c>
      <c r="F48" s="3560">
        <f t="shared" si="29"/>
        <v>345.87899602998925</v>
      </c>
      <c r="G48" s="3280"/>
      <c r="H48" s="3280"/>
      <c r="I48" s="3280"/>
      <c r="J48" s="3280"/>
      <c r="K48" s="3280"/>
      <c r="L48" s="3280"/>
      <c r="M48" s="3280"/>
      <c r="N48" s="3280"/>
      <c r="O48" s="3280"/>
      <c r="P48" s="3280"/>
      <c r="Q48" s="3280"/>
      <c r="R48" s="3280"/>
      <c r="S48" s="3280"/>
      <c r="T48" s="3329"/>
      <c r="W48" s="3424"/>
      <c r="AC48" s="3541"/>
      <c r="AD48" s="3510"/>
      <c r="AE48" s="3543"/>
      <c r="AF48" s="3543"/>
      <c r="AG48" s="3543"/>
      <c r="AH48" s="3543"/>
      <c r="AI48" s="3543"/>
      <c r="AJ48" s="3543"/>
      <c r="AK48" s="3543"/>
      <c r="AL48" s="3544"/>
      <c r="AM48" s="3543"/>
      <c r="AN48" s="3408">
        <v>10000</v>
      </c>
      <c r="AO48" s="3408">
        <v>50.283099999999997</v>
      </c>
      <c r="AS48" s="3572">
        <f>Y40+AS27</f>
        <v>0.1</v>
      </c>
      <c r="AT48" s="3571">
        <f>AT47</f>
        <v>233.70202434458736</v>
      </c>
      <c r="AX48" s="3561"/>
      <c r="AY48" s="3516"/>
      <c r="BC48" s="3478">
        <f t="shared" si="6"/>
        <v>49</v>
      </c>
      <c r="BD48" s="3443">
        <f t="shared" si="7"/>
        <v>2.0247000000000002</v>
      </c>
      <c r="BE48" s="3408">
        <f t="shared" si="26"/>
        <v>7.2823869999999999</v>
      </c>
      <c r="BF48" s="3408">
        <f t="shared" si="27"/>
        <v>49.697500000000005</v>
      </c>
      <c r="BH48" s="3408">
        <f t="shared" si="8"/>
        <v>7.2823869999999999</v>
      </c>
      <c r="BI48" s="3408">
        <f t="shared" si="9"/>
        <v>6.9208930000000004</v>
      </c>
      <c r="BJ48" s="3408">
        <f t="shared" si="10"/>
        <v>6.626720999999999</v>
      </c>
      <c r="BK48" s="3408">
        <f t="shared" si="11"/>
        <v>6.4887779999999999</v>
      </c>
      <c r="BL48" s="3408">
        <f t="shared" si="12"/>
        <v>6.4035390000000021</v>
      </c>
      <c r="BM48" s="3408">
        <f t="shared" si="13"/>
        <v>6.3627649999999987</v>
      </c>
      <c r="BN48" s="3408">
        <f t="shared" si="14"/>
        <v>6.2963629999999977</v>
      </c>
      <c r="BO48" s="3408">
        <f t="shared" si="15"/>
        <v>6.2513030000000027</v>
      </c>
      <c r="BP48" s="3408">
        <f t="shared" si="16"/>
        <v>6.2130080000000012</v>
      </c>
      <c r="BW48" s="3408">
        <f t="shared" si="17"/>
        <v>48.848499999999994</v>
      </c>
      <c r="BX48" s="3408">
        <f t="shared" si="18"/>
        <v>49.667499999999997</v>
      </c>
      <c r="BY48" s="3408">
        <f t="shared" si="19"/>
        <v>49.409000000000006</v>
      </c>
      <c r="BZ48" s="3408">
        <f t="shared" si="20"/>
        <v>49.207500000000003</v>
      </c>
      <c r="CA48" s="3408">
        <f t="shared" si="21"/>
        <v>48.544500000000006</v>
      </c>
      <c r="CB48" s="3408">
        <f t="shared" si="22"/>
        <v>48.650999999999982</v>
      </c>
      <c r="CC48" s="3408">
        <f t="shared" si="23"/>
        <v>49.697500000000005</v>
      </c>
      <c r="CD48" s="3408">
        <f t="shared" si="24"/>
        <v>49.087000000000003</v>
      </c>
      <c r="CE48" s="3408">
        <f t="shared" si="25"/>
        <v>48.890499999999996</v>
      </c>
    </row>
    <row r="49" spans="1:56" ht="14.1" customHeight="1">
      <c r="A49" s="3290"/>
      <c r="B49" s="3556">
        <v>4</v>
      </c>
      <c r="C49" s="3557">
        <v>0.2</v>
      </c>
      <c r="D49" s="3558">
        <v>44</v>
      </c>
      <c r="E49" s="3559">
        <f t="shared" si="28"/>
        <v>1266.8743999999999</v>
      </c>
      <c r="F49" s="3560">
        <f t="shared" si="29"/>
        <v>411.31556284647371</v>
      </c>
      <c r="G49" s="3280">
        <f>IF(F49="", "", F49)</f>
        <v>411.31556284647371</v>
      </c>
      <c r="H49" s="3280"/>
      <c r="I49" s="3280"/>
      <c r="J49" s="3280"/>
      <c r="K49" s="3280"/>
      <c r="L49" s="3280"/>
      <c r="M49" s="3280"/>
      <c r="N49" s="3280"/>
      <c r="O49" s="3280"/>
      <c r="P49" s="3280"/>
      <c r="Q49" s="3280"/>
      <c r="R49" s="3280"/>
      <c r="S49" s="3280"/>
      <c r="T49" s="3329"/>
      <c r="W49" s="3424"/>
      <c r="X49" s="3573" t="s">
        <v>1412</v>
      </c>
      <c r="Y49" s="3574"/>
      <c r="Z49" s="3415"/>
      <c r="AA49" s="3575" t="s">
        <v>1265</v>
      </c>
      <c r="AB49" s="3576" t="s">
        <v>1266</v>
      </c>
      <c r="AC49" s="3541"/>
      <c r="AD49" s="3510"/>
      <c r="AE49" s="3543"/>
      <c r="AF49" s="3543"/>
      <c r="AG49" s="3543"/>
      <c r="AH49" s="3543"/>
      <c r="AI49" s="3543"/>
      <c r="AJ49" s="3543"/>
      <c r="AK49" s="3543"/>
      <c r="AL49" s="3544"/>
      <c r="AM49" s="3543"/>
      <c r="AS49" s="3572">
        <f>AS48</f>
        <v>0.1</v>
      </c>
      <c r="AT49" s="3571">
        <v>0</v>
      </c>
      <c r="BC49" s="3478"/>
      <c r="BD49" s="3443"/>
    </row>
    <row r="50" spans="1:56" ht="14.1" customHeight="1">
      <c r="A50" s="3290"/>
      <c r="B50" s="3556">
        <v>6</v>
      </c>
      <c r="C50" s="3557">
        <v>0.3</v>
      </c>
      <c r="D50" s="3558">
        <v>50</v>
      </c>
      <c r="E50" s="3559">
        <f t="shared" si="28"/>
        <v>1439.63</v>
      </c>
      <c r="F50" s="3560">
        <f t="shared" si="29"/>
        <v>467.40404868917472</v>
      </c>
      <c r="G50" s="3280"/>
      <c r="H50" s="3280"/>
      <c r="I50" s="3280"/>
      <c r="J50" s="3280"/>
      <c r="K50" s="3280"/>
      <c r="L50" s="3280"/>
      <c r="M50" s="3280"/>
      <c r="N50" s="3280"/>
      <c r="O50" s="3280"/>
      <c r="P50" s="3280"/>
      <c r="Q50" s="3280"/>
      <c r="R50" s="3280"/>
      <c r="S50" s="3280"/>
      <c r="T50" s="3329"/>
      <c r="W50" s="3424"/>
      <c r="X50" s="3577" t="s">
        <v>1434</v>
      </c>
      <c r="Y50" s="3578"/>
      <c r="Z50" s="3417" t="s">
        <v>37</v>
      </c>
      <c r="AA50" s="3579">
        <v>52.094999999999999</v>
      </c>
      <c r="AB50" s="3579">
        <v>53.66</v>
      </c>
      <c r="AC50" s="3541"/>
      <c r="AD50" s="3510"/>
      <c r="AE50" s="3543"/>
      <c r="AF50" s="3543"/>
      <c r="AG50" s="3543"/>
      <c r="AH50" s="3543"/>
      <c r="AI50" s="3543"/>
      <c r="AJ50" s="3543"/>
      <c r="AK50" s="3543"/>
      <c r="AL50" s="3544"/>
      <c r="AM50" s="3543"/>
      <c r="AS50" s="3570"/>
      <c r="AT50" s="3571"/>
      <c r="BC50" s="3478"/>
      <c r="BD50" s="3443"/>
    </row>
    <row r="51" spans="1:56" ht="14.1" customHeight="1">
      <c r="A51" s="3290"/>
      <c r="B51" s="3556">
        <v>8</v>
      </c>
      <c r="C51" s="3557">
        <v>0.4</v>
      </c>
      <c r="D51" s="3558">
        <v>53</v>
      </c>
      <c r="E51" s="3559">
        <f t="shared" si="28"/>
        <v>1526.0078000000001</v>
      </c>
      <c r="F51" s="3560">
        <f t="shared" si="29"/>
        <v>495.44829161052519</v>
      </c>
      <c r="G51" s="3280"/>
      <c r="H51" s="3280"/>
      <c r="I51" s="3280"/>
      <c r="J51" s="3280"/>
      <c r="K51" s="3280"/>
      <c r="L51" s="3280"/>
      <c r="M51" s="3280"/>
      <c r="N51" s="3280"/>
      <c r="O51" s="3280"/>
      <c r="P51" s="3280"/>
      <c r="Q51" s="3280"/>
      <c r="R51" s="3280"/>
      <c r="S51" s="3280"/>
      <c r="T51" s="3329"/>
      <c r="W51" s="3424"/>
      <c r="X51" s="3580" t="s">
        <v>1435</v>
      </c>
      <c r="Y51" s="3581"/>
      <c r="Z51" s="3426" t="s">
        <v>37</v>
      </c>
      <c r="AA51" s="3582">
        <v>38.517000000000003</v>
      </c>
      <c r="AB51" s="3582">
        <v>39.25</v>
      </c>
      <c r="AC51" s="3541"/>
      <c r="AD51" s="3510"/>
      <c r="AE51" s="3543"/>
      <c r="AF51" s="3543"/>
      <c r="AG51" s="3543"/>
      <c r="AH51" s="3543"/>
      <c r="AI51" s="3543"/>
      <c r="AJ51" s="3543"/>
      <c r="AK51" s="3543"/>
      <c r="AL51" s="3544"/>
      <c r="AM51" s="3543"/>
      <c r="AS51" s="3570">
        <v>0</v>
      </c>
      <c r="AT51" s="3571">
        <f>D68</f>
        <v>411.31556284647371</v>
      </c>
      <c r="BC51" s="3478"/>
      <c r="BD51" s="3443"/>
    </row>
    <row r="52" spans="1:56" ht="14.1" customHeight="1">
      <c r="A52" s="3290"/>
      <c r="B52" s="3583">
        <v>10</v>
      </c>
      <c r="C52" s="3584">
        <v>0.5</v>
      </c>
      <c r="D52" s="3585">
        <v>53.5</v>
      </c>
      <c r="E52" s="3586">
        <f t="shared" si="28"/>
        <v>1540.4041</v>
      </c>
      <c r="F52" s="3587">
        <f t="shared" si="29"/>
        <v>500.12233209741692</v>
      </c>
      <c r="G52" s="3280"/>
      <c r="H52" s="3280"/>
      <c r="I52" s="3280"/>
      <c r="J52" s="3280"/>
      <c r="K52" s="3280"/>
      <c r="L52" s="3280"/>
      <c r="M52" s="3280"/>
      <c r="N52" s="3280"/>
      <c r="O52" s="3280"/>
      <c r="P52" s="3280"/>
      <c r="Q52" s="3280"/>
      <c r="R52" s="3280"/>
      <c r="S52" s="3280"/>
      <c r="T52" s="3329"/>
      <c r="W52" s="3424"/>
      <c r="X52" s="3580" t="s">
        <v>1436</v>
      </c>
      <c r="Y52" s="3581"/>
      <c r="Z52" s="3426" t="s">
        <v>37</v>
      </c>
      <c r="AA52" s="3469">
        <f>+AA50-AA51</f>
        <v>13.577999999999996</v>
      </c>
      <c r="AB52" s="3469">
        <f>+AB50-AB51</f>
        <v>14.409999999999997</v>
      </c>
      <c r="AC52" s="3541"/>
      <c r="AD52" s="3510"/>
      <c r="AE52" s="3543"/>
      <c r="AF52" s="3543"/>
      <c r="AG52" s="3543"/>
      <c r="AH52" s="3543"/>
      <c r="AI52" s="3543"/>
      <c r="AJ52" s="3543"/>
      <c r="AK52" s="3543"/>
      <c r="AL52" s="3544"/>
      <c r="AM52" s="3543"/>
      <c r="AS52" s="3572">
        <f>Y42+AS27</f>
        <v>0.2</v>
      </c>
      <c r="AT52" s="3571">
        <f>AT51</f>
        <v>411.31556284647371</v>
      </c>
      <c r="BC52" s="3478"/>
      <c r="BD52" s="3443"/>
    </row>
    <row r="53" spans="1:56" ht="14.1" customHeight="1">
      <c r="A53" s="3290"/>
      <c r="B53" s="3588"/>
      <c r="C53" s="3588"/>
      <c r="D53" s="3589"/>
      <c r="E53" s="3590"/>
      <c r="F53" s="3591"/>
      <c r="G53" s="3280"/>
      <c r="H53" s="3280"/>
      <c r="I53" s="3280"/>
      <c r="J53" s="3280"/>
      <c r="K53" s="3280"/>
      <c r="L53" s="3280"/>
      <c r="M53" s="3280"/>
      <c r="N53" s="3280"/>
      <c r="O53" s="3280"/>
      <c r="P53" s="3280"/>
      <c r="Q53" s="3280"/>
      <c r="R53" s="3280"/>
      <c r="S53" s="3280"/>
      <c r="T53" s="3329"/>
      <c r="W53" s="3424"/>
      <c r="X53" s="3580" t="s">
        <v>1437</v>
      </c>
      <c r="Y53" s="3581"/>
      <c r="Z53" s="3426" t="s">
        <v>37</v>
      </c>
      <c r="AA53" s="3582">
        <v>8.7690000000000001</v>
      </c>
      <c r="AB53" s="3582">
        <v>8.75</v>
      </c>
      <c r="AC53" s="3443"/>
      <c r="AD53" s="3443"/>
      <c r="AE53" s="3443"/>
      <c r="AF53" s="3444"/>
      <c r="AL53" s="3450"/>
      <c r="AS53" s="3572">
        <f>AS52</f>
        <v>0.2</v>
      </c>
      <c r="AT53" s="3571">
        <v>0</v>
      </c>
      <c r="BC53" s="3478"/>
      <c r="BD53" s="3443"/>
    </row>
    <row r="54" spans="1:56" ht="14.1" customHeight="1">
      <c r="A54" s="3290"/>
      <c r="B54" s="3423"/>
      <c r="C54" s="3423"/>
      <c r="D54" s="3423"/>
      <c r="E54" s="3423"/>
      <c r="F54" s="3423"/>
      <c r="G54" s="3280"/>
      <c r="H54" s="3280"/>
      <c r="I54" s="3280"/>
      <c r="J54" s="3280"/>
      <c r="K54" s="3280"/>
      <c r="L54" s="3280"/>
      <c r="M54" s="3280"/>
      <c r="N54" s="3280"/>
      <c r="O54" s="3280"/>
      <c r="P54" s="3280"/>
      <c r="Q54" s="3280"/>
      <c r="R54" s="3280"/>
      <c r="S54" s="3280"/>
      <c r="T54" s="3329"/>
      <c r="W54" s="3424"/>
      <c r="X54" s="3580" t="s">
        <v>1438</v>
      </c>
      <c r="Y54" s="3581"/>
      <c r="Z54" s="3426" t="s">
        <v>37</v>
      </c>
      <c r="AA54" s="3469">
        <f>+AA51-AA53</f>
        <v>29.748000000000005</v>
      </c>
      <c r="AB54" s="3469">
        <f>+AB51-AB53</f>
        <v>30.5</v>
      </c>
      <c r="AC54" s="4913"/>
      <c r="AD54" s="4914"/>
      <c r="AE54" s="3592"/>
      <c r="AF54" s="3541"/>
      <c r="AL54" s="3450"/>
      <c r="BC54" s="3478"/>
      <c r="BD54" s="3443"/>
    </row>
    <row r="55" spans="1:56" ht="14.1" customHeight="1">
      <c r="A55" s="3290"/>
      <c r="B55" s="3593" t="s">
        <v>1412</v>
      </c>
      <c r="C55" s="3594"/>
      <c r="D55" s="3413"/>
      <c r="E55" s="3595" t="s">
        <v>1265</v>
      </c>
      <c r="F55" s="3596"/>
      <c r="G55" s="3282"/>
      <c r="H55" s="3282"/>
      <c r="I55" s="3282"/>
      <c r="J55" s="3313"/>
      <c r="K55" s="3555"/>
      <c r="L55" s="3280"/>
      <c r="M55" s="3280"/>
      <c r="N55" s="3280"/>
      <c r="O55" s="3280"/>
      <c r="P55" s="3280"/>
      <c r="Q55" s="3280"/>
      <c r="R55" s="3280"/>
      <c r="S55" s="3280"/>
      <c r="T55" s="3329"/>
      <c r="W55" s="3424"/>
      <c r="X55" s="3597" t="s">
        <v>315</v>
      </c>
      <c r="Y55" s="3598"/>
      <c r="Z55" s="3439" t="s">
        <v>1</v>
      </c>
      <c r="AA55" s="3599">
        <f>+(AA52/AA54)*100</f>
        <v>45.643404598628457</v>
      </c>
      <c r="AB55" s="3599">
        <f>+(AB52/AB54)*100</f>
        <v>47.245901639344254</v>
      </c>
      <c r="AC55" s="4913"/>
      <c r="AD55" s="4914"/>
      <c r="AE55" s="3592"/>
      <c r="AF55" s="3541"/>
      <c r="AL55" s="3450"/>
      <c r="BC55" s="3478"/>
      <c r="BD55" s="3443"/>
    </row>
    <row r="56" spans="1:56" ht="14.1" customHeight="1">
      <c r="A56" s="3290"/>
      <c r="B56" s="3600" t="s">
        <v>1434</v>
      </c>
      <c r="C56" s="3601"/>
      <c r="D56" s="3602" t="s">
        <v>37</v>
      </c>
      <c r="E56" s="4072">
        <v>44.98</v>
      </c>
      <c r="F56" s="3603"/>
      <c r="G56" s="3280"/>
      <c r="H56" s="3280"/>
      <c r="I56" s="3280"/>
      <c r="J56" s="3313"/>
      <c r="K56" s="3555"/>
      <c r="L56" s="3280"/>
      <c r="M56" s="3280"/>
      <c r="N56" s="3280"/>
      <c r="O56" s="3280"/>
      <c r="P56" s="3280"/>
      <c r="Q56" s="3280"/>
      <c r="R56" s="3280"/>
      <c r="S56" s="3280"/>
      <c r="T56" s="3329"/>
      <c r="W56" s="3424"/>
      <c r="X56" s="3470"/>
      <c r="Y56" s="3470"/>
      <c r="AC56" s="4915"/>
      <c r="AD56" s="4914"/>
      <c r="AE56" s="3498"/>
      <c r="AF56" s="3542"/>
      <c r="AL56" s="3450"/>
      <c r="BC56" s="3478"/>
      <c r="BD56" s="3443"/>
    </row>
    <row r="57" spans="1:56" ht="14.1" customHeight="1">
      <c r="A57" s="3290"/>
      <c r="B57" s="3604" t="s">
        <v>1435</v>
      </c>
      <c r="C57" s="3605"/>
      <c r="D57" s="3606" t="s">
        <v>37</v>
      </c>
      <c r="E57" s="4073">
        <v>35.17</v>
      </c>
      <c r="F57" s="3607"/>
      <c r="G57" s="3280"/>
      <c r="H57" s="3280"/>
      <c r="I57" s="3280"/>
      <c r="J57" s="3313"/>
      <c r="K57" s="3555"/>
      <c r="L57" s="3280"/>
      <c r="M57" s="3280"/>
      <c r="N57" s="3280"/>
      <c r="O57" s="3280"/>
      <c r="P57" s="3280"/>
      <c r="Q57" s="3280"/>
      <c r="R57" s="3280"/>
      <c r="S57" s="3280"/>
      <c r="T57" s="3329"/>
      <c r="W57" s="3424"/>
      <c r="AC57" s="4913"/>
      <c r="AD57" s="4914"/>
      <c r="AE57" s="3592"/>
      <c r="AF57" s="3541"/>
      <c r="AL57" s="3450"/>
      <c r="BC57" s="3478"/>
      <c r="BD57" s="3443"/>
    </row>
    <row r="58" spans="1:56" ht="14.1" customHeight="1">
      <c r="A58" s="3290"/>
      <c r="B58" s="3604" t="s">
        <v>1436</v>
      </c>
      <c r="C58" s="3605"/>
      <c r="D58" s="3606" t="s">
        <v>37</v>
      </c>
      <c r="E58" s="4074">
        <f>IF(OR(E56="", E57=""), "", E56-E57)</f>
        <v>9.8099999999999952</v>
      </c>
      <c r="F58" s="3556"/>
      <c r="G58" s="3280"/>
      <c r="H58" s="3280"/>
      <c r="I58" s="3280"/>
      <c r="J58" s="3280"/>
      <c r="K58" s="3280"/>
      <c r="L58" s="3280"/>
      <c r="M58" s="3280"/>
      <c r="N58" s="3280"/>
      <c r="O58" s="3280"/>
      <c r="P58" s="3280"/>
      <c r="Q58" s="3280"/>
      <c r="R58" s="3280"/>
      <c r="S58" s="3280"/>
      <c r="T58" s="3329"/>
      <c r="W58" s="3424"/>
      <c r="AC58" s="4915"/>
      <c r="AD58" s="4914"/>
      <c r="AE58" s="3498"/>
      <c r="AF58" s="3542"/>
      <c r="AG58" s="3543"/>
      <c r="AH58" s="3543"/>
      <c r="AI58" s="3543"/>
      <c r="AJ58" s="3543"/>
      <c r="AK58" s="3543"/>
      <c r="AL58" s="3544"/>
      <c r="AM58" s="3543"/>
      <c r="BC58" s="3478"/>
      <c r="BD58" s="3443"/>
    </row>
    <row r="59" spans="1:56" ht="14.1" customHeight="1">
      <c r="A59" s="3290"/>
      <c r="B59" s="3604" t="s">
        <v>1437</v>
      </c>
      <c r="C59" s="3605"/>
      <c r="D59" s="3606" t="s">
        <v>37</v>
      </c>
      <c r="E59" s="4073">
        <v>8.82</v>
      </c>
      <c r="F59" s="3607"/>
      <c r="G59" s="2102"/>
      <c r="H59" s="281"/>
      <c r="I59" s="2103"/>
      <c r="J59" s="2159"/>
      <c r="K59" s="281"/>
      <c r="L59" s="3280"/>
      <c r="M59" s="3280"/>
      <c r="N59" s="3280"/>
      <c r="O59" s="3280"/>
      <c r="P59" s="3280"/>
      <c r="Q59" s="3280"/>
      <c r="R59" s="3280"/>
      <c r="S59" s="3280"/>
      <c r="T59" s="3293"/>
      <c r="W59" s="3424"/>
      <c r="X59" s="4919" t="s">
        <v>1439</v>
      </c>
      <c r="Y59" s="4903" t="s">
        <v>1426</v>
      </c>
      <c r="Z59" s="4903" t="s">
        <v>166</v>
      </c>
      <c r="AA59" s="4903" t="s">
        <v>1440</v>
      </c>
      <c r="AB59" s="4903" t="s">
        <v>1347</v>
      </c>
      <c r="AC59" s="4915"/>
      <c r="AD59" s="4914"/>
      <c r="AE59" s="3498"/>
      <c r="AF59" s="3542"/>
      <c r="AL59" s="3450"/>
    </row>
    <row r="60" spans="1:56" ht="14.1" customHeight="1">
      <c r="A60" s="3290"/>
      <c r="B60" s="3604" t="s">
        <v>1438</v>
      </c>
      <c r="C60" s="3605"/>
      <c r="D60" s="3606" t="s">
        <v>37</v>
      </c>
      <c r="E60" s="4074">
        <f>IF(OR(E57="", E59=""), "", E57-E59)</f>
        <v>26.35</v>
      </c>
      <c r="F60" s="3556"/>
      <c r="G60" s="3280"/>
      <c r="H60" s="3280"/>
      <c r="I60" s="3280"/>
      <c r="J60" s="3280"/>
      <c r="K60" s="3280"/>
      <c r="L60" s="3280"/>
      <c r="M60" s="3280"/>
      <c r="N60" s="3280"/>
      <c r="O60" s="3280"/>
      <c r="P60" s="3280"/>
      <c r="Q60" s="3280"/>
      <c r="R60" s="3280"/>
      <c r="S60" s="3280"/>
      <c r="T60" s="3367"/>
      <c r="W60" s="3424"/>
      <c r="X60" s="4920"/>
      <c r="Y60" s="4904"/>
      <c r="Z60" s="4904"/>
      <c r="AA60" s="4922"/>
      <c r="AB60" s="4922"/>
      <c r="AC60" s="3608"/>
      <c r="AD60" s="3443"/>
      <c r="AE60" s="3443"/>
      <c r="AF60" s="3444"/>
      <c r="AL60" s="3450"/>
      <c r="AN60" s="3408" t="s">
        <v>1441</v>
      </c>
    </row>
    <row r="61" spans="1:56" ht="14.1" customHeight="1">
      <c r="A61" s="3290"/>
      <c r="B61" s="3609" t="s">
        <v>315</v>
      </c>
      <c r="C61" s="3610"/>
      <c r="D61" s="3611" t="s">
        <v>1</v>
      </c>
      <c r="E61" s="3796">
        <f>IF(OR(E58="", E60="", E60=0), "", (E58/E60)*100)</f>
        <v>37.229601518026541</v>
      </c>
      <c r="F61" s="3583"/>
      <c r="G61" s="3280"/>
      <c r="H61" s="3280"/>
      <c r="I61" s="3280"/>
      <c r="J61" s="3280"/>
      <c r="K61" s="3280"/>
      <c r="L61" s="3280"/>
      <c r="M61" s="3280"/>
      <c r="N61" s="3280"/>
      <c r="O61" s="3280"/>
      <c r="P61" s="3280"/>
      <c r="Q61" s="3280"/>
      <c r="R61" s="3280"/>
      <c r="S61" s="3280"/>
      <c r="T61" s="3370"/>
      <c r="W61" s="3424"/>
      <c r="X61" s="4920"/>
      <c r="Y61" s="3612" t="s">
        <v>1430</v>
      </c>
      <c r="Z61" s="3612" t="s">
        <v>1432</v>
      </c>
      <c r="AA61" s="3612"/>
      <c r="AB61" s="3612" t="s">
        <v>1</v>
      </c>
      <c r="AL61" s="3450"/>
      <c r="AN61" s="3443" t="s">
        <v>1442</v>
      </c>
      <c r="AO61" s="3408" t="s">
        <v>1432</v>
      </c>
      <c r="BC61" s="3478"/>
      <c r="BD61" s="3443"/>
    </row>
    <row r="62" spans="1:56" ht="14.1" customHeight="1">
      <c r="A62" s="3290"/>
      <c r="B62" s="3280"/>
      <c r="C62" s="3280"/>
      <c r="D62" s="3280"/>
      <c r="E62" s="3280"/>
      <c r="F62" s="3613"/>
      <c r="G62" s="3280"/>
      <c r="H62" s="3280"/>
      <c r="I62" s="3280"/>
      <c r="J62" s="3280"/>
      <c r="K62" s="3280"/>
      <c r="L62" s="3280"/>
      <c r="M62" s="3280"/>
      <c r="N62" s="3280"/>
      <c r="O62" s="3280"/>
      <c r="P62" s="3280"/>
      <c r="Q62" s="3280"/>
      <c r="R62" s="3280"/>
      <c r="S62" s="3280"/>
      <c r="T62" s="3370"/>
      <c r="W62" s="3424"/>
      <c r="X62" s="4920"/>
      <c r="Y62" s="3523">
        <v>0.1</v>
      </c>
      <c r="Z62" s="3614">
        <f>AS37</f>
        <v>230.1205202390596</v>
      </c>
      <c r="AA62" s="3615">
        <v>1000</v>
      </c>
      <c r="AB62" s="3614">
        <f>+Z62/AA62*100</f>
        <v>23.012052023905959</v>
      </c>
      <c r="AC62" s="3444"/>
      <c r="AL62" s="3450"/>
      <c r="AN62" s="3443">
        <v>6.9</v>
      </c>
      <c r="AO62" s="3408">
        <v>1000</v>
      </c>
      <c r="BC62" s="3478"/>
      <c r="BD62" s="3443"/>
    </row>
    <row r="63" spans="1:56" ht="14.1" customHeight="1">
      <c r="A63" s="3290"/>
      <c r="B63" s="3280"/>
      <c r="C63" s="3280"/>
      <c r="D63" s="3280"/>
      <c r="E63" s="3280"/>
      <c r="F63" s="3613"/>
      <c r="G63" s="3280"/>
      <c r="H63" s="3280"/>
      <c r="I63" s="3280"/>
      <c r="J63" s="3280"/>
      <c r="K63" s="3280"/>
      <c r="L63" s="3280"/>
      <c r="M63" s="3280"/>
      <c r="N63" s="3280"/>
      <c r="O63" s="3280"/>
      <c r="P63" s="3280"/>
      <c r="Q63" s="3280"/>
      <c r="R63" s="3280"/>
      <c r="S63" s="3280"/>
      <c r="T63" s="3370"/>
      <c r="W63" s="3424"/>
      <c r="X63" s="4921"/>
      <c r="Y63" s="3562">
        <v>0.2</v>
      </c>
      <c r="Z63" s="3616">
        <f>AS39</f>
        <v>400.2096004157558</v>
      </c>
      <c r="AA63" s="3617">
        <v>1500</v>
      </c>
      <c r="AB63" s="3616">
        <f>+Z63/AA63*100</f>
        <v>26.68064002771705</v>
      </c>
      <c r="AC63" s="3541"/>
      <c r="AG63" s="3541"/>
      <c r="AH63" s="3541"/>
      <c r="AI63" s="3541"/>
      <c r="AJ63" s="3541"/>
      <c r="AK63" s="3541"/>
      <c r="AL63" s="3618"/>
      <c r="AM63" s="3542"/>
      <c r="AN63" s="3443">
        <v>10.3</v>
      </c>
      <c r="AO63" s="3408">
        <v>1500</v>
      </c>
      <c r="BC63" s="3478"/>
      <c r="BD63" s="3443"/>
    </row>
    <row r="64" spans="1:56" ht="14.1" customHeight="1">
      <c r="A64" s="3290"/>
      <c r="B64" s="4916" t="s">
        <v>1439</v>
      </c>
      <c r="C64" s="4907" t="s">
        <v>1426</v>
      </c>
      <c r="D64" s="4907" t="s">
        <v>166</v>
      </c>
      <c r="E64" s="4907" t="s">
        <v>1440</v>
      </c>
      <c r="F64" s="4907" t="s">
        <v>1347</v>
      </c>
      <c r="G64" s="3280"/>
      <c r="H64" s="3280"/>
      <c r="I64" s="3280"/>
      <c r="J64" s="3280"/>
      <c r="K64" s="3280"/>
      <c r="L64" s="3280"/>
      <c r="M64" s="3280"/>
      <c r="N64" s="3280"/>
      <c r="O64" s="3280"/>
      <c r="P64" s="3280"/>
      <c r="Q64" s="3280"/>
      <c r="R64" s="3280"/>
      <c r="S64" s="3280"/>
      <c r="T64" s="3370"/>
      <c r="W64" s="3424"/>
      <c r="AC64" s="3541"/>
      <c r="AG64" s="3541"/>
      <c r="AH64" s="3541"/>
      <c r="AI64" s="3541"/>
      <c r="AJ64" s="3541"/>
      <c r="AK64" s="3541"/>
      <c r="AL64" s="3618"/>
      <c r="AM64" s="3542"/>
      <c r="BC64" s="3478"/>
      <c r="BD64" s="3443"/>
    </row>
    <row r="65" spans="1:56" ht="14.1" customHeight="1">
      <c r="A65" s="3290"/>
      <c r="B65" s="4917"/>
      <c r="C65" s="4908"/>
      <c r="D65" s="4908"/>
      <c r="E65" s="4908"/>
      <c r="F65" s="4908"/>
      <c r="G65" s="3280"/>
      <c r="H65" s="3280"/>
      <c r="I65" s="3280"/>
      <c r="J65" s="3280"/>
      <c r="K65" s="3280"/>
      <c r="L65" s="3280"/>
      <c r="M65" s="3280"/>
      <c r="N65" s="3280"/>
      <c r="O65" s="3280"/>
      <c r="P65" s="3280"/>
      <c r="Q65" s="3280"/>
      <c r="R65" s="3280"/>
      <c r="S65" s="3280"/>
      <c r="T65" s="3370"/>
      <c r="W65" s="3424"/>
      <c r="AC65" s="3542"/>
      <c r="AG65" s="3542"/>
      <c r="AH65" s="3542"/>
      <c r="AI65" s="3542"/>
      <c r="AJ65" s="3542"/>
      <c r="AK65" s="3542"/>
      <c r="AL65" s="3619"/>
      <c r="AM65" s="3542"/>
      <c r="BC65" s="3478"/>
      <c r="BD65" s="3443"/>
    </row>
    <row r="66" spans="1:56" ht="14.1" customHeight="1">
      <c r="A66" s="3373"/>
      <c r="B66" s="4917"/>
      <c r="C66" s="3620" t="s">
        <v>1430</v>
      </c>
      <c r="D66" s="3620" t="s">
        <v>1432</v>
      </c>
      <c r="E66" s="3620"/>
      <c r="F66" s="3620" t="s">
        <v>1</v>
      </c>
      <c r="G66" s="3279"/>
      <c r="H66" s="3279"/>
      <c r="I66" s="3279"/>
      <c r="J66" s="3279"/>
      <c r="K66" s="3279"/>
      <c r="L66" s="3081"/>
      <c r="M66" s="3081"/>
      <c r="N66" s="3081"/>
      <c r="O66" s="3279"/>
      <c r="P66" s="3279"/>
      <c r="Q66" s="3279"/>
      <c r="R66" s="3279"/>
      <c r="S66" s="3279"/>
      <c r="T66" s="3621"/>
      <c r="W66" s="3436"/>
      <c r="X66" s="3437"/>
      <c r="Y66" s="3437"/>
      <c r="Z66" s="3437"/>
      <c r="AA66" s="3437"/>
      <c r="AB66" s="3437"/>
      <c r="AC66" s="3622"/>
      <c r="AD66" s="3437"/>
      <c r="AE66" s="3623"/>
      <c r="AF66" s="3623"/>
      <c r="AG66" s="3622"/>
      <c r="AH66" s="3622"/>
      <c r="AI66" s="3622"/>
      <c r="AJ66" s="3622"/>
      <c r="AK66" s="3622"/>
      <c r="AL66" s="3624"/>
      <c r="AM66" s="3542"/>
      <c r="BC66" s="3478"/>
      <c r="BD66" s="3443"/>
    </row>
    <row r="67" spans="1:56" ht="14.1" customHeight="1">
      <c r="A67" s="3373"/>
      <c r="B67" s="4917"/>
      <c r="C67" s="3625">
        <v>0.1</v>
      </c>
      <c r="D67" s="3626">
        <f>F47</f>
        <v>233.70202434458736</v>
      </c>
      <c r="E67" s="3627">
        <v>1000</v>
      </c>
      <c r="F67" s="3628">
        <f>IF(D67="", "", (D67/E67)*100)</f>
        <v>23.370202434458736</v>
      </c>
      <c r="G67" s="3279"/>
      <c r="H67" s="3279"/>
      <c r="I67" s="3279"/>
      <c r="J67" s="3279"/>
      <c r="K67" s="3279"/>
      <c r="L67" s="3081"/>
      <c r="M67" s="3081"/>
      <c r="N67" s="3081"/>
      <c r="O67" s="3279"/>
      <c r="P67" s="3279"/>
      <c r="Q67" s="3279"/>
      <c r="R67" s="3279"/>
      <c r="S67" s="3279"/>
      <c r="T67" s="3621"/>
      <c r="W67" s="3415"/>
      <c r="X67" s="3415"/>
      <c r="Y67" s="3415"/>
      <c r="Z67" s="3415"/>
      <c r="AA67" s="3415"/>
      <c r="AB67" s="3415"/>
      <c r="AC67" s="3629"/>
      <c r="AD67" s="3415"/>
      <c r="AE67" s="3630"/>
      <c r="AF67" s="3630"/>
      <c r="AG67" s="3629"/>
      <c r="AH67" s="3629"/>
      <c r="AI67" s="3629"/>
      <c r="AJ67" s="3629"/>
      <c r="AK67" s="3629"/>
      <c r="AL67" s="3629"/>
      <c r="AM67" s="3542"/>
      <c r="AO67" s="3421"/>
      <c r="BC67" s="3478"/>
      <c r="BD67" s="3443"/>
    </row>
    <row r="68" spans="1:56" ht="14.1" customHeight="1">
      <c r="A68" s="3373"/>
      <c r="B68" s="4918"/>
      <c r="C68" s="3631">
        <v>0.2</v>
      </c>
      <c r="D68" s="3632">
        <f>F49</f>
        <v>411.31556284647371</v>
      </c>
      <c r="E68" s="3633">
        <v>1500</v>
      </c>
      <c r="F68" s="3634">
        <f>IF(D68="", "", (D68/E68)*100)</f>
        <v>27.421037523098246</v>
      </c>
      <c r="G68" s="3279"/>
      <c r="H68" s="3279"/>
      <c r="I68" s="3279"/>
      <c r="J68" s="3279"/>
      <c r="K68" s="3279"/>
      <c r="L68" s="3081"/>
      <c r="M68" s="3081"/>
      <c r="N68" s="3081"/>
      <c r="O68" s="3279"/>
      <c r="P68" s="3279"/>
      <c r="Q68" s="3279"/>
      <c r="R68" s="3279"/>
      <c r="S68" s="3279"/>
      <c r="T68" s="3621"/>
      <c r="AC68" s="3542"/>
      <c r="AG68" s="3542"/>
      <c r="AH68" s="3542"/>
      <c r="AI68" s="3542"/>
      <c r="AJ68" s="3542"/>
      <c r="AK68" s="3542"/>
      <c r="AL68" s="3542"/>
      <c r="AM68" s="3542"/>
      <c r="AO68" s="3421"/>
      <c r="BC68" s="3478"/>
      <c r="BD68" s="3443"/>
    </row>
    <row r="69" spans="1:56" ht="14.1" customHeight="1">
      <c r="A69" s="3373"/>
      <c r="B69" s="3280"/>
      <c r="C69" s="3280"/>
      <c r="D69" s="3280"/>
      <c r="E69" s="3280"/>
      <c r="F69" s="3280"/>
      <c r="G69" s="3279"/>
      <c r="H69" s="3279"/>
      <c r="I69" s="3279"/>
      <c r="J69" s="3279"/>
      <c r="K69" s="3279"/>
      <c r="L69" s="3081"/>
      <c r="M69" s="3081"/>
      <c r="N69" s="3081"/>
      <c r="O69" s="3279"/>
      <c r="P69" s="3279"/>
      <c r="Q69" s="3279"/>
      <c r="R69" s="3279"/>
      <c r="S69" s="3279"/>
      <c r="T69" s="3621"/>
      <c r="X69" s="3421"/>
      <c r="Y69" s="3421"/>
      <c r="Z69" s="3421"/>
      <c r="AO69" s="3421"/>
      <c r="BC69" s="3478"/>
      <c r="BD69" s="3443"/>
    </row>
    <row r="70" spans="1:56" ht="14.1" customHeight="1">
      <c r="A70" s="3373"/>
      <c r="B70" s="3279"/>
      <c r="C70" s="3279"/>
      <c r="D70" s="3279"/>
      <c r="E70" s="3279"/>
      <c r="F70" s="3279"/>
      <c r="G70" s="3279"/>
      <c r="H70" s="3279"/>
      <c r="I70" s="3279"/>
      <c r="J70" s="3279"/>
      <c r="K70" s="3279"/>
      <c r="L70" s="3081"/>
      <c r="M70" s="3081"/>
      <c r="N70" s="3081"/>
      <c r="O70" s="3279"/>
      <c r="P70" s="3279"/>
      <c r="Q70" s="3279"/>
      <c r="R70" s="3279"/>
      <c r="S70" s="3279"/>
      <c r="T70" s="3621"/>
      <c r="AO70" s="3421"/>
      <c r="BC70" s="3478"/>
      <c r="BD70" s="3443"/>
    </row>
    <row r="71" spans="1:56" ht="12" customHeight="1">
      <c r="A71" s="3373"/>
      <c r="B71" s="3279"/>
      <c r="C71" s="3279"/>
      <c r="D71" s="3279"/>
      <c r="E71" s="3279"/>
      <c r="F71" s="3279"/>
      <c r="G71" s="3279"/>
      <c r="H71" s="3279"/>
      <c r="I71" s="3279"/>
      <c r="J71" s="3279"/>
      <c r="K71" s="3279"/>
      <c r="L71" s="3081"/>
      <c r="M71" s="3081"/>
      <c r="N71" s="3081"/>
      <c r="O71" s="3279"/>
      <c r="P71" s="3279"/>
      <c r="Q71" s="3279"/>
      <c r="R71" s="3279"/>
      <c r="S71" s="3279"/>
      <c r="T71" s="3621"/>
      <c r="AB71" s="3443"/>
      <c r="AC71" s="3443"/>
      <c r="AJ71" s="3444"/>
      <c r="AK71" s="3444"/>
      <c r="AL71" s="3444"/>
      <c r="AN71" s="3443"/>
      <c r="AO71" s="3421"/>
      <c r="BC71" s="3478"/>
      <c r="BD71" s="3443"/>
    </row>
    <row r="72" spans="1:56" ht="12" customHeight="1">
      <c r="A72" s="3373"/>
      <c r="B72" s="3279"/>
      <c r="C72" s="3279"/>
      <c r="D72" s="3279"/>
      <c r="E72" s="3279"/>
      <c r="F72" s="3279"/>
      <c r="G72" s="3279"/>
      <c r="H72" s="3279"/>
      <c r="I72" s="3279"/>
      <c r="J72" s="3279"/>
      <c r="K72" s="3279"/>
      <c r="L72" s="3081"/>
      <c r="M72" s="3081"/>
      <c r="N72" s="3081"/>
      <c r="O72" s="3279"/>
      <c r="P72" s="3279"/>
      <c r="Q72" s="3279"/>
      <c r="R72" s="3279"/>
      <c r="S72" s="3279"/>
      <c r="T72" s="3621"/>
      <c r="AN72" s="3635"/>
      <c r="AO72" s="3421"/>
      <c r="AP72" s="3444"/>
      <c r="AQ72" s="3444"/>
      <c r="AR72" s="3444"/>
      <c r="AS72" s="3444"/>
      <c r="AT72" s="3444"/>
      <c r="AU72" s="3444"/>
      <c r="AV72" s="3444"/>
      <c r="AW72" s="3444"/>
      <c r="AX72" s="3444"/>
      <c r="AY72" s="3444"/>
      <c r="AZ72" s="3444"/>
      <c r="BA72" s="3444"/>
      <c r="BC72" s="3478"/>
      <c r="BD72" s="3443"/>
    </row>
    <row r="73" spans="1:56" ht="12" customHeight="1">
      <c r="A73" s="3380"/>
      <c r="B73" s="3383"/>
      <c r="C73" s="3383"/>
      <c r="D73" s="3383"/>
      <c r="E73" s="3383"/>
      <c r="F73" s="3383"/>
      <c r="G73" s="3383"/>
      <c r="H73" s="3383"/>
      <c r="I73" s="3383"/>
      <c r="J73" s="3383"/>
      <c r="K73" s="3383"/>
      <c r="L73" s="3386"/>
      <c r="M73" s="3386"/>
      <c r="N73" s="3386"/>
      <c r="O73" s="3383"/>
      <c r="P73" s="3383"/>
      <c r="Q73" s="3383"/>
      <c r="R73" s="3383"/>
      <c r="S73" s="3383"/>
      <c r="T73" s="3637"/>
      <c r="W73" s="3470"/>
      <c r="Z73" s="3535"/>
      <c r="AA73" s="3636"/>
      <c r="AB73" s="3444"/>
      <c r="AC73" s="3444"/>
      <c r="AM73" s="3444"/>
      <c r="AN73" s="3444"/>
      <c r="AO73" s="3421"/>
      <c r="AP73" s="3444"/>
      <c r="AQ73" s="3444"/>
      <c r="AR73" s="3444"/>
      <c r="AS73" s="3444"/>
      <c r="AT73" s="3444"/>
      <c r="AU73" s="3444"/>
      <c r="AV73" s="3444"/>
      <c r="AW73" s="3444"/>
      <c r="AX73" s="3444"/>
      <c r="AY73" s="3444"/>
      <c r="AZ73" s="3444"/>
      <c r="BA73" s="3444"/>
      <c r="BC73" s="3478"/>
      <c r="BD73" s="3443"/>
    </row>
    <row r="74" spans="1:56" ht="12" customHeight="1">
      <c r="A74" s="3279"/>
      <c r="B74" s="3279"/>
      <c r="C74" s="3279"/>
      <c r="D74" s="3279"/>
      <c r="E74" s="3279"/>
      <c r="F74" s="3279"/>
      <c r="G74" s="3279"/>
      <c r="H74" s="3279"/>
      <c r="I74" s="3279"/>
      <c r="J74" s="3279"/>
      <c r="K74" s="3279"/>
      <c r="L74" s="3081"/>
      <c r="M74" s="3081"/>
      <c r="N74" s="3081"/>
      <c r="O74" s="3279"/>
      <c r="P74" s="3279"/>
      <c r="Q74" s="3279"/>
      <c r="R74" s="3279"/>
      <c r="S74" s="3279"/>
      <c r="T74" s="3279"/>
      <c r="AO74" s="3421"/>
      <c r="BC74" s="3478"/>
      <c r="BD74" s="3443"/>
    </row>
    <row r="75" spans="1:56" ht="12" customHeight="1">
      <c r="A75" s="3279"/>
      <c r="B75" s="3279"/>
      <c r="C75" s="3279"/>
      <c r="D75" s="3279"/>
      <c r="E75" s="3279"/>
      <c r="F75" s="3279"/>
      <c r="G75" s="3279"/>
      <c r="H75" s="3279"/>
      <c r="I75" s="3279"/>
      <c r="J75" s="3279"/>
      <c r="K75" s="3279"/>
      <c r="L75" s="3081"/>
      <c r="M75" s="3081"/>
      <c r="N75" s="3081"/>
      <c r="O75" s="3279"/>
      <c r="P75" s="3279"/>
      <c r="Q75" s="3279"/>
      <c r="R75" s="3279"/>
      <c r="S75" s="3279"/>
      <c r="T75" s="3279"/>
      <c r="AO75" s="3421"/>
      <c r="BC75" s="3478"/>
      <c r="BD75" s="3443"/>
    </row>
    <row r="76" spans="1:56" ht="12" customHeight="1">
      <c r="A76" s="3279"/>
      <c r="B76" s="3279"/>
      <c r="C76" s="3279"/>
      <c r="D76" s="3279"/>
      <c r="E76" s="3279"/>
      <c r="F76" s="3279"/>
      <c r="G76" s="3279"/>
      <c r="H76" s="3279"/>
      <c r="I76" s="3279"/>
      <c r="J76" s="3279"/>
      <c r="K76" s="3279"/>
      <c r="L76" s="3081"/>
      <c r="M76" s="3081"/>
      <c r="N76" s="3081"/>
      <c r="O76" s="3279"/>
      <c r="P76" s="3279"/>
      <c r="Q76" s="3279"/>
      <c r="R76" s="3279"/>
      <c r="S76" s="3279"/>
      <c r="T76" s="3279"/>
      <c r="AO76" s="3421"/>
    </row>
    <row r="77" spans="1:56" ht="12" customHeight="1">
      <c r="A77" s="3279"/>
      <c r="B77" s="3279"/>
      <c r="C77" s="3279"/>
      <c r="D77" s="3279"/>
      <c r="E77" s="3279"/>
      <c r="F77" s="3279"/>
      <c r="G77" s="3279"/>
      <c r="H77" s="3279"/>
      <c r="I77" s="3279"/>
      <c r="J77" s="3279"/>
      <c r="K77" s="3279"/>
      <c r="L77" s="3081"/>
      <c r="M77" s="3081"/>
      <c r="N77" s="3081"/>
      <c r="O77" s="3279"/>
      <c r="P77" s="3279"/>
      <c r="Q77" s="3279"/>
      <c r="R77" s="3279"/>
      <c r="S77" s="3279"/>
      <c r="T77" s="3279"/>
      <c r="X77" s="3409"/>
      <c r="Y77" s="3409"/>
      <c r="Z77" s="3409"/>
      <c r="AA77" s="3409"/>
      <c r="AB77" s="3409"/>
      <c r="AC77" s="3409"/>
      <c r="AD77" s="3409"/>
      <c r="AG77" s="3443"/>
      <c r="AH77" s="3443"/>
      <c r="AO77" s="3421"/>
    </row>
    <row r="78" spans="1:56" ht="12" hidden="1" customHeight="1">
      <c r="A78" s="3279"/>
      <c r="B78" s="3279"/>
      <c r="C78" s="3279"/>
      <c r="D78" s="3279"/>
      <c r="E78" s="3279"/>
      <c r="F78" s="3279"/>
      <c r="G78" s="3279"/>
      <c r="H78" s="3279"/>
      <c r="I78" s="3279"/>
      <c r="J78" s="3279"/>
      <c r="K78" s="3279"/>
      <c r="L78" s="3081"/>
      <c r="M78" s="3081"/>
      <c r="N78" s="3081"/>
      <c r="O78" s="3279"/>
      <c r="P78" s="3279"/>
      <c r="Q78" s="3279"/>
      <c r="R78" s="3279"/>
      <c r="S78" s="3279"/>
      <c r="T78" s="3279"/>
      <c r="X78" s="3409"/>
      <c r="Y78" s="3409"/>
      <c r="Z78" s="3409"/>
      <c r="AA78" s="3409"/>
      <c r="AB78" s="3409"/>
      <c r="AC78" s="3409"/>
      <c r="AD78" s="3409"/>
      <c r="AG78" s="3443"/>
      <c r="AH78" s="3408"/>
    </row>
    <row r="79" spans="1:56" ht="12" hidden="1" customHeight="1">
      <c r="A79" s="3279"/>
      <c r="B79" s="3279"/>
      <c r="C79" s="3279"/>
      <c r="D79" s="3279"/>
      <c r="E79" s="3279"/>
      <c r="F79" s="3279"/>
      <c r="G79" s="3279"/>
      <c r="H79" s="3279"/>
      <c r="I79" s="3279"/>
      <c r="J79" s="3279"/>
      <c r="K79" s="3279"/>
      <c r="L79" s="3081"/>
      <c r="M79" s="3081"/>
      <c r="N79" s="3081"/>
      <c r="O79" s="3279"/>
      <c r="P79" s="3279"/>
      <c r="Q79" s="3279"/>
      <c r="R79" s="3279"/>
      <c r="S79" s="3279"/>
      <c r="T79" s="3279"/>
      <c r="X79" s="3409"/>
      <c r="Y79" s="3409"/>
      <c r="Z79" s="3409"/>
      <c r="AA79" s="3409"/>
      <c r="AB79" s="3409"/>
      <c r="AC79" s="3409"/>
      <c r="AD79" s="3409"/>
      <c r="AG79" s="3443"/>
      <c r="AH79" s="3443"/>
    </row>
    <row r="80" spans="1:56" ht="12" hidden="1" customHeight="1">
      <c r="A80" s="3279"/>
      <c r="B80" s="3279"/>
      <c r="C80" s="3279"/>
      <c r="D80" s="3279"/>
      <c r="E80" s="3279"/>
      <c r="F80" s="3279"/>
      <c r="G80" s="3279"/>
      <c r="H80" s="3279"/>
      <c r="I80" s="3279"/>
      <c r="J80" s="3279"/>
      <c r="K80" s="3279"/>
      <c r="L80" s="3081"/>
      <c r="M80" s="3081"/>
      <c r="N80" s="3081"/>
      <c r="O80" s="3279"/>
      <c r="P80" s="3279"/>
      <c r="Q80" s="3279"/>
      <c r="R80" s="3279"/>
      <c r="S80" s="3279"/>
      <c r="T80" s="3279"/>
      <c r="Z80" s="3543"/>
      <c r="AA80" s="3543"/>
      <c r="AB80" s="3543"/>
      <c r="AC80" s="3543"/>
      <c r="AD80" s="3543"/>
      <c r="AE80" s="3543"/>
      <c r="AF80" s="3543"/>
    </row>
    <row r="81" spans="1:32" ht="12" customHeight="1">
      <c r="A81" s="3279"/>
      <c r="B81" s="3279"/>
      <c r="C81" s="3279"/>
      <c r="D81" s="3279"/>
      <c r="E81" s="3279"/>
      <c r="F81" s="3279"/>
      <c r="G81" s="3279"/>
      <c r="H81" s="3279"/>
      <c r="I81" s="3279"/>
      <c r="J81" s="3279"/>
      <c r="K81" s="3279"/>
      <c r="L81" s="3081"/>
      <c r="M81" s="3081"/>
      <c r="N81" s="3081"/>
      <c r="O81" s="3279"/>
      <c r="P81" s="3279"/>
      <c r="Q81" s="3279"/>
      <c r="R81" s="3279"/>
      <c r="S81" s="3279"/>
      <c r="T81" s="3279"/>
      <c r="Z81" s="3543"/>
      <c r="AA81" s="3543"/>
      <c r="AB81" s="3543"/>
      <c r="AC81" s="3543"/>
      <c r="AD81" s="3543"/>
      <c r="AE81" s="3543"/>
      <c r="AF81" s="3543"/>
    </row>
    <row r="82" spans="1:32" ht="12" customHeight="1">
      <c r="A82" s="3279"/>
      <c r="B82" s="3279"/>
      <c r="C82" s="3279"/>
      <c r="D82" s="3279"/>
      <c r="E82" s="3279"/>
      <c r="F82" s="3279"/>
      <c r="G82" s="3279"/>
      <c r="H82" s="3279"/>
      <c r="I82" s="3279"/>
      <c r="J82" s="3279"/>
      <c r="K82" s="3279"/>
      <c r="L82" s="3081"/>
      <c r="M82" s="3081"/>
      <c r="N82" s="3081"/>
      <c r="O82" s="3279"/>
      <c r="P82" s="3279"/>
      <c r="Q82" s="3279"/>
      <c r="R82" s="3279"/>
      <c r="S82" s="3279"/>
      <c r="T82" s="3279"/>
    </row>
    <row r="83" spans="1:32" ht="12" customHeight="1">
      <c r="A83" s="3279"/>
      <c r="B83" s="3279"/>
      <c r="C83" s="3279"/>
      <c r="D83" s="3279"/>
      <c r="E83" s="3279"/>
      <c r="F83" s="3279"/>
      <c r="G83" s="3279"/>
      <c r="H83" s="3279"/>
      <c r="I83" s="3279"/>
      <c r="J83" s="3279"/>
      <c r="K83" s="3279"/>
      <c r="L83" s="3081"/>
      <c r="M83" s="3081"/>
      <c r="N83" s="3081"/>
      <c r="O83" s="3279"/>
      <c r="P83" s="3279"/>
      <c r="Q83" s="3279"/>
      <c r="R83" s="3279"/>
      <c r="S83" s="3279"/>
      <c r="T83" s="3279"/>
    </row>
    <row r="84" spans="1:32" ht="12" customHeight="1">
      <c r="A84" s="3279"/>
      <c r="B84" s="3279"/>
      <c r="C84" s="3279"/>
      <c r="D84" s="3279"/>
      <c r="E84" s="3279"/>
      <c r="F84" s="3279"/>
      <c r="G84" s="3279"/>
      <c r="H84" s="3279"/>
      <c r="I84" s="3279"/>
      <c r="J84" s="3279"/>
      <c r="K84" s="3279"/>
      <c r="L84" s="3081"/>
      <c r="M84" s="3081"/>
      <c r="N84" s="3081"/>
      <c r="O84" s="3279"/>
      <c r="P84" s="3279"/>
      <c r="Q84" s="3279"/>
      <c r="R84" s="3279"/>
      <c r="S84" s="3279"/>
      <c r="T84" s="3279"/>
    </row>
    <row r="85" spans="1:32" ht="12" customHeight="1">
      <c r="A85" s="3279"/>
      <c r="B85" s="3279"/>
      <c r="C85" s="3279"/>
      <c r="D85" s="3279"/>
      <c r="E85" s="3279"/>
      <c r="F85" s="3279"/>
      <c r="G85" s="3279"/>
      <c r="H85" s="3279"/>
      <c r="I85" s="3279"/>
      <c r="J85" s="3279"/>
      <c r="K85" s="3279"/>
      <c r="L85" s="3081"/>
      <c r="M85" s="3081"/>
      <c r="N85" s="3081"/>
      <c r="O85" s="3279"/>
      <c r="P85" s="3279"/>
      <c r="Q85" s="3279"/>
      <c r="R85" s="3279"/>
      <c r="S85" s="3279"/>
      <c r="T85" s="3279"/>
    </row>
    <row r="86" spans="1:32" ht="12" customHeight="1">
      <c r="A86" s="3279"/>
      <c r="B86" s="3279"/>
      <c r="C86" s="3279"/>
      <c r="D86" s="3279"/>
      <c r="E86" s="3279"/>
      <c r="F86" s="3279"/>
      <c r="G86" s="3279"/>
      <c r="H86" s="3279"/>
      <c r="I86" s="3279"/>
      <c r="J86" s="3279"/>
      <c r="K86" s="3279"/>
      <c r="L86" s="3081"/>
      <c r="M86" s="3081"/>
      <c r="N86" s="3081"/>
      <c r="O86" s="3279"/>
      <c r="P86" s="3279"/>
      <c r="Q86" s="3279"/>
      <c r="R86" s="3279"/>
      <c r="S86" s="3279"/>
      <c r="T86" s="3279"/>
    </row>
    <row r="87" spans="1:32" ht="12" customHeight="1">
      <c r="A87" s="3279"/>
      <c r="B87" s="3279"/>
      <c r="C87" s="3279"/>
      <c r="D87" s="3279"/>
      <c r="E87" s="3279"/>
      <c r="F87" s="3279"/>
      <c r="G87" s="3279"/>
      <c r="H87" s="3279"/>
      <c r="I87" s="3279"/>
      <c r="J87" s="3279"/>
      <c r="K87" s="3279"/>
      <c r="L87" s="3081"/>
      <c r="M87" s="3081"/>
      <c r="N87" s="3081"/>
      <c r="O87" s="3279"/>
      <c r="P87" s="3279"/>
      <c r="Q87" s="3279"/>
      <c r="R87" s="3279"/>
      <c r="S87" s="3279"/>
      <c r="T87" s="3279"/>
    </row>
    <row r="88" spans="1:32" ht="12" customHeight="1">
      <c r="A88" s="3279"/>
      <c r="B88" s="3279"/>
      <c r="C88" s="3279"/>
      <c r="D88" s="3279"/>
      <c r="E88" s="3279"/>
      <c r="F88" s="3279"/>
      <c r="G88" s="3279"/>
      <c r="H88" s="3279"/>
      <c r="I88" s="3279"/>
      <c r="J88" s="3279"/>
      <c r="K88" s="3279"/>
      <c r="L88" s="3081"/>
      <c r="M88" s="3081"/>
      <c r="N88" s="3081"/>
      <c r="O88" s="3279"/>
      <c r="P88" s="3279"/>
      <c r="Q88" s="3279"/>
      <c r="R88" s="3279"/>
      <c r="S88" s="3279"/>
      <c r="T88" s="3279"/>
    </row>
    <row r="89" spans="1:32" ht="12" customHeight="1">
      <c r="A89" s="3279"/>
      <c r="B89" s="3279"/>
      <c r="C89" s="3279"/>
      <c r="D89" s="3279"/>
      <c r="E89" s="3279"/>
      <c r="F89" s="3279"/>
      <c r="G89" s="3279"/>
      <c r="H89" s="3279"/>
      <c r="I89" s="3279"/>
      <c r="J89" s="3279"/>
      <c r="K89" s="3279"/>
      <c r="L89" s="3081"/>
      <c r="M89" s="3081"/>
      <c r="N89" s="3081"/>
      <c r="O89" s="3279"/>
      <c r="P89" s="3279"/>
      <c r="Q89" s="3279"/>
      <c r="R89" s="3279"/>
      <c r="S89" s="3279"/>
      <c r="T89" s="3279"/>
    </row>
    <row r="90" spans="1:32" ht="12" customHeight="1">
      <c r="A90" s="3279"/>
      <c r="B90" s="3279"/>
      <c r="C90" s="3279"/>
      <c r="D90" s="3279"/>
      <c r="E90" s="3279"/>
      <c r="F90" s="3279"/>
      <c r="G90" s="3279"/>
      <c r="H90" s="3279"/>
      <c r="I90" s="3279"/>
      <c r="J90" s="3279"/>
      <c r="K90" s="3279"/>
      <c r="L90" s="3081"/>
      <c r="M90" s="3081"/>
      <c r="N90" s="3081"/>
      <c r="O90" s="3279"/>
      <c r="P90" s="3279"/>
      <c r="Q90" s="3279"/>
      <c r="R90" s="3279"/>
      <c r="S90" s="3279"/>
      <c r="T90" s="3279"/>
    </row>
    <row r="91" spans="1:32" ht="12" customHeight="1">
      <c r="A91" s="3279"/>
      <c r="B91" s="3279"/>
      <c r="C91" s="3279"/>
      <c r="D91" s="3279"/>
      <c r="E91" s="3279"/>
      <c r="F91" s="3279"/>
      <c r="G91" s="3279"/>
      <c r="H91" s="3279"/>
      <c r="I91" s="3279"/>
      <c r="J91" s="3279"/>
      <c r="K91" s="3279"/>
      <c r="L91" s="3081"/>
      <c r="M91" s="3081"/>
      <c r="N91" s="3081"/>
      <c r="O91" s="3279"/>
      <c r="P91" s="3279"/>
      <c r="Q91" s="3279"/>
      <c r="R91" s="3279"/>
      <c r="S91" s="3279"/>
      <c r="T91" s="3279"/>
    </row>
    <row r="92" spans="1:32" ht="12" customHeight="1">
      <c r="A92" s="3279"/>
      <c r="B92" s="3279"/>
      <c r="C92" s="3279"/>
      <c r="D92" s="3279"/>
      <c r="E92" s="3279"/>
      <c r="F92" s="3279"/>
      <c r="G92" s="3279"/>
      <c r="H92" s="3279"/>
      <c r="I92" s="3279"/>
      <c r="J92" s="3279"/>
      <c r="K92" s="3279"/>
      <c r="L92" s="3081"/>
      <c r="M92" s="3081"/>
      <c r="N92" s="3081"/>
      <c r="O92" s="3279"/>
      <c r="P92" s="3279"/>
      <c r="Q92" s="3279"/>
      <c r="R92" s="3279"/>
      <c r="S92" s="3279"/>
      <c r="T92" s="3279"/>
    </row>
    <row r="93" spans="1:32" ht="12" customHeight="1">
      <c r="A93" s="3279"/>
      <c r="B93" s="3279"/>
      <c r="C93" s="3279"/>
      <c r="D93" s="3279"/>
      <c r="E93" s="3279"/>
      <c r="F93" s="3279"/>
      <c r="G93" s="3279"/>
      <c r="H93" s="3279"/>
      <c r="I93" s="3279"/>
      <c r="J93" s="3279"/>
      <c r="K93" s="3279"/>
      <c r="L93" s="3081"/>
      <c r="M93" s="3081"/>
      <c r="N93" s="3081"/>
      <c r="O93" s="3279"/>
      <c r="P93" s="3279"/>
      <c r="Q93" s="3279"/>
      <c r="R93" s="3279"/>
      <c r="S93" s="3279"/>
      <c r="T93" s="3279"/>
    </row>
    <row r="94" spans="1:32" ht="12" customHeight="1">
      <c r="A94" s="3279"/>
      <c r="B94" s="3279"/>
      <c r="C94" s="3279"/>
      <c r="D94" s="3279"/>
      <c r="E94" s="3279"/>
      <c r="F94" s="3279"/>
      <c r="G94" s="3279"/>
      <c r="H94" s="3279"/>
      <c r="I94" s="3279"/>
      <c r="J94" s="3279"/>
      <c r="K94" s="3279"/>
      <c r="L94" s="3081"/>
      <c r="M94" s="3081"/>
      <c r="N94" s="3081"/>
      <c r="O94" s="3279"/>
      <c r="P94" s="3279"/>
      <c r="Q94" s="3279"/>
      <c r="R94" s="3279"/>
      <c r="S94" s="3279"/>
      <c r="T94" s="3279"/>
    </row>
    <row r="95" spans="1:32" ht="12" customHeight="1">
      <c r="A95" s="3279"/>
      <c r="B95" s="3279"/>
      <c r="C95" s="3279"/>
      <c r="D95" s="3279"/>
      <c r="E95" s="3279"/>
      <c r="F95" s="3279"/>
      <c r="G95" s="3279"/>
      <c r="H95" s="3279"/>
      <c r="I95" s="3279"/>
      <c r="J95" s="3279"/>
      <c r="K95" s="3279"/>
      <c r="L95" s="3081"/>
      <c r="M95" s="3081"/>
      <c r="N95" s="3081"/>
      <c r="O95" s="3279"/>
      <c r="P95" s="3279"/>
      <c r="Q95" s="3279"/>
      <c r="R95" s="3279"/>
      <c r="S95" s="3279"/>
      <c r="T95" s="3279"/>
    </row>
    <row r="96" spans="1:32" ht="12" customHeight="1">
      <c r="A96" s="3279"/>
      <c r="B96" s="3279"/>
      <c r="C96" s="3279"/>
      <c r="D96" s="3279"/>
      <c r="E96" s="3279"/>
      <c r="F96" s="3279"/>
      <c r="G96" s="3279"/>
      <c r="H96" s="3279"/>
      <c r="I96" s="3279"/>
      <c r="J96" s="3279"/>
      <c r="K96" s="3279"/>
      <c r="L96" s="3081"/>
      <c r="M96" s="3081"/>
      <c r="N96" s="3081"/>
      <c r="O96" s="3279"/>
      <c r="P96" s="3279"/>
      <c r="Q96" s="3279"/>
      <c r="R96" s="3279"/>
      <c r="S96" s="3279"/>
      <c r="T96" s="3279"/>
    </row>
    <row r="97" spans="1:20" ht="12" customHeight="1">
      <c r="A97" s="3279"/>
      <c r="B97" s="3279"/>
      <c r="C97" s="3279"/>
      <c r="D97" s="3279"/>
      <c r="E97" s="3279"/>
      <c r="F97" s="3279"/>
      <c r="G97" s="3279"/>
      <c r="H97" s="3279"/>
      <c r="I97" s="3279"/>
      <c r="J97" s="3279"/>
      <c r="K97" s="3279"/>
      <c r="L97" s="3081"/>
      <c r="M97" s="3081"/>
      <c r="N97" s="3081"/>
      <c r="O97" s="3279"/>
      <c r="P97" s="3279"/>
      <c r="Q97" s="3279"/>
      <c r="R97" s="3279"/>
      <c r="S97" s="3279"/>
      <c r="T97" s="3279"/>
    </row>
    <row r="98" spans="1:20" ht="12" customHeight="1">
      <c r="A98" s="3279"/>
      <c r="B98" s="3279"/>
      <c r="C98" s="3279"/>
      <c r="D98" s="3279"/>
      <c r="E98" s="3279"/>
      <c r="F98" s="3279"/>
      <c r="G98" s="3279"/>
      <c r="H98" s="3279"/>
      <c r="I98" s="3279"/>
      <c r="J98" s="3279"/>
      <c r="K98" s="3279"/>
      <c r="L98" s="3081"/>
      <c r="M98" s="3081"/>
      <c r="N98" s="3081"/>
      <c r="O98" s="3279"/>
      <c r="P98" s="3279"/>
      <c r="Q98" s="3279"/>
      <c r="R98" s="3279"/>
      <c r="S98" s="3279"/>
      <c r="T98" s="3279"/>
    </row>
    <row r="99" spans="1:20" ht="12" customHeight="1">
      <c r="A99" s="3279"/>
      <c r="B99" s="3279"/>
      <c r="C99" s="3279"/>
      <c r="D99" s="3279"/>
      <c r="E99" s="3279"/>
      <c r="F99" s="3279"/>
      <c r="G99" s="3279"/>
      <c r="H99" s="3279"/>
      <c r="I99" s="3279"/>
      <c r="J99" s="3279"/>
      <c r="K99" s="3279"/>
      <c r="L99" s="3081"/>
      <c r="M99" s="3081"/>
      <c r="N99" s="3081"/>
      <c r="O99" s="3279"/>
      <c r="P99" s="3279"/>
      <c r="Q99" s="3279"/>
      <c r="R99" s="3279"/>
      <c r="S99" s="3279"/>
      <c r="T99" s="3279"/>
    </row>
    <row r="100" spans="1:20" ht="13.5">
      <c r="A100" s="3279"/>
      <c r="B100" s="3279"/>
      <c r="C100" s="3279"/>
      <c r="D100" s="3279"/>
      <c r="E100" s="3279"/>
      <c r="F100" s="3279"/>
      <c r="G100" s="3279"/>
      <c r="H100" s="3279"/>
      <c r="I100" s="3279"/>
      <c r="J100" s="3279"/>
      <c r="K100" s="3279"/>
      <c r="L100" s="3081"/>
      <c r="M100" s="3081"/>
      <c r="N100" s="3081"/>
      <c r="O100" s="3279"/>
      <c r="P100" s="3279"/>
      <c r="Q100" s="3279"/>
      <c r="R100" s="3279"/>
      <c r="S100" s="3279"/>
      <c r="T100" s="3279"/>
    </row>
    <row r="101" spans="1:20" ht="13.5">
      <c r="A101" s="3279"/>
      <c r="B101" s="3279"/>
      <c r="C101" s="3279"/>
      <c r="D101" s="3279"/>
      <c r="E101" s="3279"/>
      <c r="F101" s="3279"/>
      <c r="G101" s="3279"/>
      <c r="H101" s="3279"/>
      <c r="I101" s="3279"/>
      <c r="J101" s="3279"/>
      <c r="K101" s="3279"/>
      <c r="L101" s="3081"/>
      <c r="M101" s="3081"/>
      <c r="N101" s="3081"/>
      <c r="O101" s="3279"/>
      <c r="P101" s="3279"/>
      <c r="Q101" s="3279"/>
      <c r="R101" s="3279"/>
      <c r="S101" s="3279"/>
      <c r="T101" s="3279"/>
    </row>
    <row r="102" spans="1:20" ht="13.5">
      <c r="A102" s="3279"/>
      <c r="B102" s="3279"/>
      <c r="C102" s="3279"/>
      <c r="D102" s="3279"/>
      <c r="E102" s="3279"/>
      <c r="F102" s="3279"/>
      <c r="G102" s="3279"/>
      <c r="H102" s="3279"/>
      <c r="I102" s="3279"/>
      <c r="J102" s="3279"/>
      <c r="K102" s="3279"/>
      <c r="L102" s="3081"/>
      <c r="M102" s="3081"/>
      <c r="N102" s="3081"/>
      <c r="O102" s="3279"/>
      <c r="P102" s="3279"/>
      <c r="Q102" s="3279"/>
      <c r="R102" s="3279"/>
      <c r="S102" s="3279"/>
      <c r="T102" s="3279"/>
    </row>
    <row r="103" spans="1:20" ht="13.5">
      <c r="A103" s="3279"/>
      <c r="B103" s="3279"/>
      <c r="C103" s="3279"/>
      <c r="D103" s="3279"/>
      <c r="E103" s="3279"/>
      <c r="F103" s="3279"/>
      <c r="G103" s="3279"/>
      <c r="H103" s="3279"/>
      <c r="I103" s="3279"/>
      <c r="J103" s="3279"/>
      <c r="K103" s="3279"/>
      <c r="L103" s="3081"/>
      <c r="M103" s="3081"/>
      <c r="N103" s="3081"/>
      <c r="O103" s="3279"/>
      <c r="P103" s="3279"/>
      <c r="Q103" s="3279"/>
      <c r="R103" s="3279"/>
      <c r="S103" s="3279"/>
      <c r="T103" s="3279"/>
    </row>
    <row r="104" spans="1:20" ht="13.5">
      <c r="A104" s="3279"/>
      <c r="B104" s="3279"/>
      <c r="C104" s="3279"/>
      <c r="D104" s="3279"/>
      <c r="E104" s="3279"/>
      <c r="F104" s="3279"/>
      <c r="G104" s="3279"/>
      <c r="H104" s="3279"/>
      <c r="I104" s="3279"/>
      <c r="J104" s="3279"/>
      <c r="K104" s="3279"/>
      <c r="L104" s="3081"/>
      <c r="M104" s="3081"/>
      <c r="N104" s="3081"/>
      <c r="O104" s="3279"/>
      <c r="P104" s="3279"/>
      <c r="Q104" s="3279"/>
      <c r="R104" s="3279"/>
      <c r="S104" s="3279"/>
      <c r="T104" s="3279"/>
    </row>
    <row r="105" spans="1:20" ht="13.5">
      <c r="A105" s="3279"/>
      <c r="B105" s="3279"/>
      <c r="C105" s="3279"/>
      <c r="D105" s="3279"/>
      <c r="E105" s="3279"/>
      <c r="F105" s="3279"/>
      <c r="G105" s="3279"/>
      <c r="H105" s="3279"/>
      <c r="I105" s="3279"/>
      <c r="J105" s="3279"/>
      <c r="K105" s="3279"/>
      <c r="L105" s="3081"/>
      <c r="M105" s="3081"/>
      <c r="N105" s="3081"/>
      <c r="O105" s="3279"/>
      <c r="P105" s="3279"/>
      <c r="Q105" s="3279"/>
      <c r="R105" s="3279"/>
      <c r="S105" s="3279"/>
      <c r="T105" s="3279"/>
    </row>
    <row r="106" spans="1:20" ht="13.5">
      <c r="A106" s="3279"/>
      <c r="B106" s="3279"/>
      <c r="C106" s="3279"/>
      <c r="D106" s="3279"/>
      <c r="E106" s="3279"/>
      <c r="F106" s="3279"/>
      <c r="G106" s="3279"/>
      <c r="H106" s="3279"/>
      <c r="I106" s="3279"/>
      <c r="J106" s="3279"/>
      <c r="K106" s="3279"/>
      <c r="L106" s="3081"/>
      <c r="M106" s="3081"/>
      <c r="N106" s="3081"/>
      <c r="O106" s="3279"/>
      <c r="P106" s="3279"/>
      <c r="Q106" s="3279"/>
      <c r="R106" s="3279"/>
      <c r="S106" s="3279"/>
      <c r="T106" s="3279"/>
    </row>
    <row r="107" spans="1:20" ht="13.5">
      <c r="A107" s="3279"/>
      <c r="B107" s="3279"/>
      <c r="C107" s="3279"/>
      <c r="D107" s="3279"/>
      <c r="E107" s="3279"/>
      <c r="F107" s="3279"/>
      <c r="G107" s="3279"/>
      <c r="H107" s="3279"/>
      <c r="I107" s="3279"/>
      <c r="J107" s="3279"/>
      <c r="K107" s="3279"/>
      <c r="L107" s="3081"/>
      <c r="M107" s="3081"/>
      <c r="N107" s="3081"/>
      <c r="O107" s="3279"/>
      <c r="P107" s="3279"/>
      <c r="Q107" s="3279"/>
      <c r="R107" s="3279"/>
      <c r="S107" s="3279"/>
      <c r="T107" s="3279"/>
    </row>
    <row r="108" spans="1:20" ht="13.5">
      <c r="A108" s="3279"/>
      <c r="B108" s="3279"/>
      <c r="C108" s="3279"/>
      <c r="D108" s="3279"/>
      <c r="E108" s="3279"/>
      <c r="F108" s="3279"/>
      <c r="G108" s="3279"/>
      <c r="H108" s="3279"/>
      <c r="I108" s="3279"/>
      <c r="J108" s="3279"/>
      <c r="K108" s="3279"/>
      <c r="L108" s="3081"/>
      <c r="M108" s="3081"/>
      <c r="N108" s="3081"/>
      <c r="O108" s="3279"/>
      <c r="P108" s="3279"/>
      <c r="Q108" s="3279"/>
      <c r="R108" s="3279"/>
      <c r="S108" s="3279"/>
      <c r="T108" s="3279"/>
    </row>
    <row r="109" spans="1:20" ht="13.5">
      <c r="A109" s="3279"/>
      <c r="B109" s="3279"/>
      <c r="C109" s="3279"/>
      <c r="D109" s="3279"/>
      <c r="E109" s="3279"/>
      <c r="F109" s="3279"/>
      <c r="G109" s="3279"/>
      <c r="H109" s="3279"/>
      <c r="I109" s="3279"/>
      <c r="J109" s="3279"/>
      <c r="K109" s="3279"/>
      <c r="L109" s="3081"/>
      <c r="M109" s="3081"/>
      <c r="N109" s="3081"/>
      <c r="O109" s="3279"/>
      <c r="P109" s="3279"/>
      <c r="Q109" s="3279"/>
      <c r="R109" s="3279"/>
      <c r="S109" s="3279"/>
      <c r="T109" s="3279"/>
    </row>
  </sheetData>
  <mergeCells count="50">
    <mergeCell ref="AC59:AD59"/>
    <mergeCell ref="B64:B68"/>
    <mergeCell ref="C64:C65"/>
    <mergeCell ref="D64:D65"/>
    <mergeCell ref="E64:E65"/>
    <mergeCell ref="F64:F65"/>
    <mergeCell ref="X59:X63"/>
    <mergeCell ref="Y59:Y60"/>
    <mergeCell ref="Z59:Z60"/>
    <mergeCell ref="AA59:AA60"/>
    <mergeCell ref="AB59:AB60"/>
    <mergeCell ref="AC54:AD54"/>
    <mergeCell ref="AC55:AD55"/>
    <mergeCell ref="AC56:AD56"/>
    <mergeCell ref="AC57:AD57"/>
    <mergeCell ref="AC58:AD58"/>
    <mergeCell ref="AB31:AB33"/>
    <mergeCell ref="B35:C35"/>
    <mergeCell ref="B36:C36"/>
    <mergeCell ref="H36:H37"/>
    <mergeCell ref="B38:B40"/>
    <mergeCell ref="C38:C40"/>
    <mergeCell ref="D38:D40"/>
    <mergeCell ref="E38:E40"/>
    <mergeCell ref="F38:F40"/>
    <mergeCell ref="AA31:AA33"/>
    <mergeCell ref="X31:X33"/>
    <mergeCell ref="Y31:Y33"/>
    <mergeCell ref="Z31:Z33"/>
    <mergeCell ref="E15:K15"/>
    <mergeCell ref="E16:K16"/>
    <mergeCell ref="E17:K17"/>
    <mergeCell ref="E18:K18"/>
    <mergeCell ref="E19:K19"/>
    <mergeCell ref="O15:R15"/>
    <mergeCell ref="O16:R16"/>
    <mergeCell ref="B1:H1"/>
    <mergeCell ref="B8:S8"/>
    <mergeCell ref="D2:S2"/>
    <mergeCell ref="D3:S3"/>
    <mergeCell ref="D4:S4"/>
    <mergeCell ref="D5:S5"/>
    <mergeCell ref="D6:S6"/>
    <mergeCell ref="O12:R12"/>
    <mergeCell ref="O13:R13"/>
    <mergeCell ref="O14:R14"/>
    <mergeCell ref="E12:K12"/>
    <mergeCell ref="E13:K13"/>
    <mergeCell ref="E14:K14"/>
    <mergeCell ref="B9:S9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78" fitToHeight="0" orientation="portrait" r:id="rId1"/>
  <headerFooter scaleWithDoc="0">
    <oddFooter>&amp;R&amp;"Aptos,Regular"&amp;8Page &amp;P of &amp;N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8ADF8C-281B-418A-8ED1-E387AAC002E1}">
          <x14:formula1>
            <xm:f>Details!$D$2:$D$10</xm:f>
          </x14:formula1>
          <xm:sqref>O12:R12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0D5B-BE65-435C-A222-802854FBD7B2}">
  <sheetPr>
    <pageSetUpPr fitToPage="1"/>
  </sheetPr>
  <dimension ref="A1:CC99"/>
  <sheetViews>
    <sheetView showGridLines="0" zoomScaleNormal="100" zoomScaleSheetLayoutView="100" workbookViewId="0">
      <selection activeCell="O12" sqref="O12:R12"/>
    </sheetView>
  </sheetViews>
  <sheetFormatPr defaultColWidth="8" defaultRowHeight="11.25"/>
  <cols>
    <col min="1" max="1" width="1" style="3639" customWidth="1"/>
    <col min="2" max="2" width="8" style="3639"/>
    <col min="3" max="3" width="11.25" style="3639" customWidth="1"/>
    <col min="4" max="4" width="6.25" style="3639" customWidth="1"/>
    <col min="5" max="7" width="8" style="3639"/>
    <col min="8" max="8" width="5.625" style="3639" customWidth="1"/>
    <col min="9" max="12" width="7" style="3639" customWidth="1"/>
    <col min="13" max="13" width="9.625" style="3639" customWidth="1"/>
    <col min="14" max="14" width="1.25" style="3639" bestFit="1" customWidth="1"/>
    <col min="15" max="15" width="8" style="3639"/>
    <col min="16" max="16" width="1.25" style="3639" bestFit="1" customWidth="1"/>
    <col min="17" max="17" width="8" style="3639"/>
    <col min="18" max="18" width="3.75" style="3639" customWidth="1"/>
    <col min="19" max="19" width="1.625" style="3639" customWidth="1"/>
    <col min="20" max="20" width="1.25" style="3639" customWidth="1"/>
    <col min="21" max="21" width="2.375" style="3639" customWidth="1"/>
    <col min="22" max="22" width="9.375" style="3639" customWidth="1"/>
    <col min="23" max="26" width="7.625" style="3639" customWidth="1"/>
    <col min="27" max="27" width="2.375" style="3639" customWidth="1"/>
    <col min="28" max="28" width="5.875" style="3639" customWidth="1"/>
    <col min="29" max="29" width="3.25" style="3640" customWidth="1"/>
    <col min="30" max="30" width="8.5" style="3640" customWidth="1"/>
    <col min="31" max="35" width="5" style="3640" customWidth="1"/>
    <col min="36" max="36" width="3.25" style="3640" customWidth="1"/>
    <col min="37" max="37" width="7.625" style="3639" customWidth="1"/>
    <col min="38" max="38" width="10" style="3639" customWidth="1"/>
    <col min="39" max="39" width="8" style="3639"/>
    <col min="40" max="40" width="11.5" style="3639" customWidth="1"/>
    <col min="41" max="51" width="8" style="3639"/>
    <col min="52" max="52" width="8.25" style="3639" customWidth="1"/>
    <col min="53" max="16384" width="8" style="3639"/>
  </cols>
  <sheetData>
    <row r="1" spans="1:56" ht="5.25" customHeight="1">
      <c r="A1" s="3404"/>
      <c r="B1" s="4884"/>
      <c r="C1" s="4884"/>
      <c r="D1" s="4884"/>
      <c r="E1" s="4884"/>
      <c r="F1" s="4884"/>
      <c r="G1" s="4884"/>
      <c r="H1" s="4884"/>
      <c r="I1" s="3406"/>
      <c r="J1" s="3406"/>
      <c r="K1" s="3406"/>
      <c r="L1" s="3406"/>
      <c r="M1" s="3406"/>
      <c r="N1" s="3405"/>
      <c r="O1" s="3405"/>
      <c r="P1" s="3405"/>
      <c r="Q1" s="3405"/>
      <c r="R1" s="3405"/>
      <c r="S1" s="4106"/>
      <c r="T1" s="3638"/>
    </row>
    <row r="2" spans="1:56" ht="20.25">
      <c r="A2" s="3410"/>
      <c r="B2" s="3411"/>
      <c r="C2" s="3412"/>
      <c r="D2" s="4888" t="s">
        <v>821</v>
      </c>
      <c r="E2" s="4889"/>
      <c r="F2" s="4889"/>
      <c r="G2" s="4889"/>
      <c r="H2" s="4889"/>
      <c r="I2" s="4889"/>
      <c r="J2" s="4889"/>
      <c r="K2" s="4889"/>
      <c r="L2" s="4889"/>
      <c r="M2" s="4889"/>
      <c r="N2" s="4889"/>
      <c r="O2" s="4889"/>
      <c r="P2" s="4889"/>
      <c r="Q2" s="4889"/>
      <c r="R2" s="4889"/>
      <c r="S2" s="4890"/>
      <c r="T2" s="3641"/>
      <c r="U2" s="3642"/>
      <c r="V2" s="3642"/>
      <c r="W2" s="3642"/>
      <c r="X2" s="3642"/>
      <c r="Y2" s="3642"/>
      <c r="Z2" s="3642"/>
      <c r="AA2" s="3642"/>
      <c r="AB2" s="3643" t="s">
        <v>1380</v>
      </c>
      <c r="AC2" s="3644"/>
      <c r="AD2" s="3645"/>
      <c r="AE2" s="3645"/>
      <c r="AF2" s="3646"/>
      <c r="AG2" s="3644"/>
      <c r="AH2" s="3644"/>
      <c r="AI2" s="3644"/>
      <c r="AJ2" s="3647"/>
      <c r="AM2" s="3648"/>
    </row>
    <row r="3" spans="1:56" ht="15.75">
      <c r="A3" s="3410"/>
      <c r="B3" s="3998"/>
      <c r="C3" s="3996"/>
      <c r="D3" s="4891" t="s">
        <v>819</v>
      </c>
      <c r="E3" s="4892"/>
      <c r="F3" s="4892"/>
      <c r="G3" s="4892"/>
      <c r="H3" s="4892"/>
      <c r="I3" s="4892"/>
      <c r="J3" s="4892"/>
      <c r="K3" s="4892"/>
      <c r="L3" s="4892"/>
      <c r="M3" s="4892"/>
      <c r="N3" s="4892"/>
      <c r="O3" s="4892"/>
      <c r="P3" s="4892"/>
      <c r="Q3" s="4892"/>
      <c r="R3" s="4892"/>
      <c r="S3" s="4893"/>
      <c r="T3" s="3641"/>
      <c r="AB3" s="3649" t="s">
        <v>1381</v>
      </c>
      <c r="AC3" s="3650"/>
      <c r="AD3" s="3651"/>
      <c r="AE3" s="3651"/>
      <c r="AF3" s="3652"/>
      <c r="AG3" s="3650"/>
      <c r="AH3" s="3650"/>
      <c r="AI3" s="3650"/>
      <c r="AJ3" s="3653"/>
      <c r="AM3" s="3648"/>
    </row>
    <row r="4" spans="1:56" ht="14.1" customHeight="1">
      <c r="A4" s="3410"/>
      <c r="B4" s="3998"/>
      <c r="C4" s="3996"/>
      <c r="D4" s="4891" t="s">
        <v>820</v>
      </c>
      <c r="E4" s="4892"/>
      <c r="F4" s="4892"/>
      <c r="G4" s="4892"/>
      <c r="H4" s="4892"/>
      <c r="I4" s="4892"/>
      <c r="J4" s="4892"/>
      <c r="K4" s="4892"/>
      <c r="L4" s="4892"/>
      <c r="M4" s="4892"/>
      <c r="N4" s="4892"/>
      <c r="O4" s="4892"/>
      <c r="P4" s="4892"/>
      <c r="Q4" s="4892"/>
      <c r="R4" s="4892"/>
      <c r="S4" s="4893"/>
      <c r="T4" s="3641"/>
      <c r="AB4" s="3654" t="s">
        <v>1382</v>
      </c>
      <c r="AC4" s="3650"/>
      <c r="AD4" s="3652"/>
      <c r="AE4" s="3652"/>
      <c r="AF4" s="3654" t="str">
        <f>'10x'!AH4</f>
        <v>Date                : 16-10-2017</v>
      </c>
      <c r="AH4" s="3655"/>
      <c r="AI4" s="3650"/>
      <c r="AJ4" s="3656"/>
      <c r="AK4" s="3657"/>
      <c r="AL4" s="3658"/>
      <c r="AM4" s="3659"/>
      <c r="AN4" s="3658"/>
      <c r="AO4" s="3658"/>
      <c r="AV4" s="3658"/>
      <c r="AW4" s="3658"/>
      <c r="AX4" s="3658"/>
      <c r="AY4" s="3658"/>
    </row>
    <row r="5" spans="1:56" ht="15.75">
      <c r="A5" s="3410"/>
      <c r="B5" s="3998"/>
      <c r="C5" s="3996"/>
      <c r="D5" s="4891" t="s">
        <v>830</v>
      </c>
      <c r="E5" s="4892"/>
      <c r="F5" s="4892"/>
      <c r="G5" s="4892"/>
      <c r="H5" s="4892"/>
      <c r="I5" s="4892"/>
      <c r="J5" s="4892"/>
      <c r="K5" s="4892"/>
      <c r="L5" s="4892"/>
      <c r="M5" s="4892"/>
      <c r="N5" s="4892"/>
      <c r="O5" s="4892"/>
      <c r="P5" s="4892"/>
      <c r="Q5" s="4892"/>
      <c r="R5" s="4892"/>
      <c r="S5" s="4893"/>
      <c r="T5" s="3641"/>
      <c r="AB5" s="4040"/>
      <c r="AC5" s="4041"/>
      <c r="AD5" s="4042"/>
      <c r="AE5" s="4042"/>
      <c r="AF5" s="4040"/>
      <c r="AH5" s="4043"/>
      <c r="AI5" s="4041"/>
      <c r="AJ5" s="4044"/>
      <c r="AK5" s="3657"/>
      <c r="AL5" s="3658"/>
      <c r="AM5" s="3659"/>
      <c r="AN5" s="3658"/>
      <c r="AO5" s="3658"/>
      <c r="AV5" s="3658"/>
      <c r="AW5" s="3658"/>
      <c r="AX5" s="3658"/>
      <c r="AY5" s="3658"/>
    </row>
    <row r="6" spans="1:56" ht="15.75">
      <c r="A6" s="3410"/>
      <c r="B6" s="3999"/>
      <c r="C6" s="4000"/>
      <c r="D6" s="4894" t="s">
        <v>827</v>
      </c>
      <c r="E6" s="4895"/>
      <c r="F6" s="4895"/>
      <c r="G6" s="4895"/>
      <c r="H6" s="4895"/>
      <c r="I6" s="4895"/>
      <c r="J6" s="4895"/>
      <c r="K6" s="4895"/>
      <c r="L6" s="4895"/>
      <c r="M6" s="4895"/>
      <c r="N6" s="4895"/>
      <c r="O6" s="4895"/>
      <c r="P6" s="4895"/>
      <c r="Q6" s="4895"/>
      <c r="R6" s="4895"/>
      <c r="S6" s="4896"/>
      <c r="T6" s="3641"/>
      <c r="U6" s="3660"/>
      <c r="V6" s="3660"/>
      <c r="W6" s="3660"/>
      <c r="X6" s="3660"/>
      <c r="Y6" s="3660"/>
      <c r="Z6" s="3660"/>
      <c r="AA6" s="3660"/>
      <c r="AB6" s="3661" t="s">
        <v>1384</v>
      </c>
      <c r="AC6" s="3662"/>
      <c r="AD6" s="3663"/>
      <c r="AE6" s="3663"/>
      <c r="AF6" s="3661" t="s">
        <v>1385</v>
      </c>
      <c r="AG6" s="3662"/>
      <c r="AH6" s="3664" t="e">
        <f>#REF!</f>
        <v>#REF!</v>
      </c>
      <c r="AI6" s="3662"/>
      <c r="AJ6" s="3665"/>
      <c r="AK6" s="3666"/>
      <c r="AL6" s="3667"/>
      <c r="AM6" s="3648"/>
      <c r="AN6" s="3668"/>
      <c r="AO6" s="3668"/>
      <c r="AV6" s="3668"/>
      <c r="AW6" s="3668"/>
      <c r="AX6" s="3667"/>
      <c r="AY6" s="3667"/>
    </row>
    <row r="7" spans="1:56" ht="5.25" customHeight="1">
      <c r="A7" s="3446"/>
      <c r="B7" s="3447"/>
      <c r="C7" s="3447"/>
      <c r="D7" s="3447"/>
      <c r="E7" s="3447"/>
      <c r="F7" s="3447"/>
      <c r="G7" s="3447"/>
      <c r="H7" s="3447"/>
      <c r="I7" s="3422"/>
      <c r="J7" s="3422"/>
      <c r="K7" s="3422"/>
      <c r="L7" s="3422"/>
      <c r="M7" s="3422"/>
      <c r="N7" s="3448"/>
      <c r="O7" s="3448"/>
      <c r="P7" s="3448"/>
      <c r="Q7" s="3448"/>
      <c r="R7" s="3448"/>
      <c r="S7" s="3448"/>
      <c r="T7" s="3641"/>
      <c r="AJ7" s="3669"/>
      <c r="AK7" s="3666"/>
      <c r="AM7" s="3648"/>
      <c r="AN7" s="3668"/>
      <c r="AO7" s="3668"/>
      <c r="AV7" s="3668"/>
      <c r="AW7" s="3668"/>
      <c r="BA7" s="3670" t="s">
        <v>1386</v>
      </c>
      <c r="BB7" s="3670"/>
      <c r="BC7" s="3670"/>
      <c r="BD7" s="3670"/>
    </row>
    <row r="8" spans="1:56" ht="21">
      <c r="A8" s="3278"/>
      <c r="B8" s="4885" t="s">
        <v>1387</v>
      </c>
      <c r="C8" s="4886"/>
      <c r="D8" s="4886"/>
      <c r="E8" s="4886"/>
      <c r="F8" s="4886"/>
      <c r="G8" s="4886"/>
      <c r="H8" s="4886"/>
      <c r="I8" s="4886"/>
      <c r="J8" s="4886"/>
      <c r="K8" s="4886"/>
      <c r="L8" s="4886"/>
      <c r="M8" s="4886"/>
      <c r="N8" s="4886"/>
      <c r="O8" s="4886"/>
      <c r="P8" s="4886"/>
      <c r="Q8" s="4886"/>
      <c r="R8" s="4886"/>
      <c r="S8" s="4887"/>
      <c r="T8" s="3641"/>
      <c r="U8" s="3671" t="s">
        <v>1443</v>
      </c>
      <c r="V8" s="3667"/>
      <c r="W8" s="3667"/>
      <c r="X8" s="3667"/>
      <c r="Y8" s="3667"/>
      <c r="Z8" s="3667"/>
      <c r="AA8" s="3667"/>
      <c r="AB8" s="3667"/>
      <c r="AC8" s="3667"/>
      <c r="AD8" s="3667"/>
      <c r="AE8" s="3667"/>
      <c r="AF8" s="3667"/>
      <c r="AG8" s="3667"/>
      <c r="AH8" s="3667"/>
      <c r="AI8" s="3667"/>
      <c r="AJ8" s="3672"/>
      <c r="AK8" s="3666"/>
      <c r="AM8" s="3648"/>
      <c r="AN8" s="3673"/>
      <c r="AO8" s="3673"/>
      <c r="AV8" s="3673"/>
      <c r="AW8" s="3673"/>
      <c r="BA8" s="3670"/>
      <c r="BB8" s="3670"/>
      <c r="BC8" s="3670"/>
      <c r="BD8" s="3670"/>
    </row>
    <row r="9" spans="1:56" ht="18.75">
      <c r="A9" s="3278"/>
      <c r="B9" s="4580" t="s">
        <v>1389</v>
      </c>
      <c r="C9" s="4581"/>
      <c r="D9" s="4581"/>
      <c r="E9" s="4581"/>
      <c r="F9" s="4581"/>
      <c r="G9" s="4581"/>
      <c r="H9" s="4581"/>
      <c r="I9" s="4581"/>
      <c r="J9" s="4581"/>
      <c r="K9" s="4581"/>
      <c r="L9" s="4581"/>
      <c r="M9" s="4581"/>
      <c r="N9" s="4581"/>
      <c r="O9" s="4581"/>
      <c r="P9" s="4581"/>
      <c r="Q9" s="4581"/>
      <c r="R9" s="4581"/>
      <c r="S9" s="4582"/>
      <c r="T9" s="3641"/>
      <c r="U9" s="3674" t="s">
        <v>1390</v>
      </c>
      <c r="V9" s="3667"/>
      <c r="W9" s="3667"/>
      <c r="X9" s="3667"/>
      <c r="Y9" s="3667"/>
      <c r="Z9" s="3667"/>
      <c r="AA9" s="3667"/>
      <c r="AB9" s="3667"/>
      <c r="AC9" s="3667"/>
      <c r="AD9" s="3667"/>
      <c r="AE9" s="3667"/>
      <c r="AF9" s="3667"/>
      <c r="AG9" s="3667"/>
      <c r="AH9" s="3667"/>
      <c r="AI9" s="3667"/>
      <c r="AJ9" s="3672"/>
      <c r="AK9" s="3666"/>
      <c r="AM9" s="3648"/>
      <c r="BA9" s="3670"/>
      <c r="BB9" s="3670"/>
      <c r="BC9" s="3670"/>
      <c r="BD9" s="3670"/>
    </row>
    <row r="10" spans="1:56" ht="8.1" customHeight="1">
      <c r="A10" s="3278"/>
      <c r="B10" s="3675"/>
      <c r="C10" s="3675"/>
      <c r="D10" s="3675"/>
      <c r="E10" s="3675"/>
      <c r="F10" s="3675"/>
      <c r="G10" s="3675"/>
      <c r="H10" s="3675"/>
      <c r="I10" s="3675"/>
      <c r="J10" s="3675"/>
      <c r="K10" s="3675"/>
      <c r="L10" s="3675"/>
      <c r="M10" s="3675"/>
      <c r="N10" s="3675"/>
      <c r="O10" s="3675"/>
      <c r="P10" s="3675"/>
      <c r="Q10" s="3675"/>
      <c r="R10" s="3675"/>
      <c r="S10" s="3675"/>
      <c r="T10" s="3641"/>
      <c r="AJ10" s="3669"/>
      <c r="AM10" s="3648"/>
      <c r="BA10" s="3670"/>
      <c r="BB10" s="3670"/>
      <c r="BC10" s="3670"/>
      <c r="BD10" s="3670"/>
    </row>
    <row r="11" spans="1:56" ht="12.95" customHeight="1">
      <c r="A11" s="3455"/>
      <c r="B11" s="1747" t="str">
        <f>'10x'!B11</f>
        <v>Deskripsi Sampel / Sample Description</v>
      </c>
      <c r="C11" s="1747"/>
      <c r="D11" s="1747"/>
      <c r="E11" s="1747"/>
      <c r="F11" s="1747"/>
      <c r="G11" s="1747"/>
      <c r="H11" s="1747"/>
      <c r="I11" s="1747"/>
      <c r="J11" s="1747"/>
      <c r="K11" s="1747"/>
      <c r="L11" s="1747"/>
      <c r="M11" s="1747"/>
      <c r="N11" s="1747"/>
      <c r="O11" s="1747"/>
      <c r="P11" s="1747"/>
      <c r="Q11" s="1747"/>
      <c r="R11" s="1747"/>
      <c r="S11" s="1747"/>
      <c r="T11" s="3641"/>
      <c r="V11" s="3676" t="s">
        <v>1444</v>
      </c>
      <c r="W11" s="3676"/>
      <c r="AJ11" s="3669"/>
      <c r="AK11" s="3640"/>
      <c r="AM11" s="3648"/>
      <c r="BA11" s="3670"/>
      <c r="BB11" s="3670"/>
    </row>
    <row r="12" spans="1:56" ht="15.75" customHeight="1">
      <c r="A12" s="2748"/>
      <c r="B12" s="1742" t="str">
        <f>'10x'!B12</f>
        <v>Pelanggan / Client</v>
      </c>
      <c r="C12" s="3280"/>
      <c r="D12" s="3540" t="s">
        <v>27</v>
      </c>
      <c r="E12" s="3282" t="str">
        <f>Details!B4</f>
        <v xml:space="preserve">PT Itamatra Nusantara </v>
      </c>
      <c r="F12" s="3282"/>
      <c r="G12" s="3282"/>
      <c r="H12" s="3282"/>
      <c r="I12" s="3282"/>
      <c r="J12" s="3282"/>
      <c r="K12" s="3282"/>
      <c r="L12" s="3280" t="str">
        <f>'10x'!L12</f>
        <v>Penguji / Test by</v>
      </c>
      <c r="M12" s="3280"/>
      <c r="N12" s="3280" t="s">
        <v>27</v>
      </c>
      <c r="O12" s="4899"/>
      <c r="P12" s="4899"/>
      <c r="Q12" s="4899"/>
      <c r="R12" s="4899"/>
      <c r="S12" s="1742"/>
      <c r="T12" s="3641"/>
      <c r="V12" s="3640" t="s">
        <v>72</v>
      </c>
      <c r="W12" s="3640"/>
      <c r="X12" s="3648" t="e">
        <f>#REF!</f>
        <v>#REF!</v>
      </c>
      <c r="AD12" s="3639"/>
      <c r="AE12" s="3640" t="s">
        <v>1392</v>
      </c>
      <c r="AG12" s="3648" t="e">
        <f>#REF!</f>
        <v>#REF!</v>
      </c>
      <c r="AJ12" s="3669"/>
      <c r="AM12" s="3648"/>
      <c r="BA12" s="3670"/>
      <c r="BB12" s="3670"/>
      <c r="BC12" s="3670"/>
      <c r="BD12" s="3670"/>
    </row>
    <row r="13" spans="1:56" ht="15.75" customHeight="1">
      <c r="A13" s="2748"/>
      <c r="B13" s="1742" t="str">
        <f>'10x'!B13</f>
        <v>Proyek / Project</v>
      </c>
      <c r="C13" s="3280"/>
      <c r="D13" s="3677" t="s">
        <v>27</v>
      </c>
      <c r="E13" s="3289" t="str">
        <f>Details!B8</f>
        <v>hidroplogi</v>
      </c>
      <c r="F13" s="3289"/>
      <c r="G13" s="3289"/>
      <c r="H13" s="3289"/>
      <c r="I13" s="3289"/>
      <c r="J13" s="3289"/>
      <c r="K13" s="3289"/>
      <c r="L13" s="3280" t="str">
        <f>'10x'!L13</f>
        <v>No. PKS</v>
      </c>
      <c r="M13" s="3280"/>
      <c r="N13" s="3280" t="s">
        <v>27</v>
      </c>
      <c r="O13" s="4883" t="s">
        <v>824</v>
      </c>
      <c r="P13" s="4883"/>
      <c r="Q13" s="4883"/>
      <c r="R13" s="4883"/>
      <c r="S13" s="4883"/>
      <c r="T13" s="3641"/>
      <c r="V13" s="3640" t="s">
        <v>71</v>
      </c>
      <c r="W13" s="3640"/>
      <c r="X13" s="3648" t="e">
        <f>#REF!</f>
        <v>#REF!</v>
      </c>
      <c r="AD13" s="3639"/>
      <c r="AE13" s="3640" t="s">
        <v>1393</v>
      </c>
      <c r="AG13" s="3648" t="e">
        <f>#REF!</f>
        <v>#REF!</v>
      </c>
      <c r="AJ13" s="3669"/>
      <c r="AM13" s="3648"/>
      <c r="BA13" s="3670"/>
      <c r="BB13" s="3670"/>
      <c r="BC13" s="3670"/>
      <c r="BD13" s="3670"/>
    </row>
    <row r="14" spans="1:56" ht="15.75" customHeight="1">
      <c r="A14" s="2748"/>
      <c r="B14" s="1742" t="str">
        <f>'10x'!B14</f>
        <v>Id Lab / Lab id</v>
      </c>
      <c r="C14" s="3280"/>
      <c r="D14" s="3677" t="s">
        <v>27</v>
      </c>
      <c r="E14" s="3289" t="str">
        <f>Details!B7</f>
        <v>23-GQT--19-UDS-1-BH-05-0,00-0,50-100726-001</v>
      </c>
      <c r="F14" s="3289"/>
      <c r="G14" s="3289"/>
      <c r="H14" s="3289"/>
      <c r="I14" s="3289"/>
      <c r="J14" s="3289"/>
      <c r="K14" s="3289"/>
      <c r="L14" s="3280" t="str">
        <f>'10x'!L14</f>
        <v>Tanggal / Dated</v>
      </c>
      <c r="M14" s="3280"/>
      <c r="N14" s="3280" t="s">
        <v>1534</v>
      </c>
      <c r="O14" s="4898">
        <f>Details!B40</f>
        <v>46230</v>
      </c>
      <c r="P14" s="4898"/>
      <c r="Q14" s="4898"/>
      <c r="R14" s="4898"/>
      <c r="S14" s="4898"/>
      <c r="T14" s="3641"/>
      <c r="V14" s="3640" t="s">
        <v>69</v>
      </c>
      <c r="W14" s="3640"/>
      <c r="X14" s="3648" t="e">
        <f>#REF!</f>
        <v>#REF!</v>
      </c>
      <c r="Y14" s="3639" t="s">
        <v>68</v>
      </c>
      <c r="AD14" s="3639"/>
      <c r="AE14" s="3640" t="s">
        <v>1394</v>
      </c>
      <c r="AG14" s="3648" t="e">
        <f>#REF!</f>
        <v>#REF!</v>
      </c>
      <c r="AJ14" s="3669"/>
    </row>
    <row r="15" spans="1:56" ht="15.75" customHeight="1">
      <c r="A15" s="2748"/>
      <c r="B15" s="1742" t="str">
        <f>'10x'!B15</f>
        <v>No Sampel / Sample No</v>
      </c>
      <c r="C15" s="3280"/>
      <c r="D15" s="3677" t="s">
        <v>27</v>
      </c>
      <c r="E15" s="3819" t="str">
        <f>Details!B1</f>
        <v>BH-05_UDS-01</v>
      </c>
      <c r="F15" s="3289"/>
      <c r="G15" s="3289"/>
      <c r="H15" s="3289"/>
      <c r="I15" s="3289"/>
      <c r="J15" s="3289"/>
      <c r="K15" s="3289"/>
      <c r="L15" s="3280" t="str">
        <f>'10x'!L15</f>
        <v>Diperiksa / Checked by</v>
      </c>
      <c r="M15" s="3280"/>
      <c r="N15" s="1762" t="s">
        <v>27</v>
      </c>
      <c r="O15" s="4430" t="str">
        <f>Details!B22</f>
        <v>AS Sumartadji</v>
      </c>
      <c r="P15" s="4430"/>
      <c r="Q15" s="4430"/>
      <c r="R15" s="4430"/>
      <c r="S15" s="4430"/>
      <c r="T15" s="3641"/>
      <c r="AJ15" s="3669"/>
    </row>
    <row r="16" spans="1:56" ht="15.75" customHeight="1">
      <c r="A16" s="2748"/>
      <c r="B16" s="1742" t="str">
        <f>'10x'!B16</f>
        <v>Kedalaman / Depth</v>
      </c>
      <c r="C16" s="3280"/>
      <c r="D16" s="3677" t="s">
        <v>27</v>
      </c>
      <c r="E16" s="3289" t="str">
        <f>Details!B13</f>
        <v>0,00-0,50</v>
      </c>
      <c r="F16" s="3289"/>
      <c r="G16" s="3289"/>
      <c r="H16" s="3289"/>
      <c r="I16" s="3289"/>
      <c r="J16" s="3289"/>
      <c r="K16" s="3289"/>
      <c r="L16" s="3280" t="str">
        <f>'10x'!L16</f>
        <v>No. Lampiran</v>
      </c>
      <c r="M16" s="3280"/>
      <c r="N16" s="1742" t="s">
        <v>27</v>
      </c>
      <c r="O16" s="4883" t="str">
        <f>Details!B2</f>
        <v>MGS/02/VI/2026</v>
      </c>
      <c r="P16" s="4883"/>
      <c r="Q16" s="4883"/>
      <c r="R16" s="4883"/>
      <c r="S16" s="4883"/>
      <c r="T16" s="3641"/>
      <c r="V16" s="3676" t="s">
        <v>1395</v>
      </c>
      <c r="W16" s="3676"/>
      <c r="AB16" s="3676" t="s">
        <v>1396</v>
      </c>
      <c r="AJ16" s="3669"/>
    </row>
    <row r="17" spans="1:63" ht="15.75" customHeight="1">
      <c r="A17" s="2748"/>
      <c r="B17" s="1742" t="str">
        <f>'10x'!B17</f>
        <v>Jenis Tanah / Soil Type</v>
      </c>
      <c r="C17" s="3280"/>
      <c r="D17" s="3540" t="s">
        <v>27</v>
      </c>
      <c r="E17" s="3289" t="str">
        <f>Details!B14</f>
        <v>silty CLAY with sand</v>
      </c>
      <c r="F17" s="3289"/>
      <c r="G17" s="3289"/>
      <c r="H17" s="3289"/>
      <c r="I17" s="3289"/>
      <c r="J17" s="3289"/>
      <c r="K17" s="3289"/>
      <c r="L17" s="3280"/>
      <c r="M17" s="3280"/>
      <c r="N17" s="1742"/>
      <c r="O17" s="2"/>
      <c r="P17" s="1742"/>
      <c r="Q17" s="5"/>
      <c r="R17" s="1742"/>
      <c r="S17" s="1742"/>
      <c r="T17" s="3641"/>
      <c r="Y17" s="3678" t="s">
        <v>1265</v>
      </c>
      <c r="Z17" s="3679" t="s">
        <v>1266</v>
      </c>
      <c r="AA17" s="3666"/>
      <c r="AB17" s="3680" t="s">
        <v>1397</v>
      </c>
      <c r="AC17" s="3644"/>
      <c r="AD17" s="3647"/>
      <c r="AE17" s="3681"/>
      <c r="AF17" s="3681"/>
      <c r="AG17" s="3681"/>
      <c r="AH17" s="3681"/>
      <c r="AI17" s="3681"/>
      <c r="AJ17" s="3682"/>
      <c r="AM17" s="3639" t="s">
        <v>1398</v>
      </c>
    </row>
    <row r="18" spans="1:63" ht="15.75" customHeight="1">
      <c r="A18" s="2748"/>
      <c r="B18" s="1742" t="str">
        <f>'10x'!B18</f>
        <v>Warna / Colour</v>
      </c>
      <c r="C18" s="3280"/>
      <c r="D18" s="3677" t="s">
        <v>27</v>
      </c>
      <c r="E18" s="3289" t="str">
        <f>Details!B15</f>
        <v>Abu-abu / Gray</v>
      </c>
      <c r="F18" s="3289"/>
      <c r="G18" s="3289"/>
      <c r="H18" s="3289"/>
      <c r="I18" s="3289"/>
      <c r="J18" s="3289"/>
      <c r="K18" s="3289"/>
      <c r="L18" s="3280"/>
      <c r="M18" s="1742"/>
      <c r="N18" s="1742"/>
      <c r="O18" s="1742"/>
      <c r="P18" s="1742"/>
      <c r="Q18" s="1742"/>
      <c r="R18" s="1742"/>
      <c r="S18" s="1742"/>
      <c r="T18" s="3641"/>
      <c r="V18" s="3680" t="s">
        <v>1399</v>
      </c>
      <c r="W18" s="3646"/>
      <c r="X18" s="3647" t="s">
        <v>37</v>
      </c>
      <c r="Y18" s="3683">
        <v>10563</v>
      </c>
      <c r="Z18" s="3683">
        <v>10623</v>
      </c>
      <c r="AA18" s="3684"/>
      <c r="AB18" s="3654" t="s">
        <v>1400</v>
      </c>
      <c r="AC18" s="3650"/>
      <c r="AD18" s="3653" t="s">
        <v>2</v>
      </c>
      <c r="AE18" s="3685"/>
      <c r="AF18" s="3685"/>
      <c r="AG18" s="3685"/>
      <c r="AH18" s="3685"/>
      <c r="AI18" s="3685"/>
      <c r="AJ18" s="3669"/>
      <c r="AM18" s="3667" t="s">
        <v>1401</v>
      </c>
      <c r="AN18" s="3667"/>
      <c r="BB18" s="3676" t="s">
        <v>1402</v>
      </c>
      <c r="BE18" s="3676"/>
      <c r="BF18" s="3676"/>
      <c r="BI18" s="3676" t="s">
        <v>1403</v>
      </c>
    </row>
    <row r="19" spans="1:63" ht="15.75" customHeight="1">
      <c r="A19" s="3290"/>
      <c r="B19" s="1742" t="str">
        <f>'10x'!B19</f>
        <v>Jenis Sampel / Sample Type</v>
      </c>
      <c r="C19" s="3686"/>
      <c r="D19" s="3540" t="s">
        <v>27</v>
      </c>
      <c r="E19" s="3282" t="str">
        <f>Details!B16</f>
        <v>Undisturbed Sample / UDS</v>
      </c>
      <c r="F19" s="3282"/>
      <c r="G19" s="3282"/>
      <c r="H19" s="3282"/>
      <c r="I19" s="3282"/>
      <c r="J19" s="3282"/>
      <c r="K19" s="3282"/>
      <c r="L19" s="3280"/>
      <c r="M19" s="3280"/>
      <c r="N19" s="3280"/>
      <c r="O19" s="3280"/>
      <c r="P19" s="3280"/>
      <c r="Q19" s="3280"/>
      <c r="R19" s="3280"/>
      <c r="S19" s="3280"/>
      <c r="T19" s="3641"/>
      <c r="V19" s="3654" t="s">
        <v>1404</v>
      </c>
      <c r="W19" s="3652"/>
      <c r="X19" s="3653" t="s">
        <v>37</v>
      </c>
      <c r="Y19" s="3687">
        <v>4160</v>
      </c>
      <c r="Z19" s="3687">
        <f>Y19</f>
        <v>4160</v>
      </c>
      <c r="AA19" s="3684"/>
      <c r="AB19" s="3661" t="s">
        <v>1396</v>
      </c>
      <c r="AC19" s="3662"/>
      <c r="AD19" s="3688" t="s">
        <v>1</v>
      </c>
      <c r="AE19" s="3689">
        <f>AE171</f>
        <v>0</v>
      </c>
      <c r="AF19" s="3689">
        <f>(AF18-$AE$18)/$Y$22*100</f>
        <v>0</v>
      </c>
      <c r="AG19" s="3689">
        <f>(AG18-$AE$18)/$Y$22*100</f>
        <v>0</v>
      </c>
      <c r="AH19" s="3689">
        <f>(AH18-$AE$18)/$Y$22*100</f>
        <v>0</v>
      </c>
      <c r="AI19" s="3689">
        <f>(AI18-$AE$18)/$Y$22*100</f>
        <v>0</v>
      </c>
      <c r="AJ19" s="3669"/>
      <c r="AM19" s="3666" t="s">
        <v>116</v>
      </c>
      <c r="AN19" s="3666" t="s">
        <v>115</v>
      </c>
      <c r="BB19" s="3666" t="s">
        <v>982</v>
      </c>
      <c r="BC19" s="3666" t="s">
        <v>1405</v>
      </c>
      <c r="BH19" s="3666" t="s">
        <v>982</v>
      </c>
      <c r="BI19" s="3666" t="s">
        <v>1405</v>
      </c>
    </row>
    <row r="20" spans="1:63" ht="14.1" customHeight="1">
      <c r="A20" s="3290"/>
      <c r="B20" s="3676" t="s">
        <v>1445</v>
      </c>
      <c r="C20" s="3471"/>
      <c r="D20" s="3280"/>
      <c r="E20" s="3280"/>
      <c r="F20" s="3280"/>
      <c r="G20" s="3280"/>
      <c r="H20" s="3280"/>
      <c r="I20" s="3280"/>
      <c r="J20" s="3325"/>
      <c r="K20" s="3280"/>
      <c r="L20" s="3280"/>
      <c r="M20" s="3280"/>
      <c r="N20" s="3280"/>
      <c r="O20" s="3280"/>
      <c r="P20" s="3280"/>
      <c r="Q20" s="3280"/>
      <c r="R20" s="3280"/>
      <c r="S20" s="3280"/>
      <c r="T20" s="3641"/>
      <c r="V20" s="3654" t="s">
        <v>1407</v>
      </c>
      <c r="W20" s="3652"/>
      <c r="X20" s="3653" t="s">
        <v>37</v>
      </c>
      <c r="Y20" s="3690">
        <f>+Y18-Y19</f>
        <v>6403</v>
      </c>
      <c r="Z20" s="3690">
        <f>+Z18-Z19</f>
        <v>6463</v>
      </c>
      <c r="AA20" s="3691"/>
      <c r="AJ20" s="3669"/>
      <c r="AM20" s="3692">
        <v>0</v>
      </c>
      <c r="AN20" s="3693">
        <f>VLOOKUP(AM20,AL32:AM42,2)</f>
        <v>0</v>
      </c>
      <c r="BB20" s="3639">
        <v>100</v>
      </c>
      <c r="BC20" s="3639">
        <v>7.0407999999999999</v>
      </c>
      <c r="BD20" s="3639">
        <f t="shared" ref="BD20:BD30" si="0">BC20</f>
        <v>7.0407999999999999</v>
      </c>
      <c r="BE20" s="3639">
        <f t="shared" ref="BE20:BE27" si="1">BD20-BD21</f>
        <v>0.47370000000000001</v>
      </c>
      <c r="BH20" s="3639">
        <v>20</v>
      </c>
      <c r="BI20" s="3694">
        <v>52.72</v>
      </c>
      <c r="BJ20" s="3694">
        <f t="shared" ref="BJ20:BJ30" si="2">BI20</f>
        <v>52.72</v>
      </c>
      <c r="BK20" s="3639">
        <f t="shared" ref="BK20:BK27" si="3">BJ20-BJ21</f>
        <v>2.6700000000000017</v>
      </c>
    </row>
    <row r="21" spans="1:63" ht="14.1" customHeight="1">
      <c r="A21" s="3479"/>
      <c r="B21" s="3473" t="s">
        <v>1395</v>
      </c>
      <c r="C21" s="3473"/>
      <c r="D21" s="3423"/>
      <c r="E21" s="3423"/>
      <c r="F21" s="3423"/>
      <c r="G21" s="3695"/>
      <c r="H21" s="3480"/>
      <c r="I21" s="3480"/>
      <c r="J21" s="3313"/>
      <c r="K21" s="3696"/>
      <c r="L21" s="3313"/>
      <c r="M21" s="3313"/>
      <c r="N21" s="3480"/>
      <c r="O21" s="3480"/>
      <c r="P21" s="3480"/>
      <c r="Q21" s="3480"/>
      <c r="R21" s="3480"/>
      <c r="S21" s="3480"/>
      <c r="T21" s="3641"/>
      <c r="V21" s="3654" t="s">
        <v>1408</v>
      </c>
      <c r="W21" s="3652"/>
      <c r="X21" s="3653" t="s">
        <v>1446</v>
      </c>
      <c r="Y21" s="3687">
        <v>2106</v>
      </c>
      <c r="Z21" s="3687">
        <f>(Y21/Y22)*Z22</f>
        <v>2106</v>
      </c>
      <c r="AA21" s="3684"/>
      <c r="AJ21" s="3669"/>
      <c r="AM21" s="3692">
        <v>0</v>
      </c>
      <c r="AN21" s="3693" t="e">
        <f>VLOOKUP(AM21,AL33:AM43,2)</f>
        <v>#N/A</v>
      </c>
      <c r="BB21" s="3639">
        <v>200</v>
      </c>
      <c r="BC21" s="3639">
        <v>6.5670999999999999</v>
      </c>
      <c r="BD21" s="3639">
        <f t="shared" si="0"/>
        <v>6.5670999999999999</v>
      </c>
      <c r="BE21" s="3639">
        <f t="shared" si="1"/>
        <v>0.23430000000000017</v>
      </c>
      <c r="BH21" s="3639">
        <v>40</v>
      </c>
      <c r="BI21" s="3694">
        <v>50.05</v>
      </c>
      <c r="BJ21" s="3694">
        <f t="shared" si="2"/>
        <v>50.05</v>
      </c>
      <c r="BK21" s="3639">
        <f t="shared" si="3"/>
        <v>0.84999999999999432</v>
      </c>
    </row>
    <row r="22" spans="1:63" ht="14.1" customHeight="1">
      <c r="A22" s="3479"/>
      <c r="B22" s="3423"/>
      <c r="C22" s="3423"/>
      <c r="D22" s="3423"/>
      <c r="E22" s="3484" t="s">
        <v>1265</v>
      </c>
      <c r="F22" s="3485"/>
      <c r="G22" s="3697"/>
      <c r="H22" s="3480"/>
      <c r="I22" s="3480"/>
      <c r="J22" s="3313"/>
      <c r="K22" s="3696"/>
      <c r="L22" s="3340"/>
      <c r="M22" s="3340"/>
      <c r="N22" s="3480"/>
      <c r="O22" s="3480"/>
      <c r="P22" s="3480"/>
      <c r="Q22" s="3480"/>
      <c r="R22" s="3480"/>
      <c r="S22" s="3480"/>
      <c r="T22" s="3641"/>
      <c r="V22" s="3654" t="s">
        <v>285</v>
      </c>
      <c r="W22" s="3652"/>
      <c r="X22" s="3653" t="s">
        <v>104</v>
      </c>
      <c r="Y22" s="3698">
        <v>11.5825</v>
      </c>
      <c r="Z22" s="3698">
        <f>Y22+(AI18-AE18)</f>
        <v>11.5825</v>
      </c>
      <c r="AA22" s="3699"/>
      <c r="AJ22" s="3669"/>
      <c r="AM22" s="3692">
        <v>0</v>
      </c>
      <c r="AN22" s="3693" t="e">
        <f>VLOOKUP(AM22,AL34:AM44,2)</f>
        <v>#N/A</v>
      </c>
      <c r="BB22" s="3639">
        <v>300</v>
      </c>
      <c r="BC22" s="3639">
        <v>6.3327999999999998</v>
      </c>
      <c r="BD22" s="3639">
        <f t="shared" si="0"/>
        <v>6.3327999999999998</v>
      </c>
      <c r="BE22" s="3639">
        <f t="shared" si="1"/>
        <v>0.11709999999999976</v>
      </c>
      <c r="BH22" s="3639">
        <v>60</v>
      </c>
      <c r="BI22" s="3694">
        <v>49.2</v>
      </c>
      <c r="BJ22" s="3694">
        <f t="shared" si="2"/>
        <v>49.2</v>
      </c>
      <c r="BK22" s="3639">
        <f t="shared" si="3"/>
        <v>0.38000000000000256</v>
      </c>
    </row>
    <row r="23" spans="1:63" ht="14.1" customHeight="1">
      <c r="A23" s="3479"/>
      <c r="B23" s="3700" t="s">
        <v>1399</v>
      </c>
      <c r="C23" s="3701"/>
      <c r="D23" s="3702" t="s">
        <v>37</v>
      </c>
      <c r="E23" s="3703">
        <v>12311</v>
      </c>
      <c r="F23" s="3703"/>
      <c r="G23" s="3704"/>
      <c r="H23" s="3480"/>
      <c r="I23" s="3480"/>
      <c r="J23" s="3313"/>
      <c r="K23" s="3705"/>
      <c r="L23" s="3313"/>
      <c r="M23" s="3313"/>
      <c r="N23" s="3480"/>
      <c r="O23" s="3480"/>
      <c r="P23" s="3480"/>
      <c r="Q23" s="3480"/>
      <c r="R23" s="3480"/>
      <c r="S23" s="3480"/>
      <c r="T23" s="3641"/>
      <c r="V23" s="3654" t="s">
        <v>1410</v>
      </c>
      <c r="W23" s="3652"/>
      <c r="X23" s="3653" t="s">
        <v>1447</v>
      </c>
      <c r="Y23" s="3706">
        <f>+Y20/Y21</f>
        <v>3.0403608736942069</v>
      </c>
      <c r="Z23" s="3706">
        <f>+Z20/Z21</f>
        <v>3.0688509021842356</v>
      </c>
      <c r="AA23" s="3707"/>
      <c r="AJ23" s="3669"/>
      <c r="BB23" s="3639">
        <v>400</v>
      </c>
      <c r="BC23" s="3639">
        <v>6.2157</v>
      </c>
      <c r="BD23" s="3639">
        <f t="shared" si="0"/>
        <v>6.2157</v>
      </c>
      <c r="BE23" s="3639">
        <f t="shared" si="1"/>
        <v>7.7799999999999869E-2</v>
      </c>
      <c r="BH23" s="3639">
        <v>80</v>
      </c>
      <c r="BI23" s="3694">
        <v>48.82</v>
      </c>
      <c r="BJ23" s="3694">
        <f t="shared" si="2"/>
        <v>48.82</v>
      </c>
      <c r="BK23" s="3639">
        <f t="shared" si="3"/>
        <v>0.25</v>
      </c>
    </row>
    <row r="24" spans="1:63" ht="14.1" customHeight="1">
      <c r="A24" s="3479"/>
      <c r="B24" s="3708" t="s">
        <v>1404</v>
      </c>
      <c r="C24" s="3709"/>
      <c r="D24" s="3710" t="s">
        <v>37</v>
      </c>
      <c r="E24" s="3711">
        <f>IF(AG33="", "", HLOOKUP(AG33, $AF$26:$AH$31, 4, FALSE))</f>
        <v>7048.0999999999995</v>
      </c>
      <c r="F24" s="3711"/>
      <c r="G24" s="3712"/>
      <c r="H24" s="3480"/>
      <c r="I24" s="3480"/>
      <c r="J24" s="3313"/>
      <c r="K24" s="3713"/>
      <c r="L24" s="3313"/>
      <c r="M24" s="3313"/>
      <c r="N24" s="3480"/>
      <c r="O24" s="3480"/>
      <c r="P24" s="3480"/>
      <c r="Q24" s="3480"/>
      <c r="R24" s="3480"/>
      <c r="S24" s="3480"/>
      <c r="T24" s="3641"/>
      <c r="V24" s="3654" t="s">
        <v>1412</v>
      </c>
      <c r="W24" s="3652"/>
      <c r="X24" s="3653" t="s">
        <v>1</v>
      </c>
      <c r="Y24" s="3714">
        <f>Y55</f>
        <v>46.791518588028566</v>
      </c>
      <c r="Z24" s="3714">
        <f>Z55</f>
        <v>47.752808988764045</v>
      </c>
      <c r="AA24" s="3715"/>
      <c r="AD24" s="4065" t="s">
        <v>1553</v>
      </c>
      <c r="AE24" s="4065"/>
      <c r="AF24" s="4065"/>
      <c r="AG24" s="4065"/>
      <c r="AH24" s="4065"/>
      <c r="AI24" s="4065"/>
      <c r="AJ24" s="3669"/>
      <c r="AM24" s="3667" t="s">
        <v>1413</v>
      </c>
      <c r="AN24" s="3667"/>
      <c r="BB24" s="3639">
        <v>500</v>
      </c>
      <c r="BC24" s="3639">
        <v>6.1379000000000001</v>
      </c>
      <c r="BD24" s="3639">
        <f t="shared" si="0"/>
        <v>6.1379000000000001</v>
      </c>
      <c r="BE24" s="3639">
        <f t="shared" si="1"/>
        <v>5.8900000000000396E-2</v>
      </c>
      <c r="BH24" s="3639">
        <v>100</v>
      </c>
      <c r="BI24" s="3694">
        <v>48.57</v>
      </c>
      <c r="BJ24" s="3694">
        <f t="shared" si="2"/>
        <v>48.57</v>
      </c>
      <c r="BK24" s="3639">
        <f t="shared" si="3"/>
        <v>-9.9999999999980105E-3</v>
      </c>
    </row>
    <row r="25" spans="1:63" ht="14.1" customHeight="1">
      <c r="A25" s="3290"/>
      <c r="B25" s="3708" t="s">
        <v>1407</v>
      </c>
      <c r="C25" s="3709"/>
      <c r="D25" s="3710" t="s">
        <v>37</v>
      </c>
      <c r="E25" s="3716">
        <f>E23-E24</f>
        <v>5262.9000000000005</v>
      </c>
      <c r="F25" s="3716"/>
      <c r="G25" s="3280"/>
      <c r="H25" s="3280"/>
      <c r="I25" s="3280"/>
      <c r="J25" s="3280"/>
      <c r="K25" s="3280"/>
      <c r="L25" s="3280"/>
      <c r="M25" s="3280"/>
      <c r="N25" s="3280"/>
      <c r="O25" s="3280"/>
      <c r="P25" s="3280"/>
      <c r="Q25" s="3280"/>
      <c r="R25" s="3280"/>
      <c r="S25" s="3280"/>
      <c r="T25" s="3641"/>
      <c r="V25" s="3661" t="s">
        <v>1414</v>
      </c>
      <c r="W25" s="3717"/>
      <c r="X25" s="3688" t="s">
        <v>1447</v>
      </c>
      <c r="Y25" s="3718">
        <f>+Y23/(1+(Y24/100))</f>
        <v>2.0712101781758938</v>
      </c>
      <c r="Z25" s="3718">
        <f>+Z23/(1+(Z24/100))</f>
        <v>2.0770169604136655</v>
      </c>
      <c r="AA25" s="3719"/>
      <c r="AD25" s="4065" t="s">
        <v>1347</v>
      </c>
      <c r="AE25" s="4065"/>
      <c r="AF25" s="4065"/>
      <c r="AG25" s="4065"/>
      <c r="AH25" s="4065"/>
      <c r="AI25" s="4065"/>
      <c r="AJ25" s="3669"/>
      <c r="AM25" s="3666" t="s">
        <v>1415</v>
      </c>
      <c r="AN25" s="3648">
        <v>0</v>
      </c>
      <c r="BB25" s="3639">
        <v>600</v>
      </c>
      <c r="BC25" s="3639">
        <v>6.0789999999999997</v>
      </c>
      <c r="BD25" s="3639">
        <f t="shared" si="0"/>
        <v>6.0789999999999997</v>
      </c>
      <c r="BE25" s="3639">
        <f t="shared" si="1"/>
        <v>5.1499999999999879E-2</v>
      </c>
      <c r="BH25" s="3639">
        <v>120</v>
      </c>
      <c r="BI25" s="3694">
        <v>48.58</v>
      </c>
      <c r="BJ25" s="3694">
        <f t="shared" si="2"/>
        <v>48.58</v>
      </c>
      <c r="BK25" s="3639">
        <f t="shared" si="3"/>
        <v>1.9999999999996021E-2</v>
      </c>
    </row>
    <row r="26" spans="1:63" ht="14.1" customHeight="1">
      <c r="A26" s="3290"/>
      <c r="B26" s="3708" t="s">
        <v>1408</v>
      </c>
      <c r="C26" s="3709"/>
      <c r="D26" s="3710" t="s">
        <v>1416</v>
      </c>
      <c r="E26" s="3711">
        <f>IF(AG33="", "", HLOOKUP(AG33, $AF$26:$AH$31, 6, FALSE))</f>
        <v>3242.7217934538735</v>
      </c>
      <c r="F26" s="3711"/>
      <c r="G26" s="3280"/>
      <c r="H26" s="3280"/>
      <c r="I26" s="3280"/>
      <c r="J26" s="3280"/>
      <c r="K26" s="3280"/>
      <c r="L26" s="3280"/>
      <c r="M26" s="3280"/>
      <c r="N26" s="3280"/>
      <c r="O26" s="3280"/>
      <c r="P26" s="3280"/>
      <c r="Q26" s="3280"/>
      <c r="R26" s="3280"/>
      <c r="S26" s="3280"/>
      <c r="T26" s="3641"/>
      <c r="X26" s="3640"/>
      <c r="Y26" s="3719"/>
      <c r="Z26" s="3719"/>
      <c r="AA26" s="3719"/>
      <c r="AD26" s="4066"/>
      <c r="AE26" s="4066"/>
      <c r="AF26" s="4066" t="s">
        <v>124</v>
      </c>
      <c r="AG26" s="4066" t="s">
        <v>123</v>
      </c>
      <c r="AH26" s="4066" t="s">
        <v>163</v>
      </c>
      <c r="AI26" s="4065"/>
      <c r="AJ26" s="3669"/>
      <c r="AM26" s="3720" t="s">
        <v>1417</v>
      </c>
      <c r="AN26" s="3720" t="s">
        <v>1418</v>
      </c>
      <c r="AO26" s="3720" t="s">
        <v>743</v>
      </c>
      <c r="BB26" s="3639">
        <v>700</v>
      </c>
      <c r="BC26" s="3639">
        <v>6.0274999999999999</v>
      </c>
      <c r="BD26" s="3639">
        <f t="shared" si="0"/>
        <v>6.0274999999999999</v>
      </c>
      <c r="BE26" s="3639">
        <f t="shared" si="1"/>
        <v>4.129999999999967E-2</v>
      </c>
      <c r="BH26" s="3639">
        <v>140</v>
      </c>
      <c r="BI26" s="3694">
        <v>48.56</v>
      </c>
      <c r="BJ26" s="3694">
        <f t="shared" si="2"/>
        <v>48.56</v>
      </c>
      <c r="BK26" s="3639">
        <f t="shared" si="3"/>
        <v>0.25</v>
      </c>
    </row>
    <row r="27" spans="1:63" ht="14.1" customHeight="1">
      <c r="A27" s="3290"/>
      <c r="B27" s="3708" t="s">
        <v>285</v>
      </c>
      <c r="C27" s="3709"/>
      <c r="D27" s="3710" t="s">
        <v>104</v>
      </c>
      <c r="E27" s="3721">
        <f>IF(AG33="", "", HLOOKUP(AG33, $AF$26:$AH$31, 3, FALSE) / 10)</f>
        <v>17.8</v>
      </c>
      <c r="F27" s="3721"/>
      <c r="G27" s="3502"/>
      <c r="H27" s="3502"/>
      <c r="I27" s="3503"/>
      <c r="J27" s="3503"/>
      <c r="K27" s="3503"/>
      <c r="L27" s="3503"/>
      <c r="M27" s="3503"/>
      <c r="N27" s="3280"/>
      <c r="O27" s="3280"/>
      <c r="P27" s="3280"/>
      <c r="Q27" s="3280"/>
      <c r="R27" s="3280"/>
      <c r="S27" s="3280"/>
      <c r="T27" s="3641"/>
      <c r="V27" s="3676" t="s">
        <v>1419</v>
      </c>
      <c r="W27" s="3676"/>
      <c r="Z27" s="3640"/>
      <c r="AD27" s="4066" t="s">
        <v>935</v>
      </c>
      <c r="AE27" s="4066"/>
      <c r="AF27" s="4067">
        <v>152.30000000000001</v>
      </c>
      <c r="AG27" s="4067">
        <v>152.19999999999999</v>
      </c>
      <c r="AH27" s="4067">
        <v>152</v>
      </c>
      <c r="AI27" s="4065"/>
      <c r="AJ27" s="3669"/>
      <c r="AM27" s="3722">
        <v>1999.8</v>
      </c>
      <c r="AN27" s="3723">
        <v>0</v>
      </c>
      <c r="AO27" s="3724">
        <f>+(-AN27)/AM27</f>
        <v>0</v>
      </c>
      <c r="BB27" s="3639">
        <v>800</v>
      </c>
      <c r="BC27" s="3639">
        <v>5.9862000000000002</v>
      </c>
      <c r="BD27" s="3639">
        <f t="shared" si="0"/>
        <v>5.9862000000000002</v>
      </c>
      <c r="BE27" s="3639">
        <f t="shared" si="1"/>
        <v>3.5300000000000331E-2</v>
      </c>
      <c r="BH27" s="3639">
        <v>160</v>
      </c>
      <c r="BI27" s="3639">
        <v>48.31</v>
      </c>
      <c r="BJ27" s="3694">
        <f t="shared" si="2"/>
        <v>48.31</v>
      </c>
      <c r="BK27" s="3639">
        <f t="shared" si="3"/>
        <v>0.14000000000000057</v>
      </c>
    </row>
    <row r="28" spans="1:63" ht="14.1" customHeight="1">
      <c r="A28" s="3290"/>
      <c r="B28" s="3708" t="s">
        <v>1410</v>
      </c>
      <c r="C28" s="3709"/>
      <c r="D28" s="3710" t="s">
        <v>1420</v>
      </c>
      <c r="E28" s="3725">
        <f>E25/E26</f>
        <v>1.6229884446529728</v>
      </c>
      <c r="F28" s="3725"/>
      <c r="G28" s="3280"/>
      <c r="H28" s="3313"/>
      <c r="I28" s="3508"/>
      <c r="J28" s="3508"/>
      <c r="K28" s="3508"/>
      <c r="L28" s="3508"/>
      <c r="M28" s="3508"/>
      <c r="N28" s="3280"/>
      <c r="O28" s="3280"/>
      <c r="P28" s="3280"/>
      <c r="Q28" s="3280"/>
      <c r="R28" s="3280"/>
      <c r="S28" s="3280"/>
      <c r="T28" s="3641"/>
      <c r="V28" s="3639" t="s">
        <v>1421</v>
      </c>
      <c r="X28" s="3639">
        <f>D35</f>
        <v>28.7926</v>
      </c>
      <c r="Y28" s="3639" t="s">
        <v>1422</v>
      </c>
      <c r="AD28" s="4066" t="s">
        <v>1550</v>
      </c>
      <c r="AE28" s="4066"/>
      <c r="AF28" s="4067">
        <v>178</v>
      </c>
      <c r="AG28" s="4067">
        <v>177.8</v>
      </c>
      <c r="AH28" s="4067">
        <v>177.7</v>
      </c>
      <c r="AI28" s="4065"/>
      <c r="AJ28" s="3669"/>
      <c r="BB28" s="3639">
        <v>900</v>
      </c>
      <c r="BC28" s="3639">
        <v>5.9508999999999999</v>
      </c>
      <c r="BD28" s="3639">
        <f t="shared" si="0"/>
        <v>5.9508999999999999</v>
      </c>
      <c r="BE28" s="3639">
        <f>BD28-BD30</f>
        <v>3.0800000000000161E-2</v>
      </c>
      <c r="BH28" s="3639">
        <v>180</v>
      </c>
      <c r="BI28" s="3694">
        <v>48.17</v>
      </c>
      <c r="BJ28" s="3694">
        <f t="shared" si="2"/>
        <v>48.17</v>
      </c>
      <c r="BK28" s="3639">
        <f>BJ28-BJ30</f>
        <v>0.10999999999999943</v>
      </c>
    </row>
    <row r="29" spans="1:63" ht="14.1" customHeight="1">
      <c r="A29" s="3290"/>
      <c r="B29" s="3708" t="s">
        <v>1412</v>
      </c>
      <c r="C29" s="3709"/>
      <c r="D29" s="3710" t="s">
        <v>1</v>
      </c>
      <c r="E29" s="3559">
        <f>E61</f>
        <v>40.406105205778161</v>
      </c>
      <c r="F29" s="3559"/>
      <c r="G29" s="3280"/>
      <c r="H29" s="3313"/>
      <c r="I29" s="3508"/>
      <c r="J29" s="3508"/>
      <c r="K29" s="3508"/>
      <c r="L29" s="3508"/>
      <c r="M29" s="3508"/>
      <c r="N29" s="3280"/>
      <c r="O29" s="3280"/>
      <c r="P29" s="3280"/>
      <c r="Q29" s="3280"/>
      <c r="R29" s="3280"/>
      <c r="S29" s="3280"/>
      <c r="T29" s="3641"/>
      <c r="V29" s="3639" t="s">
        <v>1423</v>
      </c>
      <c r="W29" s="3726" t="s">
        <v>1424</v>
      </c>
      <c r="X29" s="3727">
        <f>(48.62/25.4)^2*0.7854</f>
        <v>2.8777520549321101</v>
      </c>
      <c r="Y29" s="3728" t="s">
        <v>1425</v>
      </c>
      <c r="AD29" s="4066" t="s">
        <v>1551</v>
      </c>
      <c r="AE29" s="4066"/>
      <c r="AF29" s="4067">
        <v>7048.0999999999995</v>
      </c>
      <c r="AG29" s="4067">
        <v>6940.2</v>
      </c>
      <c r="AH29" s="4067">
        <v>7031.6</v>
      </c>
      <c r="AI29" s="4065"/>
      <c r="AJ29" s="3669"/>
      <c r="BI29" s="3694"/>
      <c r="BJ29" s="3694"/>
    </row>
    <row r="30" spans="1:63" ht="14.1" customHeight="1">
      <c r="A30" s="3290"/>
      <c r="B30" s="3729" t="s">
        <v>1414</v>
      </c>
      <c r="C30" s="3730"/>
      <c r="D30" s="3731" t="s">
        <v>1420</v>
      </c>
      <c r="E30" s="4045">
        <f>E28/(1+E29/100)</f>
        <v>1.1559244110320792</v>
      </c>
      <c r="F30" s="3586"/>
      <c r="G30" s="3280"/>
      <c r="H30" s="3313"/>
      <c r="I30" s="3512"/>
      <c r="J30" s="3512"/>
      <c r="K30" s="3512"/>
      <c r="L30" s="3512"/>
      <c r="M30" s="3512"/>
      <c r="N30" s="3280"/>
      <c r="O30" s="3280"/>
      <c r="P30" s="3280"/>
      <c r="Q30" s="3280"/>
      <c r="R30" s="3280"/>
      <c r="S30" s="3280"/>
      <c r="T30" s="3641"/>
      <c r="V30" s="3676"/>
      <c r="W30" s="3676"/>
      <c r="AD30" s="4066" t="s">
        <v>1554</v>
      </c>
      <c r="AE30" s="4066"/>
      <c r="AF30" s="4067">
        <v>18217.5381654712</v>
      </c>
      <c r="AG30" s="4067">
        <v>18193.622791395745</v>
      </c>
      <c r="AH30" s="4067">
        <v>18145.839167134644</v>
      </c>
      <c r="AI30" s="4065"/>
      <c r="AJ30" s="3669"/>
      <c r="AM30" s="3667"/>
      <c r="AO30" s="3667"/>
      <c r="AP30" s="3667"/>
      <c r="AQ30" s="3667"/>
      <c r="AR30" s="3667"/>
      <c r="AS30" s="3667"/>
      <c r="AT30" s="3667"/>
      <c r="BB30" s="3639">
        <v>1000</v>
      </c>
      <c r="BC30" s="3639">
        <v>5.9200999999999997</v>
      </c>
      <c r="BD30" s="3639">
        <f t="shared" si="0"/>
        <v>5.9200999999999997</v>
      </c>
      <c r="BH30" s="3639">
        <v>200</v>
      </c>
      <c r="BI30" s="3694">
        <v>48.06</v>
      </c>
      <c r="BJ30" s="3694">
        <f t="shared" si="2"/>
        <v>48.06</v>
      </c>
    </row>
    <row r="31" spans="1:63" ht="14.1" customHeight="1">
      <c r="A31" s="3290"/>
      <c r="B31" s="3280"/>
      <c r="C31" s="3280"/>
      <c r="D31" s="3280"/>
      <c r="E31" s="3280"/>
      <c r="F31" s="3280"/>
      <c r="G31" s="3280"/>
      <c r="H31" s="3313"/>
      <c r="I31" s="3513"/>
      <c r="J31" s="3513"/>
      <c r="K31" s="3513"/>
      <c r="L31" s="3513"/>
      <c r="M31" s="3513"/>
      <c r="N31" s="3280"/>
      <c r="O31" s="3280"/>
      <c r="P31" s="3280"/>
      <c r="Q31" s="3280"/>
      <c r="R31" s="3280"/>
      <c r="S31" s="3280"/>
      <c r="T31" s="3641"/>
      <c r="V31" s="4923" t="s">
        <v>16</v>
      </c>
      <c r="W31" s="4923" t="s">
        <v>1426</v>
      </c>
      <c r="X31" s="4927" t="s">
        <v>1427</v>
      </c>
      <c r="Y31" s="4923" t="s">
        <v>174</v>
      </c>
      <c r="Z31" s="4923" t="s">
        <v>166</v>
      </c>
      <c r="AD31" s="4066" t="s">
        <v>1555</v>
      </c>
      <c r="AE31" s="4066"/>
      <c r="AF31" s="4067">
        <v>3242.7217934538735</v>
      </c>
      <c r="AG31" s="4067">
        <v>3234.8261323101638</v>
      </c>
      <c r="AH31" s="4067">
        <v>3224.515619999826</v>
      </c>
      <c r="AI31" s="4065"/>
      <c r="AJ31" s="3669"/>
      <c r="AL31" s="3666" t="s">
        <v>1428</v>
      </c>
      <c r="AM31" s="3666" t="s">
        <v>1429</v>
      </c>
      <c r="AN31" s="3658"/>
      <c r="AO31" s="3658"/>
      <c r="AP31" s="3658"/>
      <c r="AQ31" s="3658"/>
      <c r="AR31" s="3732"/>
      <c r="AS31" s="3732"/>
      <c r="AT31" s="3732"/>
    </row>
    <row r="32" spans="1:63" ht="14.1" customHeight="1">
      <c r="A32" s="3290"/>
      <c r="B32" s="3280"/>
      <c r="C32" s="3280"/>
      <c r="D32" s="3280"/>
      <c r="E32" s="3282"/>
      <c r="F32" s="3282"/>
      <c r="G32" s="3282"/>
      <c r="H32" s="3313"/>
      <c r="I32" s="3513"/>
      <c r="J32" s="3513"/>
      <c r="K32" s="3513"/>
      <c r="L32" s="3513"/>
      <c r="M32" s="3513"/>
      <c r="N32" s="3280"/>
      <c r="O32" s="3280"/>
      <c r="P32" s="3280"/>
      <c r="Q32" s="3280"/>
      <c r="R32" s="3280"/>
      <c r="S32" s="3280"/>
      <c r="T32" s="3641"/>
      <c r="V32" s="4924"/>
      <c r="W32" s="4924"/>
      <c r="X32" s="4928"/>
      <c r="Y32" s="4924"/>
      <c r="Z32" s="4924"/>
      <c r="AD32" s="4065"/>
      <c r="AE32" s="4065"/>
      <c r="AF32" s="4068"/>
      <c r="AG32" s="4068"/>
      <c r="AH32" s="4068"/>
      <c r="AI32" s="4065"/>
      <c r="AJ32" s="3669"/>
      <c r="AL32" s="3733">
        <f>+'25X'!W35</f>
        <v>0</v>
      </c>
      <c r="AM32" s="3734">
        <f>+'25X'!Z35</f>
        <v>0</v>
      </c>
      <c r="AN32" s="3668"/>
      <c r="AO32" s="3668"/>
      <c r="AP32" s="3668"/>
      <c r="AQ32" s="3668"/>
      <c r="AR32" s="3735"/>
      <c r="AS32" s="3736"/>
      <c r="AT32" s="3732"/>
    </row>
    <row r="33" spans="1:81" ht="14.1" customHeight="1">
      <c r="A33" s="3290"/>
      <c r="B33" s="3280"/>
      <c r="C33" s="3280"/>
      <c r="D33" s="3280"/>
      <c r="E33" s="3280"/>
      <c r="F33" s="3280"/>
      <c r="G33" s="3280"/>
      <c r="H33" s="3313"/>
      <c r="I33" s="3513"/>
      <c r="J33" s="3513"/>
      <c r="K33" s="3513"/>
      <c r="L33" s="3513"/>
      <c r="M33" s="3513"/>
      <c r="N33" s="3280"/>
      <c r="O33" s="3280"/>
      <c r="P33" s="3280"/>
      <c r="Q33" s="3280"/>
      <c r="R33" s="3280"/>
      <c r="S33" s="3280"/>
      <c r="T33" s="3641"/>
      <c r="V33" s="4924"/>
      <c r="W33" s="4924"/>
      <c r="X33" s="4928"/>
      <c r="Y33" s="4924"/>
      <c r="Z33" s="4924"/>
      <c r="AD33" s="4065" t="s">
        <v>1558</v>
      </c>
      <c r="AE33" s="4065"/>
      <c r="AF33" s="4068"/>
      <c r="AG33" s="4069" t="s">
        <v>124</v>
      </c>
      <c r="AH33" s="4068"/>
      <c r="AI33" s="4065"/>
      <c r="AJ33" s="3669"/>
      <c r="AL33" s="3733">
        <f>+'25X'!W36</f>
        <v>1.2500000000000001E-2</v>
      </c>
      <c r="AM33" s="3734">
        <f>+'25X'!Z36</f>
        <v>30.01572003118169</v>
      </c>
      <c r="AN33" s="3668"/>
      <c r="AO33" s="3668"/>
      <c r="AP33" s="3668"/>
      <c r="AQ33" s="3668"/>
      <c r="AR33" s="3732"/>
      <c r="AS33" s="3736"/>
      <c r="AT33" s="3732"/>
    </row>
    <row r="34" spans="1:81" ht="14.1" customHeight="1">
      <c r="A34" s="3290"/>
      <c r="B34" s="3473" t="s">
        <v>1419</v>
      </c>
      <c r="C34" s="3473"/>
      <c r="D34" s="3423"/>
      <c r="E34" s="3423"/>
      <c r="F34" s="3519"/>
      <c r="G34" s="3280"/>
      <c r="H34" s="3280"/>
      <c r="I34" s="3280"/>
      <c r="J34" s="3280"/>
      <c r="K34" s="3280"/>
      <c r="L34" s="3280"/>
      <c r="M34" s="3280"/>
      <c r="N34" s="3280"/>
      <c r="O34" s="3280"/>
      <c r="P34" s="3280"/>
      <c r="Q34" s="3280"/>
      <c r="R34" s="3280"/>
      <c r="S34" s="3280"/>
      <c r="T34" s="3641"/>
      <c r="V34" s="3737" t="s">
        <v>1199</v>
      </c>
      <c r="W34" s="3737" t="s">
        <v>1430</v>
      </c>
      <c r="X34" s="3738" t="s">
        <v>982</v>
      </c>
      <c r="Y34" s="3739" t="s">
        <v>1431</v>
      </c>
      <c r="Z34" s="3739" t="s">
        <v>1432</v>
      </c>
      <c r="AA34" s="3666"/>
      <c r="AB34" s="3667"/>
      <c r="AD34" s="4065"/>
      <c r="AE34" s="4065"/>
      <c r="AF34" s="4068"/>
      <c r="AG34" s="4068"/>
      <c r="AH34" s="4068"/>
      <c r="AI34" s="4065"/>
      <c r="AJ34" s="3669"/>
      <c r="AL34" s="3733">
        <f>+'25X'!W37</f>
        <v>2.5000000000000001E-2</v>
      </c>
      <c r="AM34" s="3734">
        <f>+'25X'!Z37</f>
        <v>60.03144006236338</v>
      </c>
      <c r="AN34" s="3673"/>
      <c r="AO34" s="3673"/>
      <c r="AP34" s="3673"/>
      <c r="AQ34" s="3673"/>
      <c r="AR34" s="3732"/>
      <c r="AS34" s="3736"/>
      <c r="AT34" s="3732"/>
    </row>
    <row r="35" spans="1:81" ht="14.1" customHeight="1">
      <c r="A35" s="3290"/>
      <c r="B35" s="4905" t="s">
        <v>1433</v>
      </c>
      <c r="C35" s="4905"/>
      <c r="D35" s="3423">
        <f>'10x'!D35</f>
        <v>28.7926</v>
      </c>
      <c r="E35" s="3423" t="s">
        <v>1422</v>
      </c>
      <c r="F35" s="3423"/>
      <c r="G35" s="3280"/>
      <c r="H35" s="3280"/>
      <c r="I35" s="3280"/>
      <c r="J35" s="3280"/>
      <c r="K35" s="3280"/>
      <c r="L35" s="3280"/>
      <c r="M35" s="3280"/>
      <c r="N35" s="3280"/>
      <c r="O35" s="3280"/>
      <c r="P35" s="3280"/>
      <c r="Q35" s="3280"/>
      <c r="R35" s="3280"/>
      <c r="S35" s="3280"/>
      <c r="T35" s="3641"/>
      <c r="V35" s="3740">
        <v>0</v>
      </c>
      <c r="W35" s="3741">
        <v>0</v>
      </c>
      <c r="X35" s="3742">
        <v>0</v>
      </c>
      <c r="Y35" s="3743">
        <v>0</v>
      </c>
      <c r="Z35" s="3744">
        <f>+X35*Y35/$X$29</f>
        <v>0</v>
      </c>
      <c r="AA35" s="3666"/>
      <c r="AB35" s="3666"/>
      <c r="AD35" s="4065"/>
      <c r="AE35" s="4065"/>
      <c r="AF35" s="4068"/>
      <c r="AG35" s="4068"/>
      <c r="AH35" s="4068"/>
      <c r="AI35" s="4065"/>
      <c r="AJ35" s="3669"/>
      <c r="AK35" s="3666"/>
      <c r="AL35" s="3733">
        <f>+'25X'!W38</f>
        <v>0.05</v>
      </c>
      <c r="AM35" s="3734">
        <f>+'25X'!Z38</f>
        <v>130.06812013512067</v>
      </c>
      <c r="AR35" s="3736"/>
      <c r="AS35" s="3736"/>
      <c r="AT35" s="3736"/>
    </row>
    <row r="36" spans="1:81" ht="14.1" customHeight="1">
      <c r="A36" s="3290"/>
      <c r="B36" s="4905" t="s">
        <v>1423</v>
      </c>
      <c r="C36" s="4905"/>
      <c r="D36" s="3528">
        <f>'10x'!D36</f>
        <v>3.0800546209161292</v>
      </c>
      <c r="E36" s="3529" t="s">
        <v>1425</v>
      </c>
      <c r="F36" s="3423"/>
      <c r="G36" s="3502"/>
      <c r="H36" s="4906"/>
      <c r="I36" s="3325"/>
      <c r="J36" s="3325"/>
      <c r="K36" s="3325"/>
      <c r="L36" s="3325"/>
      <c r="M36" s="3325"/>
      <c r="N36" s="3325"/>
      <c r="O36" s="3325"/>
      <c r="P36" s="3325"/>
      <c r="Q36" s="3325"/>
      <c r="R36" s="3325"/>
      <c r="S36" s="3280"/>
      <c r="T36" s="3641"/>
      <c r="V36" s="3745">
        <v>0.25</v>
      </c>
      <c r="W36" s="3746">
        <v>1.2500000000000001E-2</v>
      </c>
      <c r="X36" s="3747">
        <v>3</v>
      </c>
      <c r="Y36" s="3748">
        <f t="shared" ref="Y36:Y45" si="4">X36*$X$28</f>
        <v>86.377800000000008</v>
      </c>
      <c r="Z36" s="3749">
        <f>Y36/$X$29</f>
        <v>30.01572003118169</v>
      </c>
      <c r="AA36" s="3666"/>
      <c r="AB36" s="3666"/>
      <c r="AD36" s="4065"/>
      <c r="AE36" s="4065"/>
      <c r="AF36" s="4068"/>
      <c r="AG36" s="4068"/>
      <c r="AH36" s="4068"/>
      <c r="AI36" s="4065"/>
      <c r="AJ36" s="3669"/>
      <c r="AL36" s="3733">
        <f>+'25X'!W39</f>
        <v>7.4999999999999997E-2</v>
      </c>
      <c r="AM36" s="3734">
        <f>+'25X'!Z39</f>
        <v>190.09956019748401</v>
      </c>
      <c r="AR36" s="3732"/>
      <c r="AS36" s="3736"/>
      <c r="AT36" s="3732"/>
      <c r="BB36" s="3750">
        <v>2000</v>
      </c>
      <c r="BC36" s="3750">
        <v>6000</v>
      </c>
      <c r="BD36" s="3750">
        <v>10000</v>
      </c>
    </row>
    <row r="37" spans="1:81" ht="14.1" customHeight="1">
      <c r="A37" s="3290"/>
      <c r="B37" s="3473"/>
      <c r="C37" s="3473"/>
      <c r="D37" s="3423"/>
      <c r="E37" s="3423"/>
      <c r="F37" s="3423"/>
      <c r="G37" s="3502"/>
      <c r="H37" s="4906"/>
      <c r="I37" s="3313"/>
      <c r="J37" s="3536"/>
      <c r="K37" s="3313"/>
      <c r="L37" s="3313"/>
      <c r="M37" s="3313"/>
      <c r="N37" s="3313"/>
      <c r="O37" s="3313"/>
      <c r="P37" s="3313"/>
      <c r="Q37" s="3313"/>
      <c r="R37" s="3313"/>
      <c r="S37" s="3313"/>
      <c r="T37" s="3641"/>
      <c r="V37" s="3745">
        <v>0.5</v>
      </c>
      <c r="W37" s="3746">
        <v>2.5000000000000001E-2</v>
      </c>
      <c r="X37" s="3747">
        <v>6</v>
      </c>
      <c r="Y37" s="3748">
        <f t="shared" si="4"/>
        <v>172.75560000000002</v>
      </c>
      <c r="Z37" s="3749">
        <f t="shared" ref="Z37:Z45" si="5">Y37/$X$29</f>
        <v>60.03144006236338</v>
      </c>
      <c r="AA37" s="3666"/>
      <c r="AB37" s="3666"/>
      <c r="AD37" s="4065" t="s">
        <v>1556</v>
      </c>
      <c r="AE37" s="4065"/>
      <c r="AF37" s="4068"/>
      <c r="AG37" s="4068"/>
      <c r="AH37" s="4068"/>
      <c r="AI37" s="4065"/>
      <c r="AJ37" s="3669"/>
      <c r="AK37" s="3666"/>
      <c r="AL37" s="3733">
        <f>+'25X'!W40</f>
        <v>0.1</v>
      </c>
      <c r="AM37" s="3734">
        <f>+'25X'!Z40</f>
        <v>260.13624027024133</v>
      </c>
      <c r="AN37" s="3751">
        <f>AL38-AL37</f>
        <v>4.9999999999999989E-2</v>
      </c>
      <c r="AO37" s="3751">
        <f>AO27/AN37</f>
        <v>0</v>
      </c>
      <c r="AP37" s="3639">
        <f>AO37*(AM38-AM37)</f>
        <v>0</v>
      </c>
      <c r="AQ37" s="3752">
        <f>AM37+AP37</f>
        <v>260.13624027024133</v>
      </c>
      <c r="AR37" s="3732"/>
      <c r="AS37" s="3736"/>
      <c r="AT37" s="3732"/>
    </row>
    <row r="38" spans="1:81" ht="14.1" customHeight="1">
      <c r="A38" s="3290"/>
      <c r="B38" s="4907" t="s">
        <v>16</v>
      </c>
      <c r="C38" s="4907" t="s">
        <v>1426</v>
      </c>
      <c r="D38" s="4909" t="s">
        <v>1427</v>
      </c>
      <c r="E38" s="4907" t="s">
        <v>174</v>
      </c>
      <c r="F38" s="4907" t="s">
        <v>166</v>
      </c>
      <c r="G38" s="3280"/>
      <c r="H38" s="3313"/>
      <c r="I38" s="3539"/>
      <c r="J38" s="3539"/>
      <c r="K38" s="3539"/>
      <c r="L38" s="3539"/>
      <c r="M38" s="3539"/>
      <c r="N38" s="3540"/>
      <c r="O38" s="3540"/>
      <c r="P38" s="3540"/>
      <c r="Q38" s="3540"/>
      <c r="R38" s="3313"/>
      <c r="S38" s="3313"/>
      <c r="T38" s="3641"/>
      <c r="V38" s="3745">
        <v>1</v>
      </c>
      <c r="W38" s="3746">
        <v>0.05</v>
      </c>
      <c r="X38" s="3747">
        <v>13</v>
      </c>
      <c r="Y38" s="3748">
        <f t="shared" si="4"/>
        <v>374.30380000000002</v>
      </c>
      <c r="Z38" s="3749">
        <f t="shared" si="5"/>
        <v>130.06812013512067</v>
      </c>
      <c r="AA38" s="3753"/>
      <c r="AB38" s="3754"/>
      <c r="AC38" s="3755"/>
      <c r="AD38" s="4070" t="s">
        <v>1557</v>
      </c>
      <c r="AE38" s="4065"/>
      <c r="AF38" s="4068">
        <v>7.36</v>
      </c>
      <c r="AG38" s="4068">
        <v>7.34</v>
      </c>
      <c r="AH38" s="4068"/>
      <c r="AI38" s="4071"/>
      <c r="AJ38" s="3756"/>
      <c r="AK38" s="3755"/>
      <c r="AL38" s="3733">
        <f>+'25X'!W41</f>
        <v>0.15</v>
      </c>
      <c r="AM38" s="3734">
        <f>+'25X'!Z41</f>
        <v>370.19388038457413</v>
      </c>
      <c r="AO38" s="3751"/>
      <c r="AQ38" s="3757"/>
      <c r="AR38" s="3732"/>
      <c r="AS38" s="3736"/>
      <c r="AT38" s="3732"/>
    </row>
    <row r="39" spans="1:81" ht="14.1" customHeight="1">
      <c r="A39" s="3290"/>
      <c r="B39" s="4908"/>
      <c r="C39" s="4908"/>
      <c r="D39" s="4910"/>
      <c r="E39" s="4908"/>
      <c r="F39" s="4908"/>
      <c r="G39" s="3280"/>
      <c r="H39" s="3313"/>
      <c r="I39" s="3539"/>
      <c r="J39" s="3539"/>
      <c r="K39" s="3539"/>
      <c r="L39" s="3539"/>
      <c r="M39" s="3539"/>
      <c r="N39" s="3540"/>
      <c r="O39" s="3540"/>
      <c r="P39" s="3540"/>
      <c r="Q39" s="3540"/>
      <c r="R39" s="3313"/>
      <c r="S39" s="3313"/>
      <c r="T39" s="3641"/>
      <c r="V39" s="3745">
        <v>1.5</v>
      </c>
      <c r="W39" s="3746">
        <v>7.4999999999999997E-2</v>
      </c>
      <c r="X39" s="3747">
        <v>19</v>
      </c>
      <c r="Y39" s="3748">
        <f t="shared" si="4"/>
        <v>547.05939999999998</v>
      </c>
      <c r="Z39" s="3749">
        <f t="shared" si="5"/>
        <v>190.09956019748401</v>
      </c>
      <c r="AA39" s="3753"/>
      <c r="AB39" s="3727"/>
      <c r="AC39" s="3755"/>
      <c r="AD39" s="3755"/>
      <c r="AE39" s="3755"/>
      <c r="AF39" s="3755"/>
      <c r="AG39" s="3755"/>
      <c r="AH39" s="3755"/>
      <c r="AI39" s="3755"/>
      <c r="AJ39" s="3756"/>
      <c r="AK39" s="3755"/>
      <c r="AL39" s="3733">
        <f>+'25X'!W42</f>
        <v>0.2</v>
      </c>
      <c r="AM39" s="3734">
        <f>+'25X'!Z42</f>
        <v>440.23056045733136</v>
      </c>
      <c r="AN39" s="3751">
        <f>AL40-AL39</f>
        <v>9.9999999999999978E-2</v>
      </c>
      <c r="AO39" s="3751">
        <f>AO27/AN39</f>
        <v>0</v>
      </c>
      <c r="AP39" s="3639">
        <f>AO39*(AM40-AM39)</f>
        <v>0</v>
      </c>
      <c r="AQ39" s="3752">
        <f>AM39+AP39</f>
        <v>440.23056045733136</v>
      </c>
      <c r="BA39" s="3694">
        <f t="shared" ref="BA39:BA48" si="6">X36</f>
        <v>3</v>
      </c>
      <c r="BB39" s="3666">
        <f t="shared" ref="BB39:BB48" si="7">IF(BA39&lt;=100,2.0247,1.9965)</f>
        <v>2.0247000000000002</v>
      </c>
      <c r="BC39" s="3639">
        <f>IF(BA39&lt;=100,BF39,IF(BA39&lt;=200,BG39,IF(BA39&lt;=300,BH39,IF(BA39&lt;=400,BI39,IF(BA39&lt;=500,BJ39,IF(BA39&lt;=600,BK39))))))</f>
        <v>7.5002889999999995</v>
      </c>
      <c r="BD39" s="3639">
        <f>IF(BA39&lt;=160,CA39,IF(BA39&lt;=180,CB39,IF(BA39&lt;=200,CC39)))</f>
        <v>50.272500000000001</v>
      </c>
      <c r="BF39" s="3639">
        <f t="shared" ref="BF39:BF48" si="8">(BA39-$BB$20)/($BB$21-$BB$20)*-($BE$20)+$BD$20</f>
        <v>7.5002889999999995</v>
      </c>
      <c r="BG39" s="3639">
        <f t="shared" ref="BG39:BG48" si="9">(BA39-$BB$21)/($BB$22-$BB$21)*-($BE$21)+$BD$21</f>
        <v>7.0286710000000001</v>
      </c>
      <c r="BH39" s="3639">
        <f t="shared" ref="BH39:BH48" si="10">(BA39-$BB$22)/($BB$23-$BB$22)*-($BE$22)+$BD$22</f>
        <v>6.6805869999999992</v>
      </c>
      <c r="BI39" s="3639">
        <f t="shared" ref="BI39:BI48" si="11">(BA39-$BB$23)/($BB$24-$BB$23)*-($BE$23)+$BD$23</f>
        <v>6.5245659999999992</v>
      </c>
      <c r="BJ39" s="3639">
        <f t="shared" ref="BJ39:BJ48" si="12">(BA39-$BB$24)/($BB$25-$BB$24)*-($BE$24)+$BD$24</f>
        <v>6.430633000000002</v>
      </c>
      <c r="BK39" s="3639">
        <f t="shared" ref="BK39:BK48" si="13">(BA39-$BB$25)/($BB$26-$BB$25)*-($BE$25)+$BD$25</f>
        <v>6.3864549999999989</v>
      </c>
      <c r="BL39" s="3639">
        <f t="shared" ref="BL39:BL48" si="14">(BA39-$BB$26)/($BB$27-$BB$26)*-($BE$26)+$BD$26</f>
        <v>6.3153609999999976</v>
      </c>
      <c r="BM39" s="3639">
        <f t="shared" ref="BM39:BM48" si="15">(BA39-$BB$27)/($BB$28-$BB$27)*-($BE$27)+$BD$27</f>
        <v>6.2675410000000031</v>
      </c>
      <c r="BN39" s="3639">
        <f t="shared" ref="BN39:BN48" si="16">(BA39-$BB$28)/($BB$30-$BB$28)*-($BE$28)+$BD$28</f>
        <v>6.2271760000000009</v>
      </c>
      <c r="BU39" s="3639">
        <f t="shared" ref="BU39:BU48" si="17">(BA39-$BH$20)/($BH$21-$BH$20)*-($BK$20)+$BJ$20</f>
        <v>54.9895</v>
      </c>
      <c r="BV39" s="3639">
        <f t="shared" ref="BV39:BV48" si="18">(BA39-$BH$21)/($BH$22-$BH$21)*-($BK$21)+$BJ$21</f>
        <v>51.622499999999988</v>
      </c>
      <c r="BW39" s="3639">
        <f t="shared" ref="BW39:BW48" si="19">(BA39-$BH$22)/($BH$23-$BH$22)*-($BK$22)+$BJ$22</f>
        <v>50.283000000000008</v>
      </c>
      <c r="BX39" s="3639">
        <f t="shared" ref="BX39:BX48" si="20">(BA39-$BH$23)/($BH$24-$BH$23)*-($BK$23)+$BJ$23</f>
        <v>49.782499999999999</v>
      </c>
      <c r="BY39" s="3639">
        <f t="shared" ref="BY39:BY48" si="21">(BA39-$BH$24)/($BH$25-$BH$24)*-($BK$24)+$BJ$24</f>
        <v>48.52150000000001</v>
      </c>
      <c r="BZ39" s="3639">
        <f t="shared" ref="BZ39:BZ48" si="22">(BA39-$BH$25)/($BH$26-$BH$25)*-($BK$25)+$BJ$25</f>
        <v>48.696999999999974</v>
      </c>
      <c r="CA39" s="3639">
        <f t="shared" ref="CA39:CA48" si="23">(BA39-$BH$26)/($BH$27-$BH$26)*-($BK$26)+$BJ$26</f>
        <v>50.272500000000001</v>
      </c>
      <c r="CB39" s="3639">
        <f t="shared" ref="CB39:CB48" si="24">(BA39-$BH$27)/($BH$28-$BH$27)*-($BK$27)+$BJ$27</f>
        <v>49.409000000000006</v>
      </c>
      <c r="CC39" s="3639">
        <f t="shared" ref="CC39:CC48" si="25">(BA39-$BH$28)/($BH$30-$BH$28)*-($BK$28)+$BJ$28</f>
        <v>49.143499999999996</v>
      </c>
    </row>
    <row r="40" spans="1:81" ht="14.1" customHeight="1">
      <c r="A40" s="3290"/>
      <c r="B40" s="4908"/>
      <c r="C40" s="4908"/>
      <c r="D40" s="4910"/>
      <c r="E40" s="4908"/>
      <c r="F40" s="4908"/>
      <c r="G40" s="3280"/>
      <c r="H40" s="3313"/>
      <c r="I40" s="3546"/>
      <c r="J40" s="3546"/>
      <c r="K40" s="3546"/>
      <c r="L40" s="3546"/>
      <c r="M40" s="3546"/>
      <c r="N40" s="3540"/>
      <c r="O40" s="3540"/>
      <c r="P40" s="3540"/>
      <c r="Q40" s="3540"/>
      <c r="R40" s="3313"/>
      <c r="S40" s="3313"/>
      <c r="T40" s="3641"/>
      <c r="V40" s="3745">
        <v>2</v>
      </c>
      <c r="W40" s="3746">
        <v>0.1</v>
      </c>
      <c r="X40" s="3747">
        <v>26</v>
      </c>
      <c r="Y40" s="3748">
        <f t="shared" si="4"/>
        <v>748.60760000000005</v>
      </c>
      <c r="Z40" s="3749">
        <f t="shared" si="5"/>
        <v>260.13624027024133</v>
      </c>
      <c r="AA40" s="3753"/>
      <c r="AB40" s="3727"/>
      <c r="AC40" s="3755"/>
      <c r="AD40" s="3755"/>
      <c r="AE40" s="3755"/>
      <c r="AF40" s="3755"/>
      <c r="AG40" s="3755"/>
      <c r="AH40" s="3755"/>
      <c r="AI40" s="3755"/>
      <c r="AJ40" s="3756"/>
      <c r="AK40" s="3755"/>
      <c r="AL40" s="3733">
        <f>+'25X'!W43</f>
        <v>0.3</v>
      </c>
      <c r="AM40" s="3734">
        <f>+'25X'!Z43</f>
        <v>500.26200051969482</v>
      </c>
      <c r="BA40" s="3694">
        <f t="shared" si="6"/>
        <v>6</v>
      </c>
      <c r="BB40" s="3666">
        <f t="shared" si="7"/>
        <v>2.0247000000000002</v>
      </c>
      <c r="BC40" s="3639">
        <f t="shared" ref="BC40:BC48" si="26">IF(BA40&lt;=400,BF40,IF(BA40&lt;=600,BG40,IF(BA40&lt;=800,BH40,IF(BA40&lt;=1000,BI40))))</f>
        <v>7.486078</v>
      </c>
      <c r="BD40" s="3639">
        <f t="shared" ref="BD40:BD48" si="27">IF(BA40&lt;=160,CA40,IF(X37&lt;=180,CB40,IF(X37&lt;=200,CC40)))</f>
        <v>50.234999999999999</v>
      </c>
      <c r="BF40" s="3639">
        <f t="shared" si="8"/>
        <v>7.486078</v>
      </c>
      <c r="BG40" s="3639">
        <f t="shared" si="9"/>
        <v>7.0216419999999999</v>
      </c>
      <c r="BH40" s="3639">
        <f t="shared" si="10"/>
        <v>6.6770739999999993</v>
      </c>
      <c r="BI40" s="3639">
        <f t="shared" si="11"/>
        <v>6.5222319999999998</v>
      </c>
      <c r="BJ40" s="3639">
        <f t="shared" si="12"/>
        <v>6.428866000000002</v>
      </c>
      <c r="BK40" s="3639">
        <f t="shared" si="13"/>
        <v>6.3849099999999988</v>
      </c>
      <c r="BL40" s="3639">
        <f t="shared" si="14"/>
        <v>6.3141219999999976</v>
      </c>
      <c r="BM40" s="3639">
        <f t="shared" si="15"/>
        <v>6.2664820000000026</v>
      </c>
      <c r="BN40" s="3639">
        <f t="shared" si="16"/>
        <v>6.2262520000000015</v>
      </c>
      <c r="BU40" s="3639">
        <f t="shared" si="17"/>
        <v>54.588999999999999</v>
      </c>
      <c r="BV40" s="3639">
        <f t="shared" si="18"/>
        <v>51.49499999999999</v>
      </c>
      <c r="BW40" s="3639">
        <f t="shared" si="19"/>
        <v>50.226000000000013</v>
      </c>
      <c r="BX40" s="3639">
        <f t="shared" si="20"/>
        <v>49.744999999999997</v>
      </c>
      <c r="BY40" s="3639">
        <f t="shared" si="21"/>
        <v>48.52300000000001</v>
      </c>
      <c r="BZ40" s="3639">
        <f t="shared" si="22"/>
        <v>48.693999999999974</v>
      </c>
      <c r="CA40" s="3639">
        <f t="shared" si="23"/>
        <v>50.234999999999999</v>
      </c>
      <c r="CB40" s="3639">
        <f t="shared" si="24"/>
        <v>49.388000000000005</v>
      </c>
      <c r="CC40" s="3639">
        <f t="shared" si="25"/>
        <v>49.126999999999995</v>
      </c>
    </row>
    <row r="41" spans="1:81" ht="14.1" customHeight="1">
      <c r="A41" s="3290"/>
      <c r="B41" s="3547" t="s">
        <v>1199</v>
      </c>
      <c r="C41" s="3547" t="s">
        <v>1430</v>
      </c>
      <c r="D41" s="3548" t="s">
        <v>982</v>
      </c>
      <c r="E41" s="3549" t="s">
        <v>1431</v>
      </c>
      <c r="F41" s="3549" t="s">
        <v>1432</v>
      </c>
      <c r="G41" s="3282"/>
      <c r="H41" s="3313"/>
      <c r="I41" s="3546"/>
      <c r="J41" s="3546"/>
      <c r="K41" s="3546"/>
      <c r="L41" s="3546"/>
      <c r="M41" s="3546"/>
      <c r="N41" s="3540"/>
      <c r="O41" s="3540"/>
      <c r="P41" s="3540"/>
      <c r="Q41" s="3540"/>
      <c r="R41" s="3280"/>
      <c r="S41" s="3280"/>
      <c r="T41" s="3641"/>
      <c r="V41" s="3745">
        <v>3</v>
      </c>
      <c r="W41" s="3746">
        <v>0.15</v>
      </c>
      <c r="X41" s="3747">
        <v>37</v>
      </c>
      <c r="Y41" s="3748">
        <f t="shared" si="4"/>
        <v>1065.3262</v>
      </c>
      <c r="Z41" s="3749">
        <f t="shared" si="5"/>
        <v>370.19388038457413</v>
      </c>
      <c r="AA41" s="3753"/>
      <c r="AB41" s="3727"/>
      <c r="AC41" s="3755"/>
      <c r="AD41" s="3755"/>
      <c r="AE41" s="3755"/>
      <c r="AF41" s="3755"/>
      <c r="AG41" s="3755"/>
      <c r="AH41" s="3755"/>
      <c r="AI41" s="3755"/>
      <c r="AJ41" s="3756"/>
      <c r="AK41" s="3755"/>
      <c r="AL41" s="3733">
        <f>+'25X'!W44</f>
        <v>0.4</v>
      </c>
      <c r="AM41" s="3734">
        <f>+'25X'!Z44</f>
        <v>520.27248054048266</v>
      </c>
      <c r="BA41" s="3694">
        <f t="shared" si="6"/>
        <v>13</v>
      </c>
      <c r="BB41" s="3666">
        <f t="shared" si="7"/>
        <v>2.0247000000000002</v>
      </c>
      <c r="BC41" s="3639">
        <f t="shared" si="26"/>
        <v>7.4529189999999996</v>
      </c>
      <c r="BD41" s="3639">
        <f t="shared" si="27"/>
        <v>50.147500000000001</v>
      </c>
      <c r="BF41" s="3639">
        <f t="shared" si="8"/>
        <v>7.4529189999999996</v>
      </c>
      <c r="BG41" s="3639">
        <f t="shared" si="9"/>
        <v>7.0052409999999998</v>
      </c>
      <c r="BH41" s="3639">
        <f t="shared" si="10"/>
        <v>6.6688769999999993</v>
      </c>
      <c r="BI41" s="3639">
        <f t="shared" si="11"/>
        <v>6.5167859999999997</v>
      </c>
      <c r="BJ41" s="3639">
        <f t="shared" si="12"/>
        <v>6.4247430000000021</v>
      </c>
      <c r="BK41" s="3639">
        <f t="shared" si="13"/>
        <v>6.3813049999999993</v>
      </c>
      <c r="BL41" s="3639">
        <f t="shared" si="14"/>
        <v>6.3112309999999976</v>
      </c>
      <c r="BM41" s="3639">
        <f t="shared" si="15"/>
        <v>6.2640110000000027</v>
      </c>
      <c r="BN41" s="3639">
        <f t="shared" si="16"/>
        <v>6.2240960000000012</v>
      </c>
      <c r="BU41" s="3639">
        <f t="shared" si="17"/>
        <v>53.654499999999999</v>
      </c>
      <c r="BV41" s="3639">
        <f t="shared" si="18"/>
        <v>51.197499999999991</v>
      </c>
      <c r="BW41" s="3639">
        <f t="shared" si="19"/>
        <v>50.093000000000011</v>
      </c>
      <c r="BX41" s="3639">
        <f t="shared" si="20"/>
        <v>49.657499999999999</v>
      </c>
      <c r="BY41" s="3639">
        <f t="shared" si="21"/>
        <v>48.526500000000006</v>
      </c>
      <c r="BZ41" s="3639">
        <f t="shared" si="22"/>
        <v>48.686999999999976</v>
      </c>
      <c r="CA41" s="3639">
        <f t="shared" si="23"/>
        <v>50.147500000000001</v>
      </c>
      <c r="CB41" s="3639">
        <f t="shared" si="24"/>
        <v>49.339000000000006</v>
      </c>
      <c r="CC41" s="3639">
        <f t="shared" si="25"/>
        <v>49.088499999999996</v>
      </c>
    </row>
    <row r="42" spans="1:81" ht="14.1" customHeight="1">
      <c r="A42" s="3290"/>
      <c r="B42" s="3550">
        <v>0</v>
      </c>
      <c r="C42" s="3551">
        <v>0</v>
      </c>
      <c r="D42" s="3758">
        <v>0</v>
      </c>
      <c r="E42" s="3759">
        <f>IF(D42="", "", D42*$D$35)</f>
        <v>0</v>
      </c>
      <c r="F42" s="3760">
        <f>IF(E42="", "", E42/$D$36)</f>
        <v>0</v>
      </c>
      <c r="G42" s="3280"/>
      <c r="H42" s="3313"/>
      <c r="I42" s="3555"/>
      <c r="J42" s="3555"/>
      <c r="K42" s="3555"/>
      <c r="L42" s="3555"/>
      <c r="M42" s="3555"/>
      <c r="N42" s="3280"/>
      <c r="O42" s="3280"/>
      <c r="P42" s="3280"/>
      <c r="Q42" s="3280"/>
      <c r="R42" s="3280"/>
      <c r="S42" s="3280"/>
      <c r="T42" s="3641"/>
      <c r="V42" s="3745">
        <v>4</v>
      </c>
      <c r="W42" s="3746">
        <v>0.2</v>
      </c>
      <c r="X42" s="3747">
        <v>44</v>
      </c>
      <c r="Y42" s="3748">
        <f t="shared" si="4"/>
        <v>1266.8743999999999</v>
      </c>
      <c r="Z42" s="3749">
        <f t="shared" si="5"/>
        <v>440.23056045733136</v>
      </c>
      <c r="AA42" s="3753"/>
      <c r="AB42" s="3727"/>
      <c r="AC42" s="3755"/>
      <c r="AD42" s="3755"/>
      <c r="AE42" s="3755"/>
      <c r="AF42" s="3755"/>
      <c r="AG42" s="3755"/>
      <c r="AH42" s="3755"/>
      <c r="AI42" s="3755"/>
      <c r="AJ42" s="3756"/>
      <c r="AK42" s="3755"/>
      <c r="AL42" s="3733">
        <f>+'25X'!W45</f>
        <v>0.5</v>
      </c>
      <c r="AM42" s="3734">
        <f>+'25X'!Z45</f>
        <v>525.27510054567949</v>
      </c>
      <c r="BA42" s="3694">
        <f t="shared" si="6"/>
        <v>19</v>
      </c>
      <c r="BB42" s="3666">
        <f t="shared" si="7"/>
        <v>2.0247000000000002</v>
      </c>
      <c r="BC42" s="3639">
        <f t="shared" si="26"/>
        <v>7.4244969999999997</v>
      </c>
      <c r="BD42" s="3639">
        <f t="shared" si="27"/>
        <v>50.072500000000005</v>
      </c>
      <c r="BF42" s="3639">
        <f t="shared" si="8"/>
        <v>7.4244969999999997</v>
      </c>
      <c r="BG42" s="3639">
        <f t="shared" si="9"/>
        <v>6.9911830000000004</v>
      </c>
      <c r="BH42" s="3639">
        <f t="shared" si="10"/>
        <v>6.6618509999999986</v>
      </c>
      <c r="BI42" s="3639">
        <f t="shared" si="11"/>
        <v>6.5121179999999992</v>
      </c>
      <c r="BJ42" s="3639">
        <f t="shared" si="12"/>
        <v>6.4212090000000019</v>
      </c>
      <c r="BK42" s="3639">
        <f t="shared" si="13"/>
        <v>6.3782149999999991</v>
      </c>
      <c r="BL42" s="3639">
        <f t="shared" si="14"/>
        <v>6.3087529999999976</v>
      </c>
      <c r="BM42" s="3639">
        <f t="shared" si="15"/>
        <v>6.2618930000000024</v>
      </c>
      <c r="BN42" s="3639">
        <f t="shared" si="16"/>
        <v>6.2222480000000013</v>
      </c>
      <c r="BU42" s="3639">
        <f t="shared" si="17"/>
        <v>52.853499999999997</v>
      </c>
      <c r="BV42" s="3639">
        <f t="shared" si="18"/>
        <v>50.942499999999988</v>
      </c>
      <c r="BW42" s="3639">
        <f t="shared" si="19"/>
        <v>49.979000000000006</v>
      </c>
      <c r="BX42" s="3639">
        <f t="shared" si="20"/>
        <v>49.582500000000003</v>
      </c>
      <c r="BY42" s="3639">
        <f t="shared" si="21"/>
        <v>48.529500000000006</v>
      </c>
      <c r="BZ42" s="3639">
        <f t="shared" si="22"/>
        <v>48.680999999999976</v>
      </c>
      <c r="CA42" s="3639">
        <f t="shared" si="23"/>
        <v>50.072500000000005</v>
      </c>
      <c r="CB42" s="3639">
        <f t="shared" si="24"/>
        <v>49.297000000000004</v>
      </c>
      <c r="CC42" s="3639">
        <f t="shared" si="25"/>
        <v>49.055499999999995</v>
      </c>
    </row>
    <row r="43" spans="1:81" ht="14.1" customHeight="1">
      <c r="A43" s="3332"/>
      <c r="B43" s="3556">
        <v>0.25</v>
      </c>
      <c r="C43" s="3557">
        <v>1.2500000000000001E-2</v>
      </c>
      <c r="D43" s="3721">
        <v>4</v>
      </c>
      <c r="E43" s="3725">
        <f t="shared" ref="E43:E52" si="28">IF(D43="", "", D43*$D$35)</f>
        <v>115.1704</v>
      </c>
      <c r="F43" s="3761">
        <f t="shared" ref="F43:F52" si="29">IF(E43="", "", E43/$D$36)</f>
        <v>37.392323895133977</v>
      </c>
      <c r="G43" s="3280"/>
      <c r="H43" s="3313"/>
      <c r="I43" s="3555"/>
      <c r="J43" s="3555"/>
      <c r="K43" s="3555"/>
      <c r="L43" s="3555"/>
      <c r="M43" s="3555"/>
      <c r="N43" s="3280"/>
      <c r="O43" s="3280"/>
      <c r="P43" s="3280"/>
      <c r="Q43" s="3280"/>
      <c r="R43" s="3280"/>
      <c r="S43" s="3280"/>
      <c r="T43" s="3641"/>
      <c r="V43" s="3745">
        <v>6</v>
      </c>
      <c r="W43" s="3746">
        <v>0.3</v>
      </c>
      <c r="X43" s="3747">
        <v>50</v>
      </c>
      <c r="Y43" s="3748">
        <f t="shared" si="4"/>
        <v>1439.63</v>
      </c>
      <c r="Z43" s="3749">
        <f t="shared" si="5"/>
        <v>500.26200051969482</v>
      </c>
      <c r="AA43" s="3753"/>
      <c r="AB43" s="3727"/>
      <c r="AC43" s="3755"/>
      <c r="AD43" s="3755"/>
      <c r="AE43" s="3755"/>
      <c r="AF43" s="3755"/>
      <c r="AG43" s="3755"/>
      <c r="AH43" s="3755"/>
      <c r="AI43" s="3755"/>
      <c r="AJ43" s="3756"/>
      <c r="AK43" s="3755"/>
      <c r="AV43" s="3762"/>
      <c r="AW43" s="3734"/>
      <c r="BA43" s="3694">
        <f t="shared" si="6"/>
        <v>26</v>
      </c>
      <c r="BB43" s="3666">
        <f t="shared" si="7"/>
        <v>2.0247000000000002</v>
      </c>
      <c r="BC43" s="3639">
        <f t="shared" si="26"/>
        <v>7.3913380000000002</v>
      </c>
      <c r="BD43" s="3639">
        <f t="shared" si="27"/>
        <v>49.984999999999999</v>
      </c>
      <c r="BF43" s="3639">
        <f t="shared" si="8"/>
        <v>7.3913380000000002</v>
      </c>
      <c r="BG43" s="3639">
        <f t="shared" si="9"/>
        <v>6.9747820000000003</v>
      </c>
      <c r="BH43" s="3639">
        <f t="shared" si="10"/>
        <v>6.6536539999999995</v>
      </c>
      <c r="BI43" s="3639">
        <f t="shared" si="11"/>
        <v>6.5066719999999991</v>
      </c>
      <c r="BJ43" s="3639">
        <f t="shared" si="12"/>
        <v>6.4170860000000021</v>
      </c>
      <c r="BK43" s="3639">
        <f t="shared" si="13"/>
        <v>6.3746099999999988</v>
      </c>
      <c r="BL43" s="3639">
        <f t="shared" si="14"/>
        <v>6.3058619999999976</v>
      </c>
      <c r="BM43" s="3639">
        <f t="shared" si="15"/>
        <v>6.2594220000000025</v>
      </c>
      <c r="BN43" s="3639">
        <f t="shared" si="16"/>
        <v>6.2200920000000011</v>
      </c>
      <c r="BU43" s="3639">
        <f t="shared" si="17"/>
        <v>51.918999999999997</v>
      </c>
      <c r="BV43" s="3639">
        <f t="shared" si="18"/>
        <v>50.644999999999996</v>
      </c>
      <c r="BW43" s="3639">
        <f t="shared" si="19"/>
        <v>49.846000000000004</v>
      </c>
      <c r="BX43" s="3639">
        <f t="shared" si="20"/>
        <v>49.494999999999997</v>
      </c>
      <c r="BY43" s="3639">
        <f t="shared" si="21"/>
        <v>48.533000000000008</v>
      </c>
      <c r="BZ43" s="3639">
        <f t="shared" si="22"/>
        <v>48.673999999999978</v>
      </c>
      <c r="CA43" s="3639">
        <f t="shared" si="23"/>
        <v>49.984999999999999</v>
      </c>
      <c r="CB43" s="3639">
        <f t="shared" si="24"/>
        <v>49.248000000000005</v>
      </c>
      <c r="CC43" s="3639">
        <f t="shared" si="25"/>
        <v>49.016999999999996</v>
      </c>
    </row>
    <row r="44" spans="1:81" ht="14.1" customHeight="1">
      <c r="A44" s="3332"/>
      <c r="B44" s="3556">
        <v>0.5</v>
      </c>
      <c r="C44" s="3557">
        <v>2.5000000000000001E-2</v>
      </c>
      <c r="D44" s="3721">
        <v>8</v>
      </c>
      <c r="E44" s="3725">
        <f t="shared" si="28"/>
        <v>230.3408</v>
      </c>
      <c r="F44" s="3761">
        <f t="shared" si="29"/>
        <v>74.784647790267954</v>
      </c>
      <c r="G44" s="3282"/>
      <c r="H44" s="3313"/>
      <c r="I44" s="3301"/>
      <c r="J44" s="3301"/>
      <c r="K44" s="3301"/>
      <c r="L44" s="3301"/>
      <c r="M44" s="3301"/>
      <c r="N44" s="3301"/>
      <c r="O44" s="3301"/>
      <c r="P44" s="3301"/>
      <c r="Q44" s="3301"/>
      <c r="R44" s="3301"/>
      <c r="S44" s="3280"/>
      <c r="T44" s="3641"/>
      <c r="V44" s="3745">
        <v>8</v>
      </c>
      <c r="W44" s="3746">
        <v>0.4</v>
      </c>
      <c r="X44" s="3747">
        <v>52</v>
      </c>
      <c r="Y44" s="3748">
        <f t="shared" si="4"/>
        <v>1497.2152000000001</v>
      </c>
      <c r="Z44" s="3749">
        <f t="shared" si="5"/>
        <v>520.27248054048266</v>
      </c>
      <c r="AA44" s="3753"/>
      <c r="AB44" s="3727"/>
      <c r="AC44" s="3755"/>
      <c r="AD44" s="3755"/>
      <c r="AE44" s="3755"/>
      <c r="AF44" s="3755"/>
      <c r="AG44" s="3755"/>
      <c r="AH44" s="3755"/>
      <c r="AI44" s="3755"/>
      <c r="AJ44" s="3756"/>
      <c r="AK44" s="3755"/>
      <c r="AV44" s="3762"/>
      <c r="AW44" s="3734"/>
      <c r="BA44" s="3694">
        <f t="shared" si="6"/>
        <v>37</v>
      </c>
      <c r="BB44" s="3666">
        <f t="shared" si="7"/>
        <v>2.0247000000000002</v>
      </c>
      <c r="BC44" s="3639">
        <f t="shared" si="26"/>
        <v>7.3392309999999998</v>
      </c>
      <c r="BD44" s="3639">
        <f t="shared" si="27"/>
        <v>49.847500000000004</v>
      </c>
      <c r="BF44" s="3639">
        <f t="shared" si="8"/>
        <v>7.3392309999999998</v>
      </c>
      <c r="BG44" s="3639">
        <f t="shared" si="9"/>
        <v>6.9490090000000002</v>
      </c>
      <c r="BH44" s="3639">
        <f t="shared" si="10"/>
        <v>6.6407729999999994</v>
      </c>
      <c r="BI44" s="3639">
        <f t="shared" si="11"/>
        <v>6.4981139999999993</v>
      </c>
      <c r="BJ44" s="3639">
        <f t="shared" si="12"/>
        <v>6.4106070000000024</v>
      </c>
      <c r="BK44" s="3639">
        <f t="shared" si="13"/>
        <v>6.3689449999999992</v>
      </c>
      <c r="BL44" s="3639">
        <f t="shared" si="14"/>
        <v>6.3013189999999977</v>
      </c>
      <c r="BM44" s="3639">
        <f t="shared" si="15"/>
        <v>6.2555390000000024</v>
      </c>
      <c r="BN44" s="3639">
        <f t="shared" si="16"/>
        <v>6.2167040000000009</v>
      </c>
      <c r="BU44" s="3639">
        <f t="shared" si="17"/>
        <v>50.450499999999998</v>
      </c>
      <c r="BV44" s="3639">
        <f t="shared" si="18"/>
        <v>50.177499999999995</v>
      </c>
      <c r="BW44" s="3639">
        <f t="shared" si="19"/>
        <v>49.637000000000008</v>
      </c>
      <c r="BX44" s="3639">
        <f t="shared" si="20"/>
        <v>49.357500000000002</v>
      </c>
      <c r="BY44" s="3639">
        <f t="shared" si="21"/>
        <v>48.538500000000006</v>
      </c>
      <c r="BZ44" s="3639">
        <f t="shared" si="22"/>
        <v>48.662999999999982</v>
      </c>
      <c r="CA44" s="3639">
        <f t="shared" si="23"/>
        <v>49.847500000000004</v>
      </c>
      <c r="CB44" s="3639">
        <f t="shared" si="24"/>
        <v>49.171000000000006</v>
      </c>
      <c r="CC44" s="3639">
        <f t="shared" si="25"/>
        <v>48.956499999999998</v>
      </c>
    </row>
    <row r="45" spans="1:81" ht="14.1" customHeight="1">
      <c r="A45" s="3290"/>
      <c r="B45" s="3556">
        <v>1</v>
      </c>
      <c r="C45" s="3557">
        <v>0.05</v>
      </c>
      <c r="D45" s="3721">
        <v>15</v>
      </c>
      <c r="E45" s="3725">
        <f t="shared" si="28"/>
        <v>431.88900000000001</v>
      </c>
      <c r="F45" s="3761">
        <f t="shared" si="29"/>
        <v>140.22121460675243</v>
      </c>
      <c r="G45" s="3280"/>
      <c r="H45" s="3313"/>
      <c r="I45" s="3555"/>
      <c r="J45" s="3555"/>
      <c r="K45" s="3555"/>
      <c r="L45" s="3555"/>
      <c r="M45" s="3555"/>
      <c r="N45" s="3555"/>
      <c r="O45" s="3555"/>
      <c r="P45" s="3555"/>
      <c r="Q45" s="3555"/>
      <c r="R45" s="3555"/>
      <c r="S45" s="3280"/>
      <c r="T45" s="3641"/>
      <c r="V45" s="3763">
        <v>10</v>
      </c>
      <c r="W45" s="3764">
        <v>0.5</v>
      </c>
      <c r="X45" s="3765">
        <v>52.5</v>
      </c>
      <c r="Y45" s="3748">
        <f t="shared" si="4"/>
        <v>1511.6115</v>
      </c>
      <c r="Z45" s="3766">
        <f t="shared" si="5"/>
        <v>525.27510054567949</v>
      </c>
      <c r="AA45" s="3753"/>
      <c r="AB45" s="3727"/>
      <c r="AC45" s="3755"/>
      <c r="AD45" s="3755"/>
      <c r="AE45" s="3755"/>
      <c r="AF45" s="3755"/>
      <c r="AG45" s="3755"/>
      <c r="AH45" s="3755"/>
      <c r="AI45" s="3755"/>
      <c r="AJ45" s="3756"/>
      <c r="AK45" s="3755"/>
      <c r="AV45" s="3762"/>
      <c r="AW45" s="3734"/>
      <c r="BA45" s="3694">
        <f t="shared" si="6"/>
        <v>44</v>
      </c>
      <c r="BB45" s="3666">
        <f t="shared" si="7"/>
        <v>2.0247000000000002</v>
      </c>
      <c r="BC45" s="3639">
        <f t="shared" si="26"/>
        <v>7.3060720000000003</v>
      </c>
      <c r="BD45" s="3639">
        <f t="shared" si="27"/>
        <v>49.760000000000005</v>
      </c>
      <c r="BF45" s="3639">
        <f t="shared" si="8"/>
        <v>7.3060720000000003</v>
      </c>
      <c r="BG45" s="3639">
        <f t="shared" si="9"/>
        <v>6.9326080000000001</v>
      </c>
      <c r="BH45" s="3639">
        <f t="shared" si="10"/>
        <v>6.6325759999999994</v>
      </c>
      <c r="BI45" s="3639">
        <f t="shared" si="11"/>
        <v>6.4926679999999992</v>
      </c>
      <c r="BJ45" s="3639">
        <f t="shared" si="12"/>
        <v>6.4064840000000016</v>
      </c>
      <c r="BK45" s="3639">
        <f t="shared" si="13"/>
        <v>6.3653399999999989</v>
      </c>
      <c r="BL45" s="3639">
        <f t="shared" si="14"/>
        <v>6.2984279999999977</v>
      </c>
      <c r="BM45" s="3639">
        <f t="shared" si="15"/>
        <v>6.2530680000000025</v>
      </c>
      <c r="BN45" s="3639">
        <f t="shared" si="16"/>
        <v>6.2145480000000015</v>
      </c>
      <c r="BU45" s="3639">
        <f t="shared" si="17"/>
        <v>49.515999999999998</v>
      </c>
      <c r="BV45" s="3639">
        <f t="shared" si="18"/>
        <v>49.879999999999995</v>
      </c>
      <c r="BW45" s="3639">
        <f t="shared" si="19"/>
        <v>49.504000000000005</v>
      </c>
      <c r="BX45" s="3639">
        <f t="shared" si="20"/>
        <v>49.27</v>
      </c>
      <c r="BY45" s="3639">
        <f t="shared" si="21"/>
        <v>48.542000000000009</v>
      </c>
      <c r="BZ45" s="3639">
        <f t="shared" si="22"/>
        <v>48.655999999999985</v>
      </c>
      <c r="CA45" s="3639">
        <f t="shared" si="23"/>
        <v>49.760000000000005</v>
      </c>
      <c r="CB45" s="3639">
        <f t="shared" si="24"/>
        <v>49.122000000000007</v>
      </c>
      <c r="CC45" s="3639">
        <f t="shared" si="25"/>
        <v>48.917999999999999</v>
      </c>
    </row>
    <row r="46" spans="1:81" ht="14.1" customHeight="1">
      <c r="A46" s="3290"/>
      <c r="B46" s="3556">
        <v>1.5</v>
      </c>
      <c r="C46" s="3557">
        <v>7.4999999999999997E-2</v>
      </c>
      <c r="D46" s="3721">
        <v>21</v>
      </c>
      <c r="E46" s="3725">
        <f t="shared" si="28"/>
        <v>604.64459999999997</v>
      </c>
      <c r="F46" s="3761">
        <f t="shared" si="29"/>
        <v>196.30970044945337</v>
      </c>
      <c r="G46" s="3280"/>
      <c r="H46" s="3280"/>
      <c r="I46" s="3280"/>
      <c r="J46" s="3280"/>
      <c r="K46" s="3280"/>
      <c r="L46" s="3280"/>
      <c r="M46" s="3280"/>
      <c r="N46" s="3280"/>
      <c r="O46" s="3280"/>
      <c r="P46" s="3280"/>
      <c r="Q46" s="3280"/>
      <c r="R46" s="3280"/>
      <c r="S46" s="3280"/>
      <c r="T46" s="3641"/>
      <c r="V46" s="3767"/>
      <c r="W46" s="3767"/>
      <c r="X46" s="3768"/>
      <c r="Y46" s="3769"/>
      <c r="Z46" s="3770"/>
      <c r="AA46" s="3753"/>
      <c r="AB46" s="3727"/>
      <c r="AC46" s="3755"/>
      <c r="AD46" s="3755"/>
      <c r="AE46" s="3755"/>
      <c r="AF46" s="3755"/>
      <c r="AG46" s="3755"/>
      <c r="AH46" s="3755"/>
      <c r="AI46" s="3755"/>
      <c r="AJ46" s="3756"/>
      <c r="AK46" s="3755"/>
      <c r="AL46" s="3639">
        <v>2000</v>
      </c>
      <c r="AM46" s="3639">
        <v>8.5608000000000004</v>
      </c>
      <c r="AV46" s="3762"/>
      <c r="AW46" s="3734"/>
      <c r="BA46" s="3694">
        <f t="shared" si="6"/>
        <v>50</v>
      </c>
      <c r="BB46" s="3666">
        <f t="shared" si="7"/>
        <v>2.0247000000000002</v>
      </c>
      <c r="BC46" s="3639">
        <f t="shared" si="26"/>
        <v>7.2776499999999995</v>
      </c>
      <c r="BD46" s="3639">
        <f t="shared" si="27"/>
        <v>49.685000000000002</v>
      </c>
      <c r="BF46" s="3639">
        <f t="shared" si="8"/>
        <v>7.2776499999999995</v>
      </c>
      <c r="BG46" s="3639">
        <f t="shared" si="9"/>
        <v>6.9185499999999998</v>
      </c>
      <c r="BH46" s="3639">
        <f t="shared" si="10"/>
        <v>6.6255499999999987</v>
      </c>
      <c r="BI46" s="3639">
        <f t="shared" si="11"/>
        <v>6.4879999999999995</v>
      </c>
      <c r="BJ46" s="3639">
        <f t="shared" si="12"/>
        <v>6.4029500000000024</v>
      </c>
      <c r="BK46" s="3639">
        <f t="shared" si="13"/>
        <v>6.3622499999999995</v>
      </c>
      <c r="BL46" s="3639">
        <f t="shared" si="14"/>
        <v>6.2959499999999977</v>
      </c>
      <c r="BM46" s="3639">
        <f t="shared" si="15"/>
        <v>6.2509500000000031</v>
      </c>
      <c r="BN46" s="3639">
        <f t="shared" si="16"/>
        <v>6.2127000000000017</v>
      </c>
      <c r="BU46" s="3639">
        <f t="shared" si="17"/>
        <v>48.714999999999996</v>
      </c>
      <c r="BV46" s="3639">
        <f t="shared" si="18"/>
        <v>49.625</v>
      </c>
      <c r="BW46" s="3639">
        <f t="shared" si="19"/>
        <v>49.39</v>
      </c>
      <c r="BX46" s="3639">
        <f t="shared" si="20"/>
        <v>49.195</v>
      </c>
      <c r="BY46" s="3639">
        <f t="shared" si="21"/>
        <v>48.545000000000002</v>
      </c>
      <c r="BZ46" s="3639">
        <f t="shared" si="22"/>
        <v>48.649999999999984</v>
      </c>
      <c r="CA46" s="3639">
        <f t="shared" si="23"/>
        <v>49.685000000000002</v>
      </c>
      <c r="CB46" s="3639">
        <f t="shared" si="24"/>
        <v>49.080000000000005</v>
      </c>
      <c r="CC46" s="3639">
        <f t="shared" si="25"/>
        <v>48.884999999999998</v>
      </c>
    </row>
    <row r="47" spans="1:81" ht="14.1" customHeight="1">
      <c r="A47" s="3290"/>
      <c r="B47" s="3556">
        <v>2</v>
      </c>
      <c r="C47" s="3557">
        <v>0.1</v>
      </c>
      <c r="D47" s="3721">
        <v>27</v>
      </c>
      <c r="E47" s="3725">
        <f t="shared" si="28"/>
        <v>777.40020000000004</v>
      </c>
      <c r="F47" s="3761">
        <f t="shared" si="29"/>
        <v>252.39818629215435</v>
      </c>
      <c r="G47" s="3280"/>
      <c r="H47" s="3280"/>
      <c r="I47" s="3280"/>
      <c r="J47" s="3280"/>
      <c r="K47" s="3280"/>
      <c r="L47" s="3280"/>
      <c r="M47" s="3280"/>
      <c r="N47" s="3280"/>
      <c r="O47" s="3280"/>
      <c r="P47" s="3280"/>
      <c r="Q47" s="3280"/>
      <c r="R47" s="3280"/>
      <c r="S47" s="3280"/>
      <c r="T47" s="3641"/>
      <c r="AA47" s="3753"/>
      <c r="AB47" s="3727"/>
      <c r="AC47" s="3755"/>
      <c r="AD47" s="3755"/>
      <c r="AE47" s="3755"/>
      <c r="AF47" s="3755"/>
      <c r="AG47" s="3755"/>
      <c r="AH47" s="3755"/>
      <c r="AI47" s="3755"/>
      <c r="AJ47" s="3756"/>
      <c r="AK47" s="3755"/>
      <c r="AL47" s="3639">
        <v>6000</v>
      </c>
      <c r="AM47" s="3639">
        <v>30.782299999999999</v>
      </c>
      <c r="AQ47" s="3771">
        <v>0</v>
      </c>
      <c r="AR47" s="3772">
        <f>D67</f>
        <v>252.39818629215435</v>
      </c>
      <c r="AV47" s="3762"/>
      <c r="AW47" s="3734"/>
      <c r="BA47" s="3694">
        <f t="shared" si="6"/>
        <v>52</v>
      </c>
      <c r="BB47" s="3666">
        <f t="shared" si="7"/>
        <v>2.0247000000000002</v>
      </c>
      <c r="BC47" s="3639">
        <f t="shared" si="26"/>
        <v>7.2681759999999995</v>
      </c>
      <c r="BD47" s="3639">
        <f t="shared" si="27"/>
        <v>49.660000000000004</v>
      </c>
      <c r="BF47" s="3639">
        <f t="shared" si="8"/>
        <v>7.2681759999999995</v>
      </c>
      <c r="BG47" s="3639">
        <f t="shared" si="9"/>
        <v>6.9138640000000002</v>
      </c>
      <c r="BH47" s="3639">
        <f t="shared" si="10"/>
        <v>6.6232079999999991</v>
      </c>
      <c r="BI47" s="3639">
        <f t="shared" si="11"/>
        <v>6.4864439999999997</v>
      </c>
      <c r="BJ47" s="3639">
        <f t="shared" si="12"/>
        <v>6.401772000000002</v>
      </c>
      <c r="BK47" s="3639">
        <f t="shared" si="13"/>
        <v>6.3612199999999994</v>
      </c>
      <c r="BL47" s="3639">
        <f t="shared" si="14"/>
        <v>6.2951239999999977</v>
      </c>
      <c r="BM47" s="3639">
        <f t="shared" si="15"/>
        <v>6.250244000000003</v>
      </c>
      <c r="BN47" s="3639">
        <f t="shared" si="16"/>
        <v>6.2120840000000008</v>
      </c>
      <c r="BU47" s="3639">
        <f t="shared" si="17"/>
        <v>48.447999999999993</v>
      </c>
      <c r="BV47" s="3639">
        <f t="shared" si="18"/>
        <v>49.54</v>
      </c>
      <c r="BW47" s="3639">
        <f t="shared" si="19"/>
        <v>49.352000000000004</v>
      </c>
      <c r="BX47" s="3639">
        <f t="shared" si="20"/>
        <v>49.17</v>
      </c>
      <c r="BY47" s="3639">
        <f t="shared" si="21"/>
        <v>48.546000000000006</v>
      </c>
      <c r="BZ47" s="3639">
        <f t="shared" si="22"/>
        <v>48.647999999999982</v>
      </c>
      <c r="CA47" s="3639">
        <f t="shared" si="23"/>
        <v>49.660000000000004</v>
      </c>
      <c r="CB47" s="3639">
        <f t="shared" si="24"/>
        <v>49.066000000000003</v>
      </c>
      <c r="CC47" s="3639">
        <f t="shared" si="25"/>
        <v>48.873999999999995</v>
      </c>
    </row>
    <row r="48" spans="1:81" ht="14.1" customHeight="1">
      <c r="A48" s="3290"/>
      <c r="B48" s="3556">
        <v>3</v>
      </c>
      <c r="C48" s="3557">
        <v>0.15</v>
      </c>
      <c r="D48" s="3721">
        <v>37</v>
      </c>
      <c r="E48" s="3725">
        <f t="shared" si="28"/>
        <v>1065.3262</v>
      </c>
      <c r="F48" s="3761">
        <f t="shared" si="29"/>
        <v>345.87899602998925</v>
      </c>
      <c r="G48" s="3280"/>
      <c r="H48" s="3280"/>
      <c r="I48" s="3280"/>
      <c r="J48" s="3280"/>
      <c r="K48" s="3280"/>
      <c r="L48" s="3280"/>
      <c r="M48" s="3280"/>
      <c r="N48" s="3280"/>
      <c r="O48" s="3280"/>
      <c r="P48" s="3280"/>
      <c r="Q48" s="3280"/>
      <c r="R48" s="3280"/>
      <c r="S48" s="3280"/>
      <c r="T48" s="3641"/>
      <c r="AA48" s="3753"/>
      <c r="AB48" s="3727"/>
      <c r="AC48" s="3755"/>
      <c r="AD48" s="3755"/>
      <c r="AE48" s="3755"/>
      <c r="AF48" s="3755"/>
      <c r="AG48" s="3755"/>
      <c r="AH48" s="3755"/>
      <c r="AI48" s="3755"/>
      <c r="AJ48" s="3756"/>
      <c r="AK48" s="3755"/>
      <c r="AL48" s="3639">
        <v>10000</v>
      </c>
      <c r="AM48" s="3639">
        <v>50.283099999999997</v>
      </c>
      <c r="AQ48" s="3773">
        <f>W40+AQ27</f>
        <v>0.1</v>
      </c>
      <c r="AR48" s="3772">
        <f>AR47</f>
        <v>252.39818629215435</v>
      </c>
      <c r="AV48" s="3762"/>
      <c r="AW48" s="3734"/>
      <c r="BA48" s="3694">
        <f t="shared" si="6"/>
        <v>52.5</v>
      </c>
      <c r="BB48" s="3666">
        <f t="shared" si="7"/>
        <v>2.0247000000000002</v>
      </c>
      <c r="BC48" s="3639">
        <f t="shared" si="26"/>
        <v>7.2658075000000002</v>
      </c>
      <c r="BD48" s="3639">
        <f t="shared" si="27"/>
        <v>49.653750000000002</v>
      </c>
      <c r="BF48" s="3639">
        <f t="shared" si="8"/>
        <v>7.2658075000000002</v>
      </c>
      <c r="BG48" s="3639">
        <f t="shared" si="9"/>
        <v>6.9126925000000004</v>
      </c>
      <c r="BH48" s="3639">
        <f t="shared" si="10"/>
        <v>6.6226224999999994</v>
      </c>
      <c r="BI48" s="3639">
        <f t="shared" si="11"/>
        <v>6.4860549999999995</v>
      </c>
      <c r="BJ48" s="3639">
        <f t="shared" si="12"/>
        <v>6.4014775000000022</v>
      </c>
      <c r="BK48" s="3639">
        <f t="shared" si="13"/>
        <v>6.3609624999999994</v>
      </c>
      <c r="BL48" s="3639">
        <f t="shared" si="14"/>
        <v>6.2949174999999977</v>
      </c>
      <c r="BM48" s="3639">
        <f t="shared" si="15"/>
        <v>6.2500675000000028</v>
      </c>
      <c r="BN48" s="3639">
        <f t="shared" si="16"/>
        <v>6.2119300000000015</v>
      </c>
      <c r="BU48" s="3639">
        <f t="shared" si="17"/>
        <v>48.381249999999994</v>
      </c>
      <c r="BV48" s="3639">
        <f t="shared" si="18"/>
        <v>49.518749999999997</v>
      </c>
      <c r="BW48" s="3639">
        <f t="shared" si="19"/>
        <v>49.342500000000001</v>
      </c>
      <c r="BX48" s="3639">
        <f t="shared" si="20"/>
        <v>49.16375</v>
      </c>
      <c r="BY48" s="3639">
        <f t="shared" si="21"/>
        <v>48.546250000000008</v>
      </c>
      <c r="BZ48" s="3639">
        <f t="shared" si="22"/>
        <v>48.647499999999987</v>
      </c>
      <c r="CA48" s="3639">
        <f t="shared" si="23"/>
        <v>49.653750000000002</v>
      </c>
      <c r="CB48" s="3639">
        <f t="shared" si="24"/>
        <v>49.062500000000007</v>
      </c>
      <c r="CC48" s="3639">
        <f t="shared" si="25"/>
        <v>48.871249999999996</v>
      </c>
    </row>
    <row r="49" spans="1:54" ht="14.1" customHeight="1">
      <c r="A49" s="3290"/>
      <c r="B49" s="3556">
        <v>4</v>
      </c>
      <c r="C49" s="3557">
        <v>0.2</v>
      </c>
      <c r="D49" s="3721">
        <v>46</v>
      </c>
      <c r="E49" s="3725">
        <f t="shared" si="28"/>
        <v>1324.4595999999999</v>
      </c>
      <c r="F49" s="3761">
        <f t="shared" si="29"/>
        <v>430.01172479404067</v>
      </c>
      <c r="G49" s="3280"/>
      <c r="H49" s="3280"/>
      <c r="I49" s="3280"/>
      <c r="J49" s="3280"/>
      <c r="K49" s="3280"/>
      <c r="L49" s="3280"/>
      <c r="M49" s="3280"/>
      <c r="N49" s="3280"/>
      <c r="O49" s="3280"/>
      <c r="P49" s="3280"/>
      <c r="Q49" s="3280"/>
      <c r="R49" s="3280"/>
      <c r="S49" s="3280"/>
      <c r="T49" s="3641"/>
      <c r="V49" s="3774" t="s">
        <v>1412</v>
      </c>
      <c r="W49" s="3775"/>
      <c r="X49" s="3642"/>
      <c r="Y49" s="3776" t="s">
        <v>1265</v>
      </c>
      <c r="Z49" s="3777" t="s">
        <v>1266</v>
      </c>
      <c r="AA49" s="3753"/>
      <c r="AB49" s="3727"/>
      <c r="AC49" s="3755"/>
      <c r="AD49" s="3755"/>
      <c r="AE49" s="3755"/>
      <c r="AF49" s="3755"/>
      <c r="AG49" s="3755"/>
      <c r="AH49" s="3755"/>
      <c r="AI49" s="3755"/>
      <c r="AJ49" s="3756"/>
      <c r="AK49" s="3755"/>
      <c r="AQ49" s="3773">
        <f>AQ48</f>
        <v>0.1</v>
      </c>
      <c r="AR49" s="3771">
        <v>0</v>
      </c>
      <c r="BA49" s="3694"/>
      <c r="BB49" s="3666"/>
    </row>
    <row r="50" spans="1:54" ht="14.1" customHeight="1">
      <c r="A50" s="3290"/>
      <c r="B50" s="3556">
        <v>6</v>
      </c>
      <c r="C50" s="3557">
        <v>0.3</v>
      </c>
      <c r="D50" s="3721">
        <v>70</v>
      </c>
      <c r="E50" s="3725">
        <f t="shared" si="28"/>
        <v>2015.482</v>
      </c>
      <c r="F50" s="3761">
        <f t="shared" si="29"/>
        <v>654.36566816484458</v>
      </c>
      <c r="G50" s="3280"/>
      <c r="H50" s="3280"/>
      <c r="I50" s="3280"/>
      <c r="J50" s="3280"/>
      <c r="K50" s="3280"/>
      <c r="L50" s="3280"/>
      <c r="M50" s="3280"/>
      <c r="N50" s="3280"/>
      <c r="O50" s="3280"/>
      <c r="P50" s="3280"/>
      <c r="Q50" s="3280"/>
      <c r="R50" s="3280"/>
      <c r="S50" s="3280"/>
      <c r="T50" s="3641"/>
      <c r="V50" s="3778" t="s">
        <v>1434</v>
      </c>
      <c r="W50" s="3779"/>
      <c r="X50" s="3644" t="s">
        <v>37</v>
      </c>
      <c r="Y50" s="3780">
        <v>45.600999999999999</v>
      </c>
      <c r="Z50" s="3780">
        <v>46.63</v>
      </c>
      <c r="AA50" s="3753"/>
      <c r="AB50" s="3727"/>
      <c r="AC50" s="3755"/>
      <c r="AD50" s="3755"/>
      <c r="AE50" s="3755"/>
      <c r="AF50" s="3755"/>
      <c r="AG50" s="3755"/>
      <c r="AH50" s="3755"/>
      <c r="AI50" s="3755"/>
      <c r="AJ50" s="3756"/>
      <c r="AK50" s="3755"/>
      <c r="AQ50" s="3771"/>
      <c r="AR50" s="3771"/>
      <c r="BA50" s="3694"/>
      <c r="BB50" s="3666"/>
    </row>
    <row r="51" spans="1:54" ht="14.1" customHeight="1">
      <c r="A51" s="3290"/>
      <c r="B51" s="3556">
        <v>8</v>
      </c>
      <c r="C51" s="3557">
        <v>0.4</v>
      </c>
      <c r="D51" s="3721">
        <v>82</v>
      </c>
      <c r="E51" s="3725">
        <f t="shared" si="28"/>
        <v>2360.9931999999999</v>
      </c>
      <c r="F51" s="3761">
        <f t="shared" si="29"/>
        <v>766.54263985024647</v>
      </c>
      <c r="G51" s="3280"/>
      <c r="H51" s="3280"/>
      <c r="I51" s="3280"/>
      <c r="J51" s="3280"/>
      <c r="K51" s="3280"/>
      <c r="L51" s="3280"/>
      <c r="M51" s="3280"/>
      <c r="N51" s="3280"/>
      <c r="O51" s="3280"/>
      <c r="P51" s="3280"/>
      <c r="Q51" s="3280"/>
      <c r="R51" s="3280"/>
      <c r="S51" s="3280"/>
      <c r="T51" s="3641"/>
      <c r="V51" s="3781" t="s">
        <v>1435</v>
      </c>
      <c r="W51" s="3782"/>
      <c r="X51" s="3650" t="s">
        <v>37</v>
      </c>
      <c r="Y51" s="3783">
        <v>33.883000000000003</v>
      </c>
      <c r="Z51" s="3783">
        <v>37.28</v>
      </c>
      <c r="AA51" s="3753"/>
      <c r="AB51" s="3727"/>
      <c r="AC51" s="3755"/>
      <c r="AD51" s="3755"/>
      <c r="AE51" s="3755"/>
      <c r="AF51" s="3755"/>
      <c r="AG51" s="3755"/>
      <c r="AH51" s="3755"/>
      <c r="AI51" s="3755"/>
      <c r="AJ51" s="3756"/>
      <c r="AK51" s="3755"/>
      <c r="AL51" s="3639">
        <v>0</v>
      </c>
      <c r="AM51" s="3639">
        <f>1.57*AL51</f>
        <v>0</v>
      </c>
      <c r="AQ51" s="3771">
        <v>0</v>
      </c>
      <c r="AR51" s="3772">
        <f>D68</f>
        <v>430.01172479404067</v>
      </c>
      <c r="BA51" s="3694"/>
      <c r="BB51" s="3666"/>
    </row>
    <row r="52" spans="1:54" ht="14.1" customHeight="1">
      <c r="A52" s="3290"/>
      <c r="B52" s="3583">
        <v>10</v>
      </c>
      <c r="C52" s="3584">
        <v>0.5</v>
      </c>
      <c r="D52" s="3784">
        <v>83</v>
      </c>
      <c r="E52" s="3725">
        <f t="shared" si="28"/>
        <v>2389.7858000000001</v>
      </c>
      <c r="F52" s="3785">
        <f t="shared" si="29"/>
        <v>775.89072082403004</v>
      </c>
      <c r="G52" s="3280"/>
      <c r="H52" s="3280"/>
      <c r="I52" s="3280"/>
      <c r="J52" s="3280"/>
      <c r="K52" s="3280"/>
      <c r="L52" s="3280"/>
      <c r="M52" s="3280"/>
      <c r="N52" s="3280"/>
      <c r="O52" s="3280"/>
      <c r="P52" s="3280"/>
      <c r="Q52" s="3280"/>
      <c r="R52" s="3280"/>
      <c r="S52" s="3280"/>
      <c r="T52" s="3641"/>
      <c r="V52" s="3781" t="s">
        <v>1436</v>
      </c>
      <c r="W52" s="3782"/>
      <c r="X52" s="3650" t="s">
        <v>37</v>
      </c>
      <c r="Y52" s="3786">
        <f>+Y50-Y51</f>
        <v>11.717999999999996</v>
      </c>
      <c r="Z52" s="3786">
        <f>+Z50-Z51</f>
        <v>9.3500000000000014</v>
      </c>
      <c r="AA52" s="3753"/>
      <c r="AB52" s="3727"/>
      <c r="AC52" s="3755"/>
      <c r="AD52" s="3755"/>
      <c r="AE52" s="3755"/>
      <c r="AF52" s="3755"/>
      <c r="AG52" s="3755"/>
      <c r="AH52" s="3755"/>
      <c r="AI52" s="3755"/>
      <c r="AJ52" s="3756"/>
      <c r="AK52" s="3755"/>
      <c r="AL52" s="3639">
        <v>12</v>
      </c>
      <c r="AM52" s="3639">
        <f t="shared" ref="AM52:AM61" si="30">1.57*AL52</f>
        <v>18.84</v>
      </c>
      <c r="AQ52" s="3773">
        <f>W42+AQ27</f>
        <v>0.2</v>
      </c>
      <c r="AR52" s="3772">
        <f>AR51</f>
        <v>430.01172479404067</v>
      </c>
      <c r="BA52" s="3694"/>
      <c r="BB52" s="3666"/>
    </row>
    <row r="53" spans="1:54" ht="14.1" customHeight="1">
      <c r="A53" s="3290"/>
      <c r="B53" s="3588"/>
      <c r="C53" s="3588"/>
      <c r="D53" s="3589"/>
      <c r="E53" s="3590"/>
      <c r="F53" s="3591"/>
      <c r="G53" s="3280"/>
      <c r="H53" s="3280"/>
      <c r="I53" s="3280"/>
      <c r="J53" s="3280"/>
      <c r="K53" s="3280"/>
      <c r="L53" s="3280"/>
      <c r="M53" s="3280"/>
      <c r="N53" s="3280"/>
      <c r="O53" s="3280"/>
      <c r="P53" s="3280"/>
      <c r="Q53" s="3280"/>
      <c r="R53" s="3280"/>
      <c r="S53" s="3280"/>
      <c r="T53" s="3641"/>
      <c r="V53" s="3781" t="s">
        <v>1437</v>
      </c>
      <c r="W53" s="3782"/>
      <c r="X53" s="3650" t="s">
        <v>37</v>
      </c>
      <c r="Y53" s="3783">
        <v>8.84</v>
      </c>
      <c r="Z53" s="3783">
        <f>8.85+8.85</f>
        <v>17.7</v>
      </c>
      <c r="AA53" s="3666"/>
      <c r="AB53" s="3666"/>
      <c r="AC53" s="3666"/>
      <c r="AD53" s="3667"/>
      <c r="AJ53" s="3669"/>
      <c r="AL53" s="3639">
        <v>24</v>
      </c>
      <c r="AM53" s="3639">
        <f t="shared" si="30"/>
        <v>37.68</v>
      </c>
      <c r="AQ53" s="3773">
        <f>AQ52</f>
        <v>0.2</v>
      </c>
      <c r="AR53" s="3771">
        <v>0</v>
      </c>
      <c r="BA53" s="3694"/>
      <c r="BB53" s="3666"/>
    </row>
    <row r="54" spans="1:54" ht="14.1" customHeight="1">
      <c r="A54" s="3290"/>
      <c r="B54" s="3423"/>
      <c r="C54" s="3423"/>
      <c r="D54" s="3423"/>
      <c r="E54" s="3423"/>
      <c r="F54" s="3423"/>
      <c r="G54" s="3280"/>
      <c r="H54" s="3280"/>
      <c r="I54" s="3280"/>
      <c r="J54" s="3280"/>
      <c r="K54" s="3280"/>
      <c r="L54" s="3280"/>
      <c r="M54" s="3280"/>
      <c r="N54" s="3280"/>
      <c r="O54" s="3280"/>
      <c r="P54" s="3280"/>
      <c r="Q54" s="3280"/>
      <c r="R54" s="3280"/>
      <c r="S54" s="3280"/>
      <c r="T54" s="3641"/>
      <c r="V54" s="3781" t="s">
        <v>1438</v>
      </c>
      <c r="W54" s="3782"/>
      <c r="X54" s="3650" t="s">
        <v>37</v>
      </c>
      <c r="Y54" s="3786">
        <f>+Y51-Y53</f>
        <v>25.043000000000003</v>
      </c>
      <c r="Z54" s="3786">
        <f>+Z51-Z53</f>
        <v>19.580000000000002</v>
      </c>
      <c r="AA54" s="4925"/>
      <c r="AB54" s="4926"/>
      <c r="AC54" s="3787"/>
      <c r="AD54" s="3753"/>
      <c r="AJ54" s="3669"/>
      <c r="AL54" s="3639">
        <v>37</v>
      </c>
      <c r="AM54" s="3639">
        <f t="shared" si="30"/>
        <v>58.09</v>
      </c>
      <c r="BA54" s="3694"/>
      <c r="BB54" s="3666"/>
    </row>
    <row r="55" spans="1:54" ht="14.1" customHeight="1">
      <c r="A55" s="3290"/>
      <c r="B55" s="3593" t="s">
        <v>1412</v>
      </c>
      <c r="C55" s="3594"/>
      <c r="D55" s="3413"/>
      <c r="E55" s="3595" t="s">
        <v>1265</v>
      </c>
      <c r="F55" s="3596"/>
      <c r="G55" s="3282"/>
      <c r="H55" s="3282"/>
      <c r="I55" s="3282"/>
      <c r="J55" s="3313"/>
      <c r="K55" s="3555"/>
      <c r="L55" s="3280"/>
      <c r="M55" s="3280"/>
      <c r="N55" s="3280"/>
      <c r="O55" s="3280"/>
      <c r="P55" s="3280"/>
      <c r="Q55" s="3280"/>
      <c r="R55" s="3280"/>
      <c r="S55" s="3280"/>
      <c r="T55" s="3641"/>
      <c r="V55" s="3788" t="s">
        <v>315</v>
      </c>
      <c r="W55" s="3789"/>
      <c r="X55" s="3662" t="s">
        <v>1</v>
      </c>
      <c r="Y55" s="3790">
        <f>+(Y52/Y54)*100</f>
        <v>46.791518588028566</v>
      </c>
      <c r="Z55" s="3790">
        <f>+(Z52/Z54)*100</f>
        <v>47.752808988764045</v>
      </c>
      <c r="AA55" s="4925"/>
      <c r="AB55" s="4926"/>
      <c r="AC55" s="3787"/>
      <c r="AD55" s="3753"/>
      <c r="AJ55" s="3669"/>
      <c r="AL55" s="3639">
        <v>48</v>
      </c>
      <c r="AM55" s="3639">
        <f t="shared" si="30"/>
        <v>75.36</v>
      </c>
      <c r="BA55" s="3694"/>
      <c r="BB55" s="3666"/>
    </row>
    <row r="56" spans="1:54" ht="14.1" customHeight="1">
      <c r="A56" s="3290"/>
      <c r="B56" s="3600" t="s">
        <v>1434</v>
      </c>
      <c r="C56" s="3601"/>
      <c r="D56" s="3602" t="s">
        <v>37</v>
      </c>
      <c r="E56" s="3791">
        <v>42.651000000000003</v>
      </c>
      <c r="F56" s="3791"/>
      <c r="G56" s="3280"/>
      <c r="H56" s="3280"/>
      <c r="I56" s="3280"/>
      <c r="J56" s="3313"/>
      <c r="K56" s="3555"/>
      <c r="L56" s="3280"/>
      <c r="M56" s="3280"/>
      <c r="N56" s="3280"/>
      <c r="O56" s="3280"/>
      <c r="P56" s="3280"/>
      <c r="Q56" s="3280"/>
      <c r="R56" s="3280"/>
      <c r="S56" s="3280"/>
      <c r="T56" s="3641"/>
      <c r="V56" s="3676"/>
      <c r="W56" s="3676"/>
      <c r="AA56" s="4932"/>
      <c r="AB56" s="4926"/>
      <c r="AC56" s="3719"/>
      <c r="AD56" s="3754"/>
      <c r="AJ56" s="3669"/>
      <c r="AL56" s="3639">
        <v>56</v>
      </c>
      <c r="AM56" s="3639">
        <f t="shared" si="30"/>
        <v>87.92</v>
      </c>
      <c r="BA56" s="3694"/>
      <c r="BB56" s="3666"/>
    </row>
    <row r="57" spans="1:54" ht="14.1" customHeight="1">
      <c r="A57" s="3290"/>
      <c r="B57" s="3604" t="s">
        <v>1435</v>
      </c>
      <c r="C57" s="3605"/>
      <c r="D57" s="3606" t="s">
        <v>37</v>
      </c>
      <c r="E57" s="3792">
        <v>33.756</v>
      </c>
      <c r="F57" s="3792"/>
      <c r="G57" s="3280"/>
      <c r="H57" s="3280"/>
      <c r="I57" s="3280"/>
      <c r="J57" s="3313"/>
      <c r="K57" s="3555"/>
      <c r="L57" s="3280"/>
      <c r="M57" s="3280"/>
      <c r="N57" s="3280"/>
      <c r="O57" s="3280"/>
      <c r="P57" s="3280"/>
      <c r="Q57" s="3280"/>
      <c r="R57" s="3280"/>
      <c r="S57" s="3280"/>
      <c r="T57" s="3641"/>
      <c r="AA57" s="4925"/>
      <c r="AB57" s="4926"/>
      <c r="AC57" s="3787"/>
      <c r="AD57" s="3753"/>
      <c r="AJ57" s="3669"/>
      <c r="AL57" s="3639">
        <v>67</v>
      </c>
      <c r="AM57" s="3639">
        <f t="shared" si="30"/>
        <v>105.19</v>
      </c>
      <c r="BA57" s="3694"/>
      <c r="BB57" s="3666"/>
    </row>
    <row r="58" spans="1:54" ht="14.1" customHeight="1">
      <c r="A58" s="3290"/>
      <c r="B58" s="3604" t="s">
        <v>1436</v>
      </c>
      <c r="C58" s="3605"/>
      <c r="D58" s="3606" t="s">
        <v>37</v>
      </c>
      <c r="E58" s="3793">
        <f>IF(OR(E56="", E57=""), "", E56-E57)</f>
        <v>8.8950000000000031</v>
      </c>
      <c r="F58" s="3793"/>
      <c r="G58" s="3280"/>
      <c r="H58" s="3280"/>
      <c r="I58" s="3280"/>
      <c r="J58" s="3280"/>
      <c r="K58" s="3280"/>
      <c r="L58" s="3280"/>
      <c r="M58" s="3280"/>
      <c r="N58" s="3280"/>
      <c r="O58" s="3280"/>
      <c r="P58" s="3280"/>
      <c r="Q58" s="3280"/>
      <c r="R58" s="3280"/>
      <c r="S58" s="3280"/>
      <c r="T58" s="3641"/>
      <c r="AA58" s="4932"/>
      <c r="AB58" s="4926"/>
      <c r="AC58" s="3719"/>
      <c r="AD58" s="3754"/>
      <c r="AE58" s="3755"/>
      <c r="AF58" s="3755"/>
      <c r="AG58" s="3755"/>
      <c r="AH58" s="3755"/>
      <c r="AI58" s="3755"/>
      <c r="AJ58" s="3756"/>
      <c r="AK58" s="3755"/>
      <c r="AL58" s="3639">
        <v>76</v>
      </c>
      <c r="AM58" s="3639">
        <f t="shared" si="30"/>
        <v>119.32000000000001</v>
      </c>
      <c r="BA58" s="3694"/>
      <c r="BB58" s="3666"/>
    </row>
    <row r="59" spans="1:54" ht="14.1" customHeight="1">
      <c r="A59" s="3290"/>
      <c r="B59" s="3604" t="s">
        <v>1437</v>
      </c>
      <c r="C59" s="3605"/>
      <c r="D59" s="3606" t="s">
        <v>37</v>
      </c>
      <c r="E59" s="3792">
        <v>11.742000000000001</v>
      </c>
      <c r="F59" s="3792"/>
      <c r="G59" s="2102"/>
      <c r="H59" s="281"/>
      <c r="I59" s="2103"/>
      <c r="J59" s="2159"/>
      <c r="K59" s="281"/>
      <c r="L59" s="3280"/>
      <c r="M59" s="3280"/>
      <c r="N59" s="3280"/>
      <c r="O59" s="3280"/>
      <c r="P59" s="3280"/>
      <c r="Q59" s="3280"/>
      <c r="R59" s="3280"/>
      <c r="S59" s="3280"/>
      <c r="T59" s="3641"/>
      <c r="V59" s="4933" t="s">
        <v>1439</v>
      </c>
      <c r="W59" s="4923" t="s">
        <v>1426</v>
      </c>
      <c r="X59" s="4923" t="s">
        <v>166</v>
      </c>
      <c r="Y59" s="4923" t="s">
        <v>1440</v>
      </c>
      <c r="Z59" s="4923" t="s">
        <v>1347</v>
      </c>
      <c r="AA59" s="4932"/>
      <c r="AB59" s="4926"/>
      <c r="AC59" s="3719"/>
      <c r="AD59" s="3754"/>
      <c r="AJ59" s="3669"/>
      <c r="AL59" s="3639">
        <v>90</v>
      </c>
      <c r="AM59" s="3639">
        <f t="shared" si="30"/>
        <v>141.30000000000001</v>
      </c>
    </row>
    <row r="60" spans="1:54" ht="14.1" customHeight="1">
      <c r="A60" s="3290"/>
      <c r="B60" s="3604" t="s">
        <v>1438</v>
      </c>
      <c r="C60" s="3605"/>
      <c r="D60" s="3606" t="s">
        <v>37</v>
      </c>
      <c r="E60" s="3794">
        <f>IF(OR(E57="", E59=""), "", E57-E59)</f>
        <v>22.013999999999999</v>
      </c>
      <c r="F60" s="3794"/>
      <c r="G60" s="3280"/>
      <c r="H60" s="3280"/>
      <c r="I60" s="3280"/>
      <c r="J60" s="3280"/>
      <c r="K60" s="3280"/>
      <c r="L60" s="3280"/>
      <c r="M60" s="3280"/>
      <c r="N60" s="3280"/>
      <c r="O60" s="3280"/>
      <c r="P60" s="3280"/>
      <c r="Q60" s="3280"/>
      <c r="R60" s="3280"/>
      <c r="S60" s="3280"/>
      <c r="T60" s="3641"/>
      <c r="V60" s="4934"/>
      <c r="W60" s="4936"/>
      <c r="X60" s="4924"/>
      <c r="Y60" s="4924"/>
      <c r="Z60" s="4924"/>
      <c r="AA60" s="3795"/>
      <c r="AB60" s="3666"/>
      <c r="AC60" s="3666"/>
      <c r="AD60" s="3667"/>
      <c r="AJ60" s="3669"/>
      <c r="AL60" s="3639">
        <v>102</v>
      </c>
      <c r="AM60" s="3639">
        <f t="shared" si="30"/>
        <v>160.14000000000001</v>
      </c>
    </row>
    <row r="61" spans="1:54" ht="14.1" customHeight="1">
      <c r="A61" s="3290"/>
      <c r="B61" s="3609" t="s">
        <v>315</v>
      </c>
      <c r="C61" s="3610"/>
      <c r="D61" s="3611" t="s">
        <v>1</v>
      </c>
      <c r="E61" s="3796">
        <f>IF(OR(E58="", E60="", E60=0), "", (E58/E60)*100)</f>
        <v>40.406105205778161</v>
      </c>
      <c r="F61" s="3796"/>
      <c r="G61" s="3280"/>
      <c r="H61" s="3280"/>
      <c r="I61" s="3280"/>
      <c r="J61" s="3280"/>
      <c r="K61" s="3280"/>
      <c r="L61" s="3280"/>
      <c r="M61" s="3280"/>
      <c r="N61" s="3280"/>
      <c r="O61" s="3280"/>
      <c r="P61" s="3280"/>
      <c r="Q61" s="3280"/>
      <c r="R61" s="3280"/>
      <c r="S61" s="3280"/>
      <c r="T61" s="3641"/>
      <c r="V61" s="4934"/>
      <c r="W61" s="3797" t="s">
        <v>1430</v>
      </c>
      <c r="X61" s="3797" t="s">
        <v>1432</v>
      </c>
      <c r="Y61" s="3797"/>
      <c r="Z61" s="3797" t="s">
        <v>1</v>
      </c>
      <c r="AJ61" s="3669"/>
      <c r="AL61" s="3639">
        <v>110</v>
      </c>
      <c r="AM61" s="3639">
        <f t="shared" si="30"/>
        <v>172.70000000000002</v>
      </c>
      <c r="BA61" s="3694"/>
      <c r="BB61" s="3666"/>
    </row>
    <row r="62" spans="1:54" ht="14.1" customHeight="1">
      <c r="A62" s="3290"/>
      <c r="B62" s="3280"/>
      <c r="C62" s="3280"/>
      <c r="D62" s="3280"/>
      <c r="E62" s="3280"/>
      <c r="F62" s="3613"/>
      <c r="G62" s="3280"/>
      <c r="H62" s="3280"/>
      <c r="I62" s="3280"/>
      <c r="J62" s="3280"/>
      <c r="K62" s="3280"/>
      <c r="L62" s="3280"/>
      <c r="M62" s="3280"/>
      <c r="N62" s="3280"/>
      <c r="O62" s="3280"/>
      <c r="P62" s="3280"/>
      <c r="Q62" s="3280"/>
      <c r="R62" s="3280"/>
      <c r="S62" s="3280"/>
      <c r="T62" s="3641"/>
      <c r="V62" s="4934"/>
      <c r="W62" s="3740">
        <v>0.1</v>
      </c>
      <c r="X62" s="3798">
        <f>AQ37</f>
        <v>260.13624027024133</v>
      </c>
      <c r="Y62" s="3799">
        <v>1000</v>
      </c>
      <c r="Z62" s="3800">
        <f>+X62/Y62*100</f>
        <v>26.013624027024136</v>
      </c>
      <c r="AA62" s="3667"/>
      <c r="AJ62" s="3669"/>
      <c r="BA62" s="3694"/>
      <c r="BB62" s="3666"/>
    </row>
    <row r="63" spans="1:54" ht="14.1" customHeight="1">
      <c r="A63" s="3290"/>
      <c r="B63" s="3280"/>
      <c r="C63" s="3280"/>
      <c r="D63" s="3280"/>
      <c r="E63" s="3280"/>
      <c r="F63" s="3613"/>
      <c r="G63" s="3280"/>
      <c r="H63" s="3280"/>
      <c r="I63" s="3280"/>
      <c r="J63" s="3280"/>
      <c r="K63" s="3280"/>
      <c r="L63" s="3280"/>
      <c r="M63" s="3280"/>
      <c r="N63" s="3280"/>
      <c r="O63" s="3280"/>
      <c r="P63" s="3280"/>
      <c r="Q63" s="3280"/>
      <c r="R63" s="3280"/>
      <c r="S63" s="3280"/>
      <c r="T63" s="3641"/>
      <c r="V63" s="4935"/>
      <c r="W63" s="3763">
        <v>0.2</v>
      </c>
      <c r="X63" s="3801">
        <f>AQ39</f>
        <v>440.23056045733136</v>
      </c>
      <c r="Y63" s="3802">
        <v>1500</v>
      </c>
      <c r="Z63" s="3803">
        <f>+X63/Y63*100</f>
        <v>29.348704030488758</v>
      </c>
      <c r="AA63" s="3753"/>
      <c r="AE63" s="3753"/>
      <c r="AF63" s="3753"/>
      <c r="AG63" s="3753"/>
      <c r="AH63" s="3753"/>
      <c r="AI63" s="3753"/>
      <c r="AJ63" s="3804"/>
      <c r="AK63" s="3754"/>
      <c r="BA63" s="3694"/>
      <c r="BB63" s="3666"/>
    </row>
    <row r="64" spans="1:54" ht="14.1" customHeight="1">
      <c r="A64" s="3290"/>
      <c r="B64" s="4929" t="s">
        <v>1439</v>
      </c>
      <c r="C64" s="4907" t="s">
        <v>1426</v>
      </c>
      <c r="D64" s="4907" t="s">
        <v>166</v>
      </c>
      <c r="E64" s="4907" t="s">
        <v>1440</v>
      </c>
      <c r="F64" s="4907" t="s">
        <v>1347</v>
      </c>
      <c r="G64" s="3280"/>
      <c r="H64" s="3280"/>
      <c r="I64" s="3280"/>
      <c r="J64" s="3280"/>
      <c r="K64" s="3280"/>
      <c r="L64" s="3280"/>
      <c r="M64" s="3280"/>
      <c r="N64" s="3280"/>
      <c r="O64" s="3280"/>
      <c r="P64" s="3280"/>
      <c r="Q64" s="3280"/>
      <c r="R64" s="3280"/>
      <c r="S64" s="3280"/>
      <c r="T64" s="3641"/>
      <c r="AA64" s="3753"/>
      <c r="AE64" s="3753"/>
      <c r="AF64" s="3753"/>
      <c r="AG64" s="3753"/>
      <c r="AH64" s="3753"/>
      <c r="AI64" s="3753"/>
      <c r="AJ64" s="3804"/>
      <c r="AK64" s="3754"/>
      <c r="BA64" s="3694"/>
      <c r="BB64" s="3666"/>
    </row>
    <row r="65" spans="1:54" ht="14.1" customHeight="1">
      <c r="A65" s="3290"/>
      <c r="B65" s="4930"/>
      <c r="C65" s="4908"/>
      <c r="D65" s="4908"/>
      <c r="E65" s="4908"/>
      <c r="F65" s="4908"/>
      <c r="G65" s="3280"/>
      <c r="H65" s="3280"/>
      <c r="I65" s="3280"/>
      <c r="J65" s="3280"/>
      <c r="K65" s="3280"/>
      <c r="L65" s="3280"/>
      <c r="M65" s="3280"/>
      <c r="N65" s="3280"/>
      <c r="O65" s="3280"/>
      <c r="P65" s="3280"/>
      <c r="Q65" s="3280"/>
      <c r="R65" s="3280"/>
      <c r="S65" s="3280"/>
      <c r="T65" s="3641"/>
      <c r="AA65" s="3754"/>
      <c r="AE65" s="3754"/>
      <c r="AF65" s="3754"/>
      <c r="AG65" s="3754"/>
      <c r="AH65" s="3754"/>
      <c r="AI65" s="3754"/>
      <c r="AJ65" s="3805"/>
      <c r="AK65" s="3754"/>
      <c r="BA65" s="3694"/>
      <c r="BB65" s="3666"/>
    </row>
    <row r="66" spans="1:54" ht="14.1" customHeight="1">
      <c r="A66" s="3373"/>
      <c r="B66" s="4930"/>
      <c r="C66" s="3620" t="s">
        <v>1430</v>
      </c>
      <c r="D66" s="3620" t="s">
        <v>1432</v>
      </c>
      <c r="E66" s="3620"/>
      <c r="F66" s="3620" t="s">
        <v>1</v>
      </c>
      <c r="G66" s="3279"/>
      <c r="H66" s="3279"/>
      <c r="I66" s="3279"/>
      <c r="J66" s="3279"/>
      <c r="K66" s="3279"/>
      <c r="L66" s="3081"/>
      <c r="M66" s="3081"/>
      <c r="N66" s="3081"/>
      <c r="O66" s="3279"/>
      <c r="P66" s="3279"/>
      <c r="Q66" s="3279"/>
      <c r="R66" s="3279"/>
      <c r="S66" s="3279"/>
      <c r="T66" s="3641"/>
      <c r="U66" s="3660"/>
      <c r="V66" s="3660"/>
      <c r="W66" s="3660"/>
      <c r="X66" s="3660"/>
      <c r="Y66" s="3660"/>
      <c r="Z66" s="3660"/>
      <c r="AA66" s="3806"/>
      <c r="AB66" s="3660"/>
      <c r="AC66" s="3807"/>
      <c r="AD66" s="3807"/>
      <c r="AE66" s="3806"/>
      <c r="AF66" s="3806"/>
      <c r="AG66" s="3806"/>
      <c r="AH66" s="3806"/>
      <c r="AI66" s="3806"/>
      <c r="AJ66" s="3808"/>
      <c r="AK66" s="3754"/>
      <c r="BA66" s="3694"/>
      <c r="BB66" s="3666"/>
    </row>
    <row r="67" spans="1:54" ht="14.1" customHeight="1">
      <c r="A67" s="3373"/>
      <c r="B67" s="4930"/>
      <c r="C67" s="3550">
        <v>0.1</v>
      </c>
      <c r="D67" s="3809">
        <f>F47</f>
        <v>252.39818629215435</v>
      </c>
      <c r="E67" s="3810">
        <v>1000</v>
      </c>
      <c r="F67" s="3551">
        <f>+D67/E67*100</f>
        <v>25.239818629215431</v>
      </c>
      <c r="G67" s="3279"/>
      <c r="H67" s="3279"/>
      <c r="I67" s="3279"/>
      <c r="J67" s="3279"/>
      <c r="K67" s="3279"/>
      <c r="L67" s="3081"/>
      <c r="M67" s="3081"/>
      <c r="N67" s="3081"/>
      <c r="O67" s="3279"/>
      <c r="P67" s="3279"/>
      <c r="Q67" s="3279"/>
      <c r="R67" s="3279"/>
      <c r="S67" s="3279"/>
      <c r="T67" s="3641"/>
      <c r="AA67" s="3754"/>
      <c r="AE67" s="3754"/>
      <c r="AF67" s="3754"/>
      <c r="AG67" s="3754"/>
      <c r="AH67" s="3754"/>
      <c r="AI67" s="3754"/>
      <c r="AJ67" s="3805"/>
      <c r="AK67" s="3754"/>
      <c r="AM67" s="3648"/>
      <c r="BA67" s="3694"/>
      <c r="BB67" s="3666"/>
    </row>
    <row r="68" spans="1:54" ht="14.1" customHeight="1">
      <c r="A68" s="3373"/>
      <c r="B68" s="4931"/>
      <c r="C68" s="3583">
        <v>0.2</v>
      </c>
      <c r="D68" s="3811">
        <f>F49</f>
        <v>430.01172479404067</v>
      </c>
      <c r="E68" s="3812">
        <v>1500</v>
      </c>
      <c r="F68" s="3796">
        <f>+D68/E68*100</f>
        <v>28.667448319602713</v>
      </c>
      <c r="G68" s="3279"/>
      <c r="H68" s="3279"/>
      <c r="I68" s="3279"/>
      <c r="J68" s="3279"/>
      <c r="K68" s="3279"/>
      <c r="L68" s="3081"/>
      <c r="M68" s="3081"/>
      <c r="N68" s="3081"/>
      <c r="O68" s="3279"/>
      <c r="P68" s="3279"/>
      <c r="Q68" s="3279"/>
      <c r="R68" s="3279"/>
      <c r="S68" s="3279"/>
      <c r="T68" s="3641"/>
      <c r="AA68" s="3754"/>
      <c r="AE68" s="3754"/>
      <c r="AF68" s="3754"/>
      <c r="AG68" s="3754"/>
      <c r="AH68" s="3754"/>
      <c r="AI68" s="3754"/>
      <c r="AJ68" s="3805"/>
      <c r="AK68" s="3754"/>
      <c r="AM68" s="3648"/>
      <c r="BA68" s="3694"/>
      <c r="BB68" s="3666"/>
    </row>
    <row r="69" spans="1:54" ht="14.1" customHeight="1">
      <c r="A69" s="3373"/>
      <c r="B69" s="3280"/>
      <c r="C69" s="3280"/>
      <c r="D69" s="3280"/>
      <c r="E69" s="3280"/>
      <c r="F69" s="3280"/>
      <c r="G69" s="3279"/>
      <c r="H69" s="3279"/>
      <c r="I69" s="3279"/>
      <c r="J69" s="3279"/>
      <c r="K69" s="3279"/>
      <c r="L69" s="3081"/>
      <c r="M69" s="3081"/>
      <c r="N69" s="3081"/>
      <c r="O69" s="3279"/>
      <c r="P69" s="3279"/>
      <c r="Q69" s="3279"/>
      <c r="R69" s="3279"/>
      <c r="S69" s="3279"/>
      <c r="T69" s="3641"/>
      <c r="V69" s="3648"/>
      <c r="W69" s="3648"/>
      <c r="X69" s="3648"/>
      <c r="AJ69" s="3669"/>
      <c r="AM69" s="3648"/>
      <c r="BA69" s="3694"/>
      <c r="BB69" s="3666"/>
    </row>
    <row r="70" spans="1:54" ht="14.1" customHeight="1">
      <c r="A70" s="3813"/>
      <c r="T70" s="3641"/>
      <c r="U70" s="3660"/>
      <c r="V70" s="3660"/>
      <c r="W70" s="3660"/>
      <c r="X70" s="3660"/>
      <c r="Y70" s="3660"/>
      <c r="Z70" s="3660"/>
      <c r="AA70" s="3660"/>
      <c r="AB70" s="3660"/>
      <c r="AC70" s="3807"/>
      <c r="AD70" s="3807"/>
      <c r="AE70" s="3807"/>
      <c r="AF70" s="3807"/>
      <c r="AG70" s="3807"/>
      <c r="AH70" s="3807"/>
      <c r="AI70" s="3807"/>
      <c r="AJ70" s="3814"/>
      <c r="AM70" s="3648"/>
      <c r="BA70" s="3694"/>
      <c r="BB70" s="3666"/>
    </row>
    <row r="71" spans="1:54" ht="12" customHeight="1">
      <c r="A71" s="3813"/>
      <c r="T71" s="3641"/>
      <c r="Z71" s="3666"/>
      <c r="AA71" s="3666"/>
      <c r="AH71" s="3667" t="s">
        <v>1448</v>
      </c>
      <c r="AI71" s="3667"/>
      <c r="AJ71" s="3667"/>
      <c r="AL71" s="3666"/>
      <c r="AM71" s="3648"/>
      <c r="BA71" s="3694"/>
      <c r="BB71" s="3666"/>
    </row>
    <row r="72" spans="1:54" ht="12" customHeight="1">
      <c r="A72" s="3813"/>
      <c r="T72" s="3641"/>
      <c r="AL72" s="3674"/>
      <c r="AM72" s="3648"/>
      <c r="AN72" s="3667"/>
      <c r="AO72" s="3667"/>
      <c r="AP72" s="3667"/>
      <c r="AQ72" s="3667"/>
      <c r="AR72" s="3667"/>
      <c r="AS72" s="3667"/>
      <c r="AT72" s="3667"/>
      <c r="AU72" s="3667"/>
      <c r="AV72" s="3667"/>
      <c r="AW72" s="3667"/>
      <c r="AX72" s="3667"/>
      <c r="AY72" s="3667"/>
      <c r="BA72" s="3694"/>
      <c r="BB72" s="3666"/>
    </row>
    <row r="73" spans="1:54" ht="12" customHeight="1">
      <c r="A73" s="3813"/>
      <c r="T73" s="3641"/>
      <c r="U73" s="3676"/>
      <c r="X73" s="3750"/>
      <c r="Y73" s="3815"/>
      <c r="Z73" s="3667"/>
      <c r="AA73" s="3667"/>
      <c r="AK73" s="3667"/>
      <c r="AL73" s="3667"/>
      <c r="AM73" s="3648"/>
      <c r="AN73" s="3667"/>
      <c r="AO73" s="3667"/>
      <c r="AP73" s="3667"/>
      <c r="AQ73" s="3667"/>
      <c r="AR73" s="3667"/>
      <c r="AS73" s="3667"/>
      <c r="AT73" s="3667"/>
      <c r="AU73" s="3667"/>
      <c r="AV73" s="3667"/>
      <c r="AW73" s="3667"/>
      <c r="AX73" s="3667"/>
      <c r="AY73" s="3667"/>
      <c r="BA73" s="3694"/>
      <c r="BB73" s="3666"/>
    </row>
    <row r="74" spans="1:54" ht="12" customHeight="1">
      <c r="A74" s="3813"/>
      <c r="T74" s="3641"/>
      <c r="AM74" s="3648"/>
      <c r="BA74" s="3694"/>
      <c r="BB74" s="3666"/>
    </row>
    <row r="75" spans="1:54" ht="12" customHeight="1">
      <c r="A75" s="3813"/>
      <c r="T75" s="3641"/>
      <c r="AM75" s="3648"/>
      <c r="BA75" s="3694"/>
      <c r="BB75" s="3666"/>
    </row>
    <row r="76" spans="1:54" ht="12" customHeight="1">
      <c r="A76" s="3813"/>
      <c r="T76" s="3641"/>
      <c r="AM76" s="3648"/>
    </row>
    <row r="77" spans="1:54" ht="12" customHeight="1">
      <c r="A77" s="3813"/>
      <c r="T77" s="3641"/>
      <c r="V77" s="3640"/>
      <c r="W77" s="3640"/>
      <c r="X77" s="3640"/>
      <c r="Y77" s="3640"/>
      <c r="Z77" s="3640"/>
      <c r="AA77" s="3640"/>
      <c r="AB77" s="3640"/>
      <c r="AE77" s="3666"/>
      <c r="AF77" s="3666"/>
      <c r="AM77" s="3648"/>
    </row>
    <row r="78" spans="1:54" ht="12" customHeight="1">
      <c r="A78" s="3813"/>
      <c r="T78" s="3641"/>
      <c r="V78" s="3640"/>
      <c r="W78" s="3640"/>
      <c r="X78" s="3640"/>
      <c r="Y78" s="3640"/>
      <c r="Z78" s="3640"/>
      <c r="AA78" s="3640"/>
      <c r="AB78" s="3640"/>
      <c r="AE78" s="3666"/>
      <c r="AF78" s="3639"/>
    </row>
    <row r="79" spans="1:54" ht="12" customHeight="1">
      <c r="A79" s="3813"/>
      <c r="T79" s="3641"/>
      <c r="V79" s="3640"/>
      <c r="W79" s="3640"/>
      <c r="X79" s="3640"/>
      <c r="Y79" s="3640"/>
      <c r="Z79" s="3640"/>
      <c r="AA79" s="3640"/>
      <c r="AB79" s="3640"/>
      <c r="AE79" s="3666"/>
      <c r="AF79" s="3666"/>
    </row>
    <row r="80" spans="1:54" ht="12" customHeight="1">
      <c r="A80" s="3813"/>
      <c r="T80" s="3641"/>
      <c r="X80" s="3755"/>
      <c r="Y80" s="3755"/>
      <c r="Z80" s="3755"/>
      <c r="AA80" s="3755"/>
      <c r="AB80" s="3755"/>
      <c r="AC80" s="3755"/>
      <c r="AD80" s="3755"/>
    </row>
    <row r="81" spans="1:30" ht="12" customHeight="1">
      <c r="A81" s="3813"/>
      <c r="T81" s="3641"/>
      <c r="X81" s="3755"/>
      <c r="Y81" s="3755"/>
      <c r="Z81" s="3755"/>
      <c r="AA81" s="3755"/>
      <c r="AB81" s="3755"/>
      <c r="AC81" s="3755"/>
      <c r="AD81" s="3755"/>
    </row>
    <row r="82" spans="1:30" ht="12" customHeight="1">
      <c r="A82" s="3813"/>
      <c r="T82" s="3641"/>
    </row>
    <row r="83" spans="1:30" ht="12" customHeight="1">
      <c r="A83" s="3813"/>
      <c r="T83" s="3641"/>
    </row>
    <row r="84" spans="1:30" ht="12" customHeight="1">
      <c r="A84" s="3816"/>
      <c r="B84" s="3660"/>
      <c r="C84" s="3660"/>
      <c r="D84" s="3660"/>
      <c r="E84" s="3660"/>
      <c r="F84" s="3660"/>
      <c r="G84" s="3660"/>
      <c r="H84" s="3660"/>
      <c r="I84" s="3660"/>
      <c r="J84" s="3660"/>
      <c r="K84" s="3660"/>
      <c r="L84" s="3660"/>
      <c r="M84" s="3660"/>
      <c r="N84" s="3660"/>
      <c r="O84" s="3660"/>
      <c r="P84" s="3660"/>
      <c r="Q84" s="3660"/>
      <c r="R84" s="3660"/>
      <c r="S84" s="3660"/>
      <c r="T84" s="3817"/>
    </row>
    <row r="85" spans="1:30" ht="12" customHeight="1">
      <c r="A85" s="3813"/>
      <c r="S85" s="3641"/>
      <c r="U85" s="3818"/>
    </row>
    <row r="86" spans="1:30" ht="12" customHeight="1">
      <c r="A86" s="3813"/>
      <c r="S86" s="3641"/>
      <c r="U86" s="3818"/>
    </row>
    <row r="87" spans="1:30" ht="12" customHeight="1">
      <c r="A87" s="3813"/>
      <c r="S87" s="3641"/>
    </row>
    <row r="88" spans="1:30" ht="12" customHeight="1">
      <c r="A88" s="3816"/>
      <c r="B88" s="3660"/>
      <c r="C88" s="3660"/>
      <c r="D88" s="3660"/>
      <c r="E88" s="3660"/>
      <c r="F88" s="3660"/>
      <c r="G88" s="3660"/>
      <c r="H88" s="3660"/>
      <c r="I88" s="3660"/>
      <c r="J88" s="3660"/>
      <c r="K88" s="3660"/>
      <c r="L88" s="3660"/>
      <c r="M88" s="3660"/>
      <c r="N88" s="3660"/>
      <c r="O88" s="3660"/>
      <c r="P88" s="3660"/>
      <c r="Q88" s="3660"/>
      <c r="R88" s="3660"/>
      <c r="S88" s="3817"/>
    </row>
    <row r="89" spans="1:30" ht="12" customHeight="1"/>
    <row r="90" spans="1:30" ht="12" customHeight="1"/>
    <row r="91" spans="1:30" ht="12" customHeight="1"/>
    <row r="92" spans="1:30" ht="12" customHeight="1"/>
    <row r="93" spans="1:30" ht="12" customHeight="1"/>
    <row r="94" spans="1:30" ht="12" customHeight="1"/>
    <row r="95" spans="1:30" ht="12" customHeight="1"/>
    <row r="96" spans="1:30" ht="12" customHeight="1"/>
    <row r="97" ht="12" customHeight="1"/>
    <row r="98" ht="12" customHeight="1"/>
    <row r="99" ht="12" customHeight="1"/>
  </sheetData>
  <mergeCells count="42">
    <mergeCell ref="AA56:AB56"/>
    <mergeCell ref="AA57:AB57"/>
    <mergeCell ref="AA58:AB58"/>
    <mergeCell ref="Y31:Y33"/>
    <mergeCell ref="Z31:Z33"/>
    <mergeCell ref="AA54:AB54"/>
    <mergeCell ref="AA59:AB59"/>
    <mergeCell ref="V59:V63"/>
    <mergeCell ref="W59:W60"/>
    <mergeCell ref="X59:X60"/>
    <mergeCell ref="Y59:Y60"/>
    <mergeCell ref="Z59:Z60"/>
    <mergeCell ref="B64:B68"/>
    <mergeCell ref="C64:C65"/>
    <mergeCell ref="D64:D65"/>
    <mergeCell ref="E64:E65"/>
    <mergeCell ref="F64:F65"/>
    <mergeCell ref="AA55:AB55"/>
    <mergeCell ref="B35:C35"/>
    <mergeCell ref="B36:C36"/>
    <mergeCell ref="H36:H37"/>
    <mergeCell ref="X31:X33"/>
    <mergeCell ref="B38:B40"/>
    <mergeCell ref="C38:C40"/>
    <mergeCell ref="D38:D40"/>
    <mergeCell ref="E38:E40"/>
    <mergeCell ref="F38:F40"/>
    <mergeCell ref="B8:S8"/>
    <mergeCell ref="B9:S9"/>
    <mergeCell ref="V31:V33"/>
    <mergeCell ref="W31:W33"/>
    <mergeCell ref="O12:R12"/>
    <mergeCell ref="O13:S13"/>
    <mergeCell ref="O14:S14"/>
    <mergeCell ref="O15:S15"/>
    <mergeCell ref="O16:S16"/>
    <mergeCell ref="D6:S6"/>
    <mergeCell ref="B1:H1"/>
    <mergeCell ref="D2:S2"/>
    <mergeCell ref="D3:S3"/>
    <mergeCell ref="D4:S4"/>
    <mergeCell ref="D5:S5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77" fitToHeight="0" orientation="portrait" r:id="rId1"/>
  <headerFooter scaleWithDoc="0">
    <oddFooter>&amp;L&amp;8
&amp;R&amp;"Aptos,Regular"&amp;8Page &amp;P of &amp;N</oddFooter>
  </headerFooter>
  <drawing r:id="rId2"/>
  <legacyDrawing r:id="rId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FBD6-9B2A-4189-8B30-F311C512EA5B}">
  <sheetPr>
    <pageSetUpPr fitToPage="1"/>
  </sheetPr>
  <dimension ref="A1:CC98"/>
  <sheetViews>
    <sheetView showGridLines="0" zoomScaleNormal="100" zoomScaleSheetLayoutView="100" workbookViewId="0">
      <selection activeCell="D2" sqref="D2:S6"/>
    </sheetView>
  </sheetViews>
  <sheetFormatPr defaultColWidth="8" defaultRowHeight="11.25"/>
  <cols>
    <col min="1" max="1" width="1" style="3639" customWidth="1"/>
    <col min="2" max="2" width="8" style="3639"/>
    <col min="3" max="3" width="11.625" style="3639" customWidth="1"/>
    <col min="4" max="4" width="8" style="3639" customWidth="1"/>
    <col min="5" max="7" width="8" style="3639"/>
    <col min="8" max="8" width="3.25" style="3639" customWidth="1"/>
    <col min="9" max="12" width="7" style="3639" customWidth="1"/>
    <col min="13" max="13" width="9.125" style="3639" customWidth="1"/>
    <col min="14" max="14" width="1.375" style="3639" customWidth="1"/>
    <col min="15" max="15" width="5.375" style="3639" customWidth="1"/>
    <col min="16" max="16" width="1.25" style="3639" customWidth="1"/>
    <col min="17" max="17" width="9.625" style="3639" customWidth="1"/>
    <col min="18" max="18" width="2.25" style="3639" customWidth="1"/>
    <col min="19" max="19" width="1.125" style="3639" customWidth="1"/>
    <col min="20" max="20" width="1" style="3639" customWidth="1"/>
    <col min="21" max="21" width="2.375" style="3639" customWidth="1"/>
    <col min="22" max="22" width="9.375" style="3639" customWidth="1"/>
    <col min="23" max="26" width="7.625" style="3639" customWidth="1"/>
    <col min="27" max="27" width="2.375" style="3639" customWidth="1"/>
    <col min="28" max="28" width="5.875" style="3639" customWidth="1"/>
    <col min="29" max="29" width="3.25" style="3640" customWidth="1"/>
    <col min="30" max="30" width="8.5" style="3640" customWidth="1"/>
    <col min="31" max="35" width="5" style="3640" customWidth="1"/>
    <col min="36" max="36" width="3.25" style="3640" customWidth="1"/>
    <col min="37" max="37" width="7.625" style="3639" customWidth="1"/>
    <col min="38" max="38" width="10" style="3639" customWidth="1"/>
    <col min="39" max="39" width="8" style="3639"/>
    <col min="40" max="40" width="11.5" style="3639" customWidth="1"/>
    <col min="41" max="51" width="8" style="3639"/>
    <col min="52" max="52" width="8.25" style="3639" customWidth="1"/>
    <col min="53" max="16384" width="8" style="3639"/>
  </cols>
  <sheetData>
    <row r="1" spans="1:56" ht="6.75" customHeight="1">
      <c r="A1" s="3404"/>
      <c r="B1" s="4884"/>
      <c r="C1" s="4884"/>
      <c r="D1" s="4884"/>
      <c r="E1" s="4884"/>
      <c r="F1" s="4884"/>
      <c r="G1" s="4884"/>
      <c r="H1" s="4884"/>
      <c r="I1" s="3406"/>
      <c r="J1" s="3406"/>
      <c r="K1" s="3406"/>
      <c r="L1" s="3406"/>
      <c r="M1" s="3406"/>
      <c r="N1" s="3405"/>
      <c r="O1" s="3405"/>
      <c r="P1" s="3405"/>
      <c r="Q1" s="3405"/>
      <c r="R1" s="3405"/>
      <c r="S1" s="3405"/>
      <c r="T1" s="3638"/>
    </row>
    <row r="2" spans="1:56" ht="14.1" customHeight="1">
      <c r="A2" s="3410"/>
      <c r="B2" s="3411"/>
      <c r="C2" s="3412"/>
      <c r="D2" s="4888" t="s">
        <v>821</v>
      </c>
      <c r="E2" s="4889"/>
      <c r="F2" s="4889"/>
      <c r="G2" s="4889"/>
      <c r="H2" s="4889"/>
      <c r="I2" s="4889"/>
      <c r="J2" s="4889"/>
      <c r="K2" s="4889"/>
      <c r="L2" s="4889"/>
      <c r="M2" s="4889"/>
      <c r="N2" s="4889"/>
      <c r="O2" s="4889"/>
      <c r="P2" s="4889"/>
      <c r="Q2" s="4889"/>
      <c r="R2" s="4889"/>
      <c r="S2" s="4890"/>
      <c r="T2" s="3641"/>
      <c r="U2" s="3642"/>
      <c r="V2" s="3642"/>
      <c r="W2" s="3642"/>
      <c r="X2" s="3642"/>
      <c r="Y2" s="3642"/>
      <c r="Z2" s="3642"/>
      <c r="AA2" s="3642"/>
      <c r="AB2" s="3643" t="s">
        <v>1380</v>
      </c>
      <c r="AC2" s="3644"/>
      <c r="AD2" s="3645"/>
      <c r="AE2" s="3645"/>
      <c r="AF2" s="3646"/>
      <c r="AG2" s="3644"/>
      <c r="AH2" s="3644"/>
      <c r="AI2" s="3644"/>
      <c r="AJ2" s="3647"/>
      <c r="AM2" s="3648"/>
    </row>
    <row r="3" spans="1:56" ht="14.1" customHeight="1">
      <c r="A3" s="3410"/>
      <c r="B3" s="3998"/>
      <c r="C3" s="3996"/>
      <c r="D3" s="4891" t="s">
        <v>819</v>
      </c>
      <c r="E3" s="4892"/>
      <c r="F3" s="4892"/>
      <c r="G3" s="4892"/>
      <c r="H3" s="4892"/>
      <c r="I3" s="4892"/>
      <c r="J3" s="4892"/>
      <c r="K3" s="4892"/>
      <c r="L3" s="4892"/>
      <c r="M3" s="4892"/>
      <c r="N3" s="4892"/>
      <c r="O3" s="4892"/>
      <c r="P3" s="4892"/>
      <c r="Q3" s="4892"/>
      <c r="R3" s="4892"/>
      <c r="S3" s="4893"/>
      <c r="T3" s="3641"/>
      <c r="AB3" s="3649" t="s">
        <v>1381</v>
      </c>
      <c r="AC3" s="3650"/>
      <c r="AD3" s="3651"/>
      <c r="AE3" s="3651"/>
      <c r="AF3" s="3652"/>
      <c r="AG3" s="3650"/>
      <c r="AH3" s="3650"/>
      <c r="AI3" s="3650"/>
      <c r="AJ3" s="3653"/>
      <c r="AM3" s="3648"/>
    </row>
    <row r="4" spans="1:56" ht="14.1" customHeight="1">
      <c r="A4" s="3410"/>
      <c r="B4" s="3998"/>
      <c r="C4" s="3996"/>
      <c r="D4" s="4891" t="s">
        <v>820</v>
      </c>
      <c r="E4" s="4892"/>
      <c r="F4" s="4892"/>
      <c r="G4" s="4892"/>
      <c r="H4" s="4892"/>
      <c r="I4" s="4892"/>
      <c r="J4" s="4892"/>
      <c r="K4" s="4892"/>
      <c r="L4" s="4892"/>
      <c r="M4" s="4892"/>
      <c r="N4" s="4892"/>
      <c r="O4" s="4892"/>
      <c r="P4" s="4892"/>
      <c r="Q4" s="4892"/>
      <c r="R4" s="4892"/>
      <c r="S4" s="4893"/>
      <c r="T4" s="3641"/>
      <c r="AB4" s="3654" t="s">
        <v>1382</v>
      </c>
      <c r="AC4" s="3650"/>
      <c r="AD4" s="3652"/>
      <c r="AE4" s="3652"/>
      <c r="AF4" s="3654" t="str">
        <f>'10x'!AH4</f>
        <v>Date                : 16-10-2017</v>
      </c>
      <c r="AH4" s="3655"/>
      <c r="AI4" s="3650"/>
      <c r="AJ4" s="3656"/>
      <c r="AK4" s="3657"/>
      <c r="AL4" s="3658"/>
      <c r="AM4" s="3659"/>
      <c r="AN4" s="3658"/>
      <c r="AO4" s="3658"/>
      <c r="AV4" s="3658"/>
      <c r="AW4" s="3658"/>
      <c r="AX4" s="3658"/>
      <c r="AY4" s="3658"/>
    </row>
    <row r="5" spans="1:56" ht="15.75">
      <c r="A5" s="3410"/>
      <c r="B5" s="3998"/>
      <c r="C5" s="3996"/>
      <c r="D5" s="4891" t="s">
        <v>830</v>
      </c>
      <c r="E5" s="4892"/>
      <c r="F5" s="4892"/>
      <c r="G5" s="4892"/>
      <c r="H5" s="4892"/>
      <c r="I5" s="4892"/>
      <c r="J5" s="4892"/>
      <c r="K5" s="4892"/>
      <c r="L5" s="4892"/>
      <c r="M5" s="4892"/>
      <c r="N5" s="4892"/>
      <c r="O5" s="4892"/>
      <c r="P5" s="4892"/>
      <c r="Q5" s="4892"/>
      <c r="R5" s="4892"/>
      <c r="S5" s="4893"/>
      <c r="T5" s="3641"/>
      <c r="U5" s="3660"/>
      <c r="V5" s="3660"/>
      <c r="W5" s="3660"/>
      <c r="X5" s="3660"/>
      <c r="Y5" s="3660"/>
      <c r="Z5" s="3660"/>
      <c r="AA5" s="3660"/>
      <c r="AB5" s="3661" t="s">
        <v>1384</v>
      </c>
      <c r="AC5" s="3662"/>
      <c r="AD5" s="3663"/>
      <c r="AE5" s="3663"/>
      <c r="AF5" s="3661" t="s">
        <v>1385</v>
      </c>
      <c r="AG5" s="3662"/>
      <c r="AH5" s="3664" t="e">
        <f>#REF!</f>
        <v>#REF!</v>
      </c>
      <c r="AI5" s="3662"/>
      <c r="AJ5" s="3665"/>
      <c r="AK5" s="3666"/>
      <c r="AL5" s="3667"/>
      <c r="AM5" s="3648"/>
      <c r="AN5" s="3668"/>
      <c r="AO5" s="3668"/>
      <c r="AV5" s="3668"/>
      <c r="AW5" s="3668"/>
      <c r="AX5" s="3667"/>
      <c r="AY5" s="3667"/>
    </row>
    <row r="6" spans="1:56" ht="15.75">
      <c r="A6" s="3410"/>
      <c r="B6" s="3999"/>
      <c r="C6" s="4000"/>
      <c r="D6" s="4894" t="s">
        <v>827</v>
      </c>
      <c r="E6" s="4895"/>
      <c r="F6" s="4895"/>
      <c r="G6" s="4895"/>
      <c r="H6" s="4895"/>
      <c r="I6" s="4895"/>
      <c r="J6" s="4895"/>
      <c r="K6" s="4895"/>
      <c r="L6" s="4895"/>
      <c r="M6" s="4895"/>
      <c r="N6" s="4895"/>
      <c r="O6" s="4895"/>
      <c r="P6" s="4895"/>
      <c r="Q6" s="4895"/>
      <c r="R6" s="4895"/>
      <c r="S6" s="4896"/>
      <c r="T6" s="3641"/>
      <c r="AJ6" s="3669"/>
      <c r="AK6" s="3666"/>
      <c r="AM6" s="3648"/>
      <c r="AN6" s="3668"/>
      <c r="AO6" s="3668"/>
      <c r="AV6" s="3668"/>
      <c r="AW6" s="3668"/>
      <c r="BA6" s="3670" t="s">
        <v>1386</v>
      </c>
      <c r="BB6" s="3670"/>
      <c r="BC6" s="3670"/>
      <c r="BD6" s="3670"/>
    </row>
    <row r="7" spans="1:56" ht="4.5" customHeight="1">
      <c r="A7" s="3446"/>
      <c r="B7" s="3447"/>
      <c r="C7" s="3447"/>
      <c r="D7" s="3447"/>
      <c r="E7" s="3447"/>
      <c r="F7" s="3447"/>
      <c r="G7" s="3447"/>
      <c r="H7" s="3447"/>
      <c r="I7" s="3422"/>
      <c r="J7" s="3422"/>
      <c r="K7" s="3422"/>
      <c r="L7" s="3422"/>
      <c r="M7" s="3422"/>
      <c r="N7" s="3448"/>
      <c r="O7" s="3448"/>
      <c r="P7" s="3448"/>
      <c r="Q7" s="3448"/>
      <c r="R7" s="3448"/>
      <c r="S7" s="3448"/>
      <c r="T7" s="3641"/>
      <c r="U7" s="3671" t="s">
        <v>1449</v>
      </c>
      <c r="V7" s="3667"/>
      <c r="W7" s="3667"/>
      <c r="X7" s="3667"/>
      <c r="Y7" s="3667"/>
      <c r="Z7" s="3667"/>
      <c r="AA7" s="3667"/>
      <c r="AB7" s="3667"/>
      <c r="AC7" s="3667"/>
      <c r="AD7" s="3667"/>
      <c r="AE7" s="3667"/>
      <c r="AF7" s="3667"/>
      <c r="AG7" s="3667"/>
      <c r="AH7" s="3667"/>
      <c r="AI7" s="3667"/>
      <c r="AJ7" s="3672"/>
      <c r="AK7" s="3666"/>
      <c r="AM7" s="3648"/>
      <c r="AN7" s="3673"/>
      <c r="AO7" s="3673"/>
      <c r="AV7" s="3673"/>
      <c r="AW7" s="3673"/>
      <c r="BA7" s="3670"/>
      <c r="BB7" s="3670"/>
      <c r="BC7" s="3670"/>
      <c r="BD7" s="3670"/>
    </row>
    <row r="8" spans="1:56" ht="21">
      <c r="A8" s="3278"/>
      <c r="B8" s="4885" t="s">
        <v>1387</v>
      </c>
      <c r="C8" s="4886"/>
      <c r="D8" s="4886"/>
      <c r="E8" s="4886"/>
      <c r="F8" s="4886"/>
      <c r="G8" s="4886"/>
      <c r="H8" s="4886"/>
      <c r="I8" s="4886"/>
      <c r="J8" s="4886"/>
      <c r="K8" s="4886"/>
      <c r="L8" s="4886"/>
      <c r="M8" s="4886"/>
      <c r="N8" s="4886"/>
      <c r="O8" s="4886"/>
      <c r="P8" s="4886"/>
      <c r="Q8" s="4886"/>
      <c r="R8" s="4886"/>
      <c r="S8" s="4887"/>
      <c r="T8" s="3641"/>
      <c r="U8" s="3674" t="s">
        <v>1390</v>
      </c>
      <c r="V8" s="3667"/>
      <c r="W8" s="3667"/>
      <c r="X8" s="3667"/>
      <c r="Y8" s="3667"/>
      <c r="Z8" s="3667"/>
      <c r="AA8" s="3667"/>
      <c r="AB8" s="3667"/>
      <c r="AC8" s="3667"/>
      <c r="AD8" s="3667"/>
      <c r="AE8" s="3667"/>
      <c r="AF8" s="3667"/>
      <c r="AG8" s="3667"/>
      <c r="AH8" s="3667"/>
      <c r="AI8" s="3667"/>
      <c r="AJ8" s="3672"/>
      <c r="AK8" s="3666"/>
      <c r="AM8" s="3648"/>
      <c r="BA8" s="3670"/>
      <c r="BB8" s="3670"/>
      <c r="BC8" s="3670"/>
      <c r="BD8" s="3670"/>
    </row>
    <row r="9" spans="1:56" ht="18.75">
      <c r="A9" s="3278"/>
      <c r="B9" s="4580" t="s">
        <v>1389</v>
      </c>
      <c r="C9" s="4581"/>
      <c r="D9" s="4581"/>
      <c r="E9" s="4581"/>
      <c r="F9" s="4581"/>
      <c r="G9" s="4581"/>
      <c r="H9" s="4581"/>
      <c r="I9" s="4581"/>
      <c r="J9" s="4581"/>
      <c r="K9" s="4581"/>
      <c r="L9" s="4581"/>
      <c r="M9" s="4581"/>
      <c r="N9" s="4581"/>
      <c r="O9" s="4581"/>
      <c r="P9" s="4581"/>
      <c r="Q9" s="4581"/>
      <c r="R9" s="4581"/>
      <c r="S9" s="4582"/>
      <c r="T9" s="3641"/>
      <c r="AJ9" s="3669"/>
      <c r="AM9" s="3648"/>
      <c r="BA9" s="3670"/>
      <c r="BB9" s="3670"/>
      <c r="BC9" s="3670"/>
      <c r="BD9" s="3670"/>
    </row>
    <row r="10" spans="1:56" ht="4.5" customHeight="1">
      <c r="A10" s="3278"/>
      <c r="B10" s="3675"/>
      <c r="C10" s="3675"/>
      <c r="D10" s="3675"/>
      <c r="E10" s="3675"/>
      <c r="F10" s="3675"/>
      <c r="G10" s="3675"/>
      <c r="H10" s="3675"/>
      <c r="I10" s="3675"/>
      <c r="J10" s="3675"/>
      <c r="K10" s="3675"/>
      <c r="L10" s="3675"/>
      <c r="M10" s="3675"/>
      <c r="N10" s="3675"/>
      <c r="O10" s="3675"/>
      <c r="P10" s="3675"/>
      <c r="Q10" s="3675"/>
      <c r="R10" s="3675"/>
      <c r="S10" s="3675"/>
      <c r="T10" s="3641"/>
      <c r="V10" s="3676" t="s">
        <v>1450</v>
      </c>
      <c r="W10" s="3676"/>
      <c r="AJ10" s="3669"/>
      <c r="AK10" s="3640"/>
      <c r="AM10" s="3648"/>
      <c r="BA10" s="3670"/>
      <c r="BB10" s="3670"/>
    </row>
    <row r="11" spans="1:56" ht="15.75" customHeight="1">
      <c r="A11" s="3455"/>
      <c r="B11" s="4050" t="s">
        <v>599</v>
      </c>
      <c r="C11" s="1747"/>
      <c r="D11" s="1747"/>
      <c r="E11" s="4053"/>
      <c r="G11" s="1747"/>
      <c r="H11" s="1747"/>
      <c r="I11" s="1747"/>
      <c r="J11" s="1747"/>
      <c r="K11" s="1747"/>
      <c r="T11" s="3641"/>
      <c r="V11" s="3640" t="s">
        <v>72</v>
      </c>
      <c r="W11" s="3640"/>
      <c r="X11" s="3648" t="e">
        <f>#REF!</f>
        <v>#REF!</v>
      </c>
      <c r="AD11" s="3639"/>
      <c r="AE11" s="3640" t="s">
        <v>1392</v>
      </c>
      <c r="AG11" s="3648" t="e">
        <f>#REF!</f>
        <v>#REF!</v>
      </c>
      <c r="AJ11" s="3669"/>
      <c r="AM11" s="3648"/>
      <c r="BA11" s="3670"/>
      <c r="BB11" s="3670"/>
      <c r="BC11" s="3670"/>
      <c r="BD11" s="3670"/>
    </row>
    <row r="12" spans="1:56" ht="15.75" customHeight="1">
      <c r="A12" s="2748"/>
      <c r="B12" s="4051" t="s">
        <v>600</v>
      </c>
      <c r="C12" s="3280"/>
      <c r="D12" s="3540" t="s">
        <v>27</v>
      </c>
      <c r="E12" s="4050" t="str">
        <f>'25X'!E12</f>
        <v xml:space="preserve">PT Itamatra Nusantara </v>
      </c>
      <c r="G12" s="1742"/>
      <c r="H12" s="1742"/>
      <c r="I12" s="1742"/>
      <c r="J12" s="1742"/>
      <c r="K12" s="1742"/>
      <c r="L12" s="1747" t="s">
        <v>394</v>
      </c>
      <c r="M12" s="1747"/>
      <c r="N12" s="4056" t="s">
        <v>27</v>
      </c>
      <c r="O12" s="1747"/>
      <c r="P12" s="1747"/>
      <c r="Q12" s="1747"/>
      <c r="R12" s="1747"/>
      <c r="S12" s="1747"/>
      <c r="T12" s="3641"/>
      <c r="V12" s="3640" t="s">
        <v>71</v>
      </c>
      <c r="W12" s="3640"/>
      <c r="X12" s="3648" t="e">
        <f>#REF!</f>
        <v>#REF!</v>
      </c>
      <c r="AD12" s="3639"/>
      <c r="AE12" s="3640" t="s">
        <v>1393</v>
      </c>
      <c r="AG12" s="3648" t="e">
        <f>#REF!</f>
        <v>#REF!</v>
      </c>
      <c r="AJ12" s="3669"/>
      <c r="AM12" s="3648"/>
      <c r="BA12" s="3670"/>
      <c r="BB12" s="3670"/>
      <c r="BC12" s="3670"/>
      <c r="BD12" s="3670"/>
    </row>
    <row r="13" spans="1:56" ht="15.75" customHeight="1">
      <c r="A13" s="2748"/>
      <c r="B13" s="1762" t="s">
        <v>842</v>
      </c>
      <c r="C13" s="3280"/>
      <c r="D13" s="4054" t="s">
        <v>27</v>
      </c>
      <c r="E13" s="4050" t="str">
        <f>'25X'!E13</f>
        <v>hidroplogi</v>
      </c>
      <c r="G13" s="3280"/>
      <c r="H13" s="1742"/>
      <c r="I13" s="1742"/>
      <c r="J13" s="1742"/>
      <c r="K13" s="1742"/>
      <c r="L13" s="3280" t="s">
        <v>822</v>
      </c>
      <c r="M13" s="3280"/>
      <c r="N13" s="3313" t="s">
        <v>27</v>
      </c>
      <c r="O13" s="3280" t="str">
        <f>'25X'!O13</f>
        <v>001/PKS GQT-MGS/VIII/2025</v>
      </c>
      <c r="P13" s="3280"/>
      <c r="Q13" s="3280"/>
      <c r="R13" s="3280"/>
      <c r="S13" s="3280"/>
      <c r="T13" s="3641"/>
      <c r="V13" s="3640" t="s">
        <v>69</v>
      </c>
      <c r="W13" s="3640"/>
      <c r="X13" s="3648" t="e">
        <f>#REF!</f>
        <v>#REF!</v>
      </c>
      <c r="Y13" s="3639" t="s">
        <v>68</v>
      </c>
      <c r="AD13" s="3639"/>
      <c r="AE13" s="3640" t="s">
        <v>1394</v>
      </c>
      <c r="AG13" s="3648" t="e">
        <f>#REF!</f>
        <v>#REF!</v>
      </c>
      <c r="AJ13" s="3669"/>
    </row>
    <row r="14" spans="1:56" ht="15.75" customHeight="1">
      <c r="A14" s="2748"/>
      <c r="B14" s="1762" t="s">
        <v>1312</v>
      </c>
      <c r="C14" s="3280"/>
      <c r="D14" s="4055" t="s">
        <v>27</v>
      </c>
      <c r="E14" s="4050" t="str">
        <f>'25X'!E14</f>
        <v>23-GQT--19-UDS-1-BH-05-0,00-0,50-100726-001</v>
      </c>
      <c r="G14" s="1742"/>
      <c r="H14" s="1742"/>
      <c r="I14" s="1742"/>
      <c r="J14" s="1742"/>
      <c r="K14" s="1742"/>
      <c r="L14" s="3280" t="s">
        <v>395</v>
      </c>
      <c r="M14" s="3280"/>
      <c r="N14" s="3313" t="s">
        <v>27</v>
      </c>
      <c r="O14" s="4075">
        <f>Details!B40</f>
        <v>46230</v>
      </c>
      <c r="P14" s="4075"/>
      <c r="Q14" s="4075"/>
      <c r="R14" s="4075"/>
      <c r="S14" s="4075"/>
      <c r="T14" s="3641"/>
      <c r="AJ14" s="3669"/>
    </row>
    <row r="15" spans="1:56" ht="15.75" customHeight="1">
      <c r="A15" s="2748"/>
      <c r="B15" s="1762" t="s">
        <v>601</v>
      </c>
      <c r="C15" s="3280"/>
      <c r="D15" s="4054" t="s">
        <v>27</v>
      </c>
      <c r="E15" s="4050" t="str">
        <f>'25X'!E15</f>
        <v>BH-05_UDS-01</v>
      </c>
      <c r="G15" s="3280"/>
      <c r="H15" s="1742"/>
      <c r="I15" s="3280"/>
      <c r="J15" s="1742"/>
      <c r="K15" s="1742"/>
      <c r="L15" s="3280" t="s">
        <v>396</v>
      </c>
      <c r="M15" s="3280"/>
      <c r="N15" s="3313" t="s">
        <v>27</v>
      </c>
      <c r="O15" s="3280" t="str">
        <f>'25X'!O15</f>
        <v>AS Sumartadji</v>
      </c>
      <c r="P15" s="3280"/>
      <c r="Q15" s="3280"/>
      <c r="R15" s="3280"/>
      <c r="S15" s="3280"/>
      <c r="T15" s="3641"/>
      <c r="V15" s="3676" t="s">
        <v>1395</v>
      </c>
      <c r="W15" s="3676"/>
      <c r="AB15" s="3676" t="s">
        <v>1396</v>
      </c>
      <c r="AJ15" s="3669"/>
    </row>
    <row r="16" spans="1:56" ht="15.75" customHeight="1">
      <c r="A16" s="2748"/>
      <c r="B16" s="1762" t="s">
        <v>602</v>
      </c>
      <c r="C16" s="3280"/>
      <c r="D16" s="4054" t="s">
        <v>27</v>
      </c>
      <c r="E16" s="4050" t="str">
        <f>'25X'!E16&amp;" m"</f>
        <v>0,00-0,50 m</v>
      </c>
      <c r="G16" s="1742"/>
      <c r="H16" s="1742"/>
      <c r="I16" s="1765"/>
      <c r="J16" s="1765"/>
      <c r="K16" s="1742"/>
      <c r="L16" s="3280" t="s">
        <v>186</v>
      </c>
      <c r="M16" s="3280"/>
      <c r="N16" s="4057" t="s">
        <v>27</v>
      </c>
      <c r="O16" s="3280" t="str">
        <f>'25X'!O16</f>
        <v>MGS/02/VI/2026</v>
      </c>
      <c r="P16" s="3280"/>
      <c r="Q16" s="3280"/>
      <c r="R16" s="3280"/>
      <c r="S16" s="3280"/>
      <c r="T16" s="3641"/>
      <c r="Y16" s="3820" t="s">
        <v>1265</v>
      </c>
      <c r="Z16" s="3821" t="s">
        <v>1266</v>
      </c>
      <c r="AA16" s="3666"/>
      <c r="AB16" s="3680" t="s">
        <v>1397</v>
      </c>
      <c r="AC16" s="3644"/>
      <c r="AD16" s="3647"/>
      <c r="AE16" s="3681"/>
      <c r="AF16" s="3681"/>
      <c r="AG16" s="3681"/>
      <c r="AH16" s="3681"/>
      <c r="AI16" s="3681"/>
      <c r="AJ16" s="3682"/>
      <c r="AM16" s="3639" t="s">
        <v>1398</v>
      </c>
    </row>
    <row r="17" spans="1:63" ht="15.75" customHeight="1">
      <c r="A17" s="2748"/>
      <c r="B17" s="1762" t="s">
        <v>843</v>
      </c>
      <c r="C17" s="3280"/>
      <c r="D17" s="4054" t="s">
        <v>27</v>
      </c>
      <c r="E17" s="4050" t="str">
        <f>'25X'!E17</f>
        <v>silty CLAY with sand</v>
      </c>
      <c r="G17" s="1742"/>
      <c r="H17" s="1742"/>
      <c r="I17" s="1742"/>
      <c r="J17" s="1742"/>
      <c r="K17" s="1742"/>
      <c r="L17" s="3280"/>
      <c r="M17" s="3280"/>
      <c r="N17" s="1742"/>
      <c r="O17" s="2"/>
      <c r="P17" s="1742"/>
      <c r="Q17" s="5"/>
      <c r="R17" s="1742"/>
      <c r="S17" s="1742"/>
      <c r="T17" s="3641"/>
      <c r="V17" s="3680" t="s">
        <v>1399</v>
      </c>
      <c r="W17" s="3646"/>
      <c r="X17" s="3647" t="s">
        <v>37</v>
      </c>
      <c r="Y17" s="3683">
        <v>10626</v>
      </c>
      <c r="Z17" s="3683">
        <v>10639</v>
      </c>
      <c r="AA17" s="3684"/>
      <c r="AB17" s="3654" t="s">
        <v>1400</v>
      </c>
      <c r="AC17" s="3650"/>
      <c r="AD17" s="3653" t="s">
        <v>2</v>
      </c>
      <c r="AE17" s="3685"/>
      <c r="AF17" s="3685"/>
      <c r="AG17" s="3685"/>
      <c r="AH17" s="3685"/>
      <c r="AI17" s="3685"/>
      <c r="AJ17" s="3669"/>
      <c r="AM17" s="3667" t="s">
        <v>1401</v>
      </c>
      <c r="AN17" s="3667"/>
      <c r="BB17" s="3676" t="s">
        <v>1402</v>
      </c>
      <c r="BE17" s="3676"/>
      <c r="BF17" s="3676"/>
      <c r="BI17" s="3676" t="s">
        <v>1403</v>
      </c>
    </row>
    <row r="18" spans="1:63" ht="14.1" customHeight="1">
      <c r="A18" s="2748"/>
      <c r="B18" s="1762" t="s">
        <v>603</v>
      </c>
      <c r="C18" s="3280"/>
      <c r="D18" s="4054" t="s">
        <v>27</v>
      </c>
      <c r="E18" s="4050" t="str">
        <f>'25X'!E18</f>
        <v>Abu-abu / Gray</v>
      </c>
      <c r="G18" s="1742"/>
      <c r="H18" s="1742"/>
      <c r="I18" s="1742"/>
      <c r="J18" s="1742"/>
      <c r="K18" s="1742"/>
      <c r="L18" s="1742"/>
      <c r="M18" s="1742"/>
      <c r="N18" s="1742"/>
      <c r="O18" s="1742"/>
      <c r="P18" s="1742"/>
      <c r="Q18" s="1742"/>
      <c r="R18" s="1742"/>
      <c r="S18" s="1742"/>
      <c r="T18" s="3641"/>
      <c r="V18" s="3654" t="s">
        <v>1404</v>
      </c>
      <c r="W18" s="3652"/>
      <c r="X18" s="3653" t="s">
        <v>37</v>
      </c>
      <c r="Y18" s="3687">
        <v>4127</v>
      </c>
      <c r="Z18" s="3687">
        <f>Y18</f>
        <v>4127</v>
      </c>
      <c r="AA18" s="3684"/>
      <c r="AB18" s="3661" t="s">
        <v>1396</v>
      </c>
      <c r="AC18" s="3662"/>
      <c r="AD18" s="3688" t="s">
        <v>1</v>
      </c>
      <c r="AE18" s="3689">
        <f>AE170</f>
        <v>0</v>
      </c>
      <c r="AF18" s="3689">
        <f>(AF17-$AE$17)/$Y$21*100</f>
        <v>0</v>
      </c>
      <c r="AG18" s="3689">
        <f>(AG17-$AE$17)/$Y$21*100</f>
        <v>0</v>
      </c>
      <c r="AH18" s="3689">
        <f>(AH17-$AE$17)/$Y$21*100</f>
        <v>0</v>
      </c>
      <c r="AI18" s="3689">
        <f>(AI17-$AE$17)/$Y$21*100</f>
        <v>0</v>
      </c>
      <c r="AJ18" s="3669"/>
      <c r="AM18" s="3666" t="s">
        <v>116</v>
      </c>
      <c r="AN18" s="3666" t="s">
        <v>115</v>
      </c>
      <c r="BB18" s="3666" t="s">
        <v>982</v>
      </c>
      <c r="BC18" s="3666" t="s">
        <v>1405</v>
      </c>
      <c r="BH18" s="3666" t="s">
        <v>982</v>
      </c>
      <c r="BI18" s="3666" t="s">
        <v>1405</v>
      </c>
    </row>
    <row r="19" spans="1:63" ht="14.1" customHeight="1">
      <c r="A19" s="3290"/>
      <c r="B19" s="4052" t="s">
        <v>844</v>
      </c>
      <c r="C19" s="3686"/>
      <c r="D19" s="3540" t="s">
        <v>27</v>
      </c>
      <c r="E19" s="4050" t="str">
        <f>'25X'!E19</f>
        <v>Undisturbed Sample / UDS</v>
      </c>
      <c r="G19" s="3280"/>
      <c r="H19" s="3280"/>
      <c r="I19" s="3280"/>
      <c r="J19" s="3280"/>
      <c r="K19" s="3280"/>
      <c r="L19" s="3280"/>
      <c r="M19" s="3280"/>
      <c r="N19" s="3280"/>
      <c r="O19" s="3280"/>
      <c r="P19" s="3280"/>
      <c r="Q19" s="3280"/>
      <c r="R19" s="3280"/>
      <c r="S19" s="3280"/>
      <c r="T19" s="3641"/>
      <c r="V19" s="3654" t="s">
        <v>1407</v>
      </c>
      <c r="W19" s="3652"/>
      <c r="X19" s="3653" t="s">
        <v>37</v>
      </c>
      <c r="Y19" s="3822">
        <f>+Y17-Y18</f>
        <v>6499</v>
      </c>
      <c r="Z19" s="3822">
        <f>+Z17-Z18</f>
        <v>6512</v>
      </c>
      <c r="AA19" s="3691"/>
      <c r="AJ19" s="3669"/>
      <c r="AM19" s="3692">
        <v>0</v>
      </c>
      <c r="AN19" s="3693">
        <f>VLOOKUP(AM19,AL31:AM41,2)</f>
        <v>0</v>
      </c>
      <c r="BB19" s="3639">
        <v>100</v>
      </c>
      <c r="BC19" s="3639">
        <v>7.0407999999999999</v>
      </c>
      <c r="BD19" s="3639">
        <f t="shared" ref="BD19:BD27" si="0">BC19</f>
        <v>7.0407999999999999</v>
      </c>
      <c r="BE19" s="3639">
        <f t="shared" ref="BE19:BE26" si="1">BD19-BD20</f>
        <v>0.47370000000000001</v>
      </c>
      <c r="BH19" s="3639">
        <v>20</v>
      </c>
      <c r="BI19" s="3694">
        <v>52.72</v>
      </c>
      <c r="BJ19" s="3694">
        <f t="shared" ref="BJ19:BJ27" si="2">BI19</f>
        <v>52.72</v>
      </c>
      <c r="BK19" s="3639">
        <f t="shared" ref="BK19:BK26" si="3">BJ19-BJ20</f>
        <v>2.6700000000000017</v>
      </c>
    </row>
    <row r="20" spans="1:63" ht="14.1" customHeight="1">
      <c r="A20" s="3290"/>
      <c r="B20" s="3676" t="s">
        <v>1450</v>
      </c>
      <c r="C20" s="3471"/>
      <c r="D20" s="3280"/>
      <c r="E20" s="3280"/>
      <c r="F20" s="3280"/>
      <c r="G20" s="3280"/>
      <c r="H20" s="3280"/>
      <c r="I20" s="3280"/>
      <c r="J20" s="3325"/>
      <c r="K20" s="3280"/>
      <c r="L20" s="3280"/>
      <c r="M20" s="3280"/>
      <c r="N20" s="3280"/>
      <c r="O20" s="3280"/>
      <c r="P20" s="3280"/>
      <c r="Q20" s="3280"/>
      <c r="R20" s="3280"/>
      <c r="S20" s="3280"/>
      <c r="T20" s="3641"/>
      <c r="V20" s="3654" t="s">
        <v>1408</v>
      </c>
      <c r="W20" s="3652"/>
      <c r="X20" s="3653" t="s">
        <v>1446</v>
      </c>
      <c r="Y20" s="3823">
        <v>2140</v>
      </c>
      <c r="Z20" s="3823">
        <f>(Y20/Y21)*Z21</f>
        <v>2140</v>
      </c>
      <c r="AA20" s="3684"/>
      <c r="AJ20" s="3669"/>
      <c r="AM20" s="3692">
        <v>0</v>
      </c>
      <c r="AN20" s="3693" t="e">
        <f>VLOOKUP(AM20,AL32:AM42,2)</f>
        <v>#N/A</v>
      </c>
      <c r="BB20" s="3639">
        <v>200</v>
      </c>
      <c r="BC20" s="3639">
        <v>6.5670999999999999</v>
      </c>
      <c r="BD20" s="3639">
        <f t="shared" si="0"/>
        <v>6.5670999999999999</v>
      </c>
      <c r="BE20" s="3639">
        <f t="shared" si="1"/>
        <v>0.23430000000000017</v>
      </c>
      <c r="BH20" s="3639">
        <v>40</v>
      </c>
      <c r="BI20" s="3694">
        <v>50.05</v>
      </c>
      <c r="BJ20" s="3694">
        <f t="shared" si="2"/>
        <v>50.05</v>
      </c>
      <c r="BK20" s="3639">
        <f t="shared" si="3"/>
        <v>0.84999999999999432</v>
      </c>
    </row>
    <row r="21" spans="1:63" ht="14.1" customHeight="1">
      <c r="A21" s="3479"/>
      <c r="B21" s="3473" t="s">
        <v>1395</v>
      </c>
      <c r="C21" s="3473"/>
      <c r="D21" s="3423"/>
      <c r="E21" s="3423"/>
      <c r="F21" s="3423"/>
      <c r="G21" s="3695"/>
      <c r="H21" s="3480"/>
      <c r="I21" s="3480"/>
      <c r="J21" s="3313"/>
      <c r="K21" s="3696"/>
      <c r="L21" s="3313"/>
      <c r="M21" s="3313"/>
      <c r="N21" s="3480"/>
      <c r="O21" s="3480"/>
      <c r="P21" s="3480"/>
      <c r="Q21" s="3480"/>
      <c r="R21" s="3480"/>
      <c r="S21" s="3480"/>
      <c r="T21" s="3641"/>
      <c r="V21" s="3654" t="s">
        <v>285</v>
      </c>
      <c r="W21" s="3652"/>
      <c r="X21" s="3653" t="s">
        <v>104</v>
      </c>
      <c r="Y21" s="3824">
        <v>11.692</v>
      </c>
      <c r="Z21" s="3824">
        <f>Y21+(AI17-AE17)</f>
        <v>11.692</v>
      </c>
      <c r="AA21" s="3699"/>
      <c r="AJ21" s="3669"/>
      <c r="AM21" s="3692">
        <v>0</v>
      </c>
      <c r="AN21" s="3693" t="e">
        <f>VLOOKUP(AM21,AL33:AM43,2)</f>
        <v>#N/A</v>
      </c>
      <c r="BB21" s="3639">
        <v>300</v>
      </c>
      <c r="BC21" s="3639">
        <v>6.3327999999999998</v>
      </c>
      <c r="BD21" s="3639">
        <f t="shared" si="0"/>
        <v>6.3327999999999998</v>
      </c>
      <c r="BE21" s="3639">
        <f t="shared" si="1"/>
        <v>0.11709999999999976</v>
      </c>
      <c r="BH21" s="3639">
        <v>60</v>
      </c>
      <c r="BI21" s="3694">
        <v>49.2</v>
      </c>
      <c r="BJ21" s="3694">
        <f t="shared" si="2"/>
        <v>49.2</v>
      </c>
      <c r="BK21" s="3639">
        <f t="shared" si="3"/>
        <v>0.38000000000000256</v>
      </c>
    </row>
    <row r="22" spans="1:63" ht="14.1" customHeight="1">
      <c r="A22" s="3479"/>
      <c r="B22" s="3423"/>
      <c r="C22" s="3423"/>
      <c r="D22" s="3423"/>
      <c r="E22" s="3484" t="s">
        <v>1265</v>
      </c>
      <c r="F22" s="3485"/>
      <c r="G22" s="3697"/>
      <c r="H22" s="3480"/>
      <c r="I22" s="3480"/>
      <c r="J22" s="3313"/>
      <c r="K22" s="3696"/>
      <c r="L22" s="3340"/>
      <c r="M22" s="3340"/>
      <c r="N22" s="3480"/>
      <c r="O22" s="3480"/>
      <c r="P22" s="3480"/>
      <c r="Q22" s="3480"/>
      <c r="R22" s="3480"/>
      <c r="S22" s="3480"/>
      <c r="T22" s="3641"/>
      <c r="V22" s="3654" t="s">
        <v>1410</v>
      </c>
      <c r="W22" s="3652"/>
      <c r="X22" s="3653" t="s">
        <v>1447</v>
      </c>
      <c r="Y22" s="3826">
        <f>+Y19/Y20</f>
        <v>3.0369158878504674</v>
      </c>
      <c r="Z22" s="3826">
        <f>+Z19/Z20</f>
        <v>3.0429906542056075</v>
      </c>
      <c r="AA22" s="3707"/>
      <c r="AJ22" s="3669"/>
      <c r="BB22" s="3639">
        <v>400</v>
      </c>
      <c r="BC22" s="3639">
        <v>6.2157</v>
      </c>
      <c r="BD22" s="3639">
        <f t="shared" si="0"/>
        <v>6.2157</v>
      </c>
      <c r="BE22" s="3639">
        <f t="shared" si="1"/>
        <v>7.7799999999999869E-2</v>
      </c>
      <c r="BH22" s="3639">
        <v>80</v>
      </c>
      <c r="BI22" s="3694">
        <v>48.82</v>
      </c>
      <c r="BJ22" s="3694">
        <f t="shared" si="2"/>
        <v>48.82</v>
      </c>
      <c r="BK22" s="3639">
        <f t="shared" si="3"/>
        <v>0.25</v>
      </c>
    </row>
    <row r="23" spans="1:63" ht="14.1" customHeight="1">
      <c r="A23" s="3479"/>
      <c r="B23" s="3700" t="s">
        <v>1399</v>
      </c>
      <c r="C23" s="3701"/>
      <c r="D23" s="3702" t="s">
        <v>37</v>
      </c>
      <c r="E23" s="3825">
        <v>12595</v>
      </c>
      <c r="F23" s="3825"/>
      <c r="G23" s="3704"/>
      <c r="H23" s="3480"/>
      <c r="I23" s="3480"/>
      <c r="J23" s="3313"/>
      <c r="K23" s="3705"/>
      <c r="L23" s="3313"/>
      <c r="M23" s="3313"/>
      <c r="N23" s="3480"/>
      <c r="O23" s="3480"/>
      <c r="P23" s="3480"/>
      <c r="Q23" s="3480"/>
      <c r="R23" s="3480"/>
      <c r="S23" s="3480"/>
      <c r="T23" s="3641"/>
      <c r="V23" s="3654" t="s">
        <v>1412</v>
      </c>
      <c r="W23" s="3652"/>
      <c r="X23" s="3653" t="s">
        <v>1</v>
      </c>
      <c r="Y23" s="3714">
        <f>Y54</f>
        <v>45.793595409785212</v>
      </c>
      <c r="Z23" s="3714">
        <f>Z54</f>
        <v>46.992444313610065</v>
      </c>
      <c r="AA23" s="3715"/>
      <c r="AJ23" s="3669"/>
      <c r="AM23" s="3667" t="s">
        <v>1413</v>
      </c>
      <c r="AN23" s="3667"/>
      <c r="BB23" s="3639">
        <v>500</v>
      </c>
      <c r="BC23" s="3639">
        <v>6.1379000000000001</v>
      </c>
      <c r="BD23" s="3639">
        <f t="shared" si="0"/>
        <v>6.1379000000000001</v>
      </c>
      <c r="BE23" s="3639">
        <f t="shared" si="1"/>
        <v>5.8900000000000396E-2</v>
      </c>
      <c r="BH23" s="3639">
        <v>100</v>
      </c>
      <c r="BI23" s="3694">
        <v>48.57</v>
      </c>
      <c r="BJ23" s="3694">
        <f t="shared" si="2"/>
        <v>48.57</v>
      </c>
      <c r="BK23" s="3639">
        <f t="shared" si="3"/>
        <v>-9.9999999999980105E-3</v>
      </c>
    </row>
    <row r="24" spans="1:63" ht="14.1" customHeight="1">
      <c r="A24" s="3479"/>
      <c r="B24" s="3708" t="s">
        <v>1404</v>
      </c>
      <c r="C24" s="3709"/>
      <c r="D24" s="3710" t="s">
        <v>37</v>
      </c>
      <c r="E24" s="3827">
        <f>IF(AG33="", "", HLOOKUP(AG33, $AF$26:$AH$31, 4, FALSE))</f>
        <v>7048.0999999999995</v>
      </c>
      <c r="F24" s="3827"/>
      <c r="G24" s="3712"/>
      <c r="H24" s="3480"/>
      <c r="I24" s="3480"/>
      <c r="J24" s="3313"/>
      <c r="K24" s="3713"/>
      <c r="L24" s="3313"/>
      <c r="M24" s="3313"/>
      <c r="N24" s="3480"/>
      <c r="O24" s="3480"/>
      <c r="P24" s="3480"/>
      <c r="Q24" s="3480"/>
      <c r="R24" s="3480"/>
      <c r="S24" s="3480"/>
      <c r="T24" s="3641"/>
      <c r="V24" s="3661" t="s">
        <v>1414</v>
      </c>
      <c r="W24" s="3717"/>
      <c r="X24" s="3688" t="s">
        <v>1447</v>
      </c>
      <c r="Y24" s="3829">
        <f>+Y22/(1+(Y23/100))</f>
        <v>2.0830242092010574</v>
      </c>
      <c r="Z24" s="3829">
        <f>+Z22/(1+(Z23/100))</f>
        <v>2.0701680745667117</v>
      </c>
      <c r="AA24" s="3719"/>
      <c r="AD24" s="4065" t="s">
        <v>1553</v>
      </c>
      <c r="AE24" s="4065"/>
      <c r="AF24" s="4065"/>
      <c r="AG24" s="4065"/>
      <c r="AH24" s="4065"/>
      <c r="AJ24" s="3669"/>
      <c r="AM24" s="3666" t="s">
        <v>1415</v>
      </c>
      <c r="AN24" s="3648">
        <v>0</v>
      </c>
      <c r="BB24" s="3639">
        <v>600</v>
      </c>
      <c r="BC24" s="3639">
        <v>6.0789999999999997</v>
      </c>
      <c r="BD24" s="3639">
        <f t="shared" si="0"/>
        <v>6.0789999999999997</v>
      </c>
      <c r="BE24" s="3639">
        <f t="shared" si="1"/>
        <v>5.1499999999999879E-2</v>
      </c>
      <c r="BH24" s="3639">
        <v>120</v>
      </c>
      <c r="BI24" s="3694">
        <v>48.58</v>
      </c>
      <c r="BJ24" s="3694">
        <f t="shared" si="2"/>
        <v>48.58</v>
      </c>
      <c r="BK24" s="3639">
        <f t="shared" si="3"/>
        <v>1.9999999999996021E-2</v>
      </c>
    </row>
    <row r="25" spans="1:63" ht="14.1" customHeight="1">
      <c r="A25" s="3290"/>
      <c r="B25" s="3708" t="s">
        <v>1407</v>
      </c>
      <c r="C25" s="3709"/>
      <c r="D25" s="3710" t="s">
        <v>37</v>
      </c>
      <c r="E25" s="3828">
        <f>E23-E24</f>
        <v>5546.9000000000005</v>
      </c>
      <c r="F25" s="3828"/>
      <c r="G25" s="3280"/>
      <c r="H25" s="3280"/>
      <c r="I25" s="3280"/>
      <c r="J25" s="3280"/>
      <c r="K25" s="3280"/>
      <c r="L25" s="3280"/>
      <c r="M25" s="3280"/>
      <c r="N25" s="3280"/>
      <c r="O25" s="3280"/>
      <c r="P25" s="3280"/>
      <c r="Q25" s="3280"/>
      <c r="R25" s="3280"/>
      <c r="S25" s="3280"/>
      <c r="T25" s="3641"/>
      <c r="X25" s="3640"/>
      <c r="Y25" s="3719"/>
      <c r="Z25" s="3719"/>
      <c r="AA25" s="3719"/>
      <c r="AD25" s="4065" t="s">
        <v>1347</v>
      </c>
      <c r="AE25" s="4065"/>
      <c r="AF25" s="4065"/>
      <c r="AG25" s="4065"/>
      <c r="AH25" s="4065"/>
      <c r="AJ25" s="3669"/>
      <c r="AM25" s="3720" t="s">
        <v>1417</v>
      </c>
      <c r="AN25" s="3720" t="s">
        <v>1418</v>
      </c>
      <c r="AO25" s="3720" t="s">
        <v>743</v>
      </c>
      <c r="BB25" s="3639">
        <v>700</v>
      </c>
      <c r="BC25" s="3639">
        <v>6.0274999999999999</v>
      </c>
      <c r="BD25" s="3639">
        <f t="shared" si="0"/>
        <v>6.0274999999999999</v>
      </c>
      <c r="BE25" s="3639">
        <f t="shared" si="1"/>
        <v>4.129999999999967E-2</v>
      </c>
      <c r="BH25" s="3639">
        <v>140</v>
      </c>
      <c r="BI25" s="3694">
        <v>48.56</v>
      </c>
      <c r="BJ25" s="3694">
        <f t="shared" si="2"/>
        <v>48.56</v>
      </c>
      <c r="BK25" s="3639">
        <f t="shared" si="3"/>
        <v>0.25</v>
      </c>
    </row>
    <row r="26" spans="1:63" ht="14.1" customHeight="1">
      <c r="A26" s="3290"/>
      <c r="B26" s="3708" t="s">
        <v>1408</v>
      </c>
      <c r="C26" s="3709"/>
      <c r="D26" s="3710" t="s">
        <v>1416</v>
      </c>
      <c r="E26" s="3830">
        <f>IF(AG33="", "", HLOOKUP(AG33, $AF$26:$AH$31, 6, FALSE))</f>
        <v>3242.7217934538735</v>
      </c>
      <c r="F26" s="3830"/>
      <c r="G26" s="3280"/>
      <c r="H26" s="3280"/>
      <c r="I26" s="3280"/>
      <c r="J26" s="3280"/>
      <c r="K26" s="3280"/>
      <c r="L26" s="3280"/>
      <c r="M26" s="3280"/>
      <c r="N26" s="3280"/>
      <c r="O26" s="3280"/>
      <c r="P26" s="3280"/>
      <c r="Q26" s="3280"/>
      <c r="R26" s="3280"/>
      <c r="S26" s="3280"/>
      <c r="T26" s="3641"/>
      <c r="V26" s="3676" t="s">
        <v>1419</v>
      </c>
      <c r="W26" s="3676"/>
      <c r="Z26" s="3640"/>
      <c r="AD26" s="4066"/>
      <c r="AE26" s="4066"/>
      <c r="AF26" s="4066" t="s">
        <v>124</v>
      </c>
      <c r="AG26" s="4066" t="s">
        <v>123</v>
      </c>
      <c r="AH26" s="4066" t="s">
        <v>163</v>
      </c>
      <c r="AJ26" s="3669"/>
      <c r="AM26" s="3722">
        <v>1999.8</v>
      </c>
      <c r="AN26" s="3723">
        <v>0</v>
      </c>
      <c r="AO26" s="3724">
        <f>+(-AN26)/AM26</f>
        <v>0</v>
      </c>
      <c r="BB26" s="3639">
        <v>800</v>
      </c>
      <c r="BC26" s="3639">
        <v>5.9862000000000002</v>
      </c>
      <c r="BD26" s="3639">
        <f t="shared" si="0"/>
        <v>5.9862000000000002</v>
      </c>
      <c r="BE26" s="3639">
        <f t="shared" si="1"/>
        <v>3.5300000000000331E-2</v>
      </c>
      <c r="BH26" s="3639">
        <v>160</v>
      </c>
      <c r="BI26" s="3639">
        <v>48.31</v>
      </c>
      <c r="BJ26" s="3694">
        <f t="shared" si="2"/>
        <v>48.31</v>
      </c>
      <c r="BK26" s="3639">
        <f t="shared" si="3"/>
        <v>0.14000000000000057</v>
      </c>
    </row>
    <row r="27" spans="1:63" ht="14.1" customHeight="1">
      <c r="A27" s="3290"/>
      <c r="B27" s="3708" t="s">
        <v>285</v>
      </c>
      <c r="C27" s="3709"/>
      <c r="D27" s="3710" t="s">
        <v>104</v>
      </c>
      <c r="E27" s="3831">
        <f>IF(AG33="", "", HLOOKUP(AG33, $AF$26:$AH$31, 3, FALSE) / 10)</f>
        <v>17.8</v>
      </c>
      <c r="F27" s="3831"/>
      <c r="G27" s="3502"/>
      <c r="H27" s="3502"/>
      <c r="I27" s="3503"/>
      <c r="J27" s="3503"/>
      <c r="K27" s="3503"/>
      <c r="L27" s="3503"/>
      <c r="M27" s="3503"/>
      <c r="N27" s="3280"/>
      <c r="O27" s="3280"/>
      <c r="P27" s="3280"/>
      <c r="Q27" s="3280"/>
      <c r="R27" s="3280"/>
      <c r="S27" s="3280"/>
      <c r="T27" s="3641"/>
      <c r="V27" s="3639" t="s">
        <v>1421</v>
      </c>
      <c r="X27" s="3639">
        <f>D35</f>
        <v>28.7926</v>
      </c>
      <c r="Y27" s="3639" t="s">
        <v>1422</v>
      </c>
      <c r="AD27" s="4066" t="s">
        <v>935</v>
      </c>
      <c r="AE27" s="4066"/>
      <c r="AF27" s="4067">
        <v>152.30000000000001</v>
      </c>
      <c r="AG27" s="4067">
        <v>152.19999999999999</v>
      </c>
      <c r="AH27" s="4067">
        <v>152</v>
      </c>
      <c r="AJ27" s="3669"/>
      <c r="BB27" s="3639">
        <v>900</v>
      </c>
      <c r="BC27" s="3639">
        <v>5.9508999999999999</v>
      </c>
      <c r="BD27" s="3639">
        <f t="shared" si="0"/>
        <v>5.9508999999999999</v>
      </c>
      <c r="BE27" s="3639">
        <f>BD27-BD29</f>
        <v>3.0800000000000161E-2</v>
      </c>
      <c r="BH27" s="3639">
        <v>180</v>
      </c>
      <c r="BI27" s="3694">
        <v>48.17</v>
      </c>
      <c r="BJ27" s="3694">
        <f t="shared" si="2"/>
        <v>48.17</v>
      </c>
      <c r="BK27" s="3639">
        <f>BJ27-BJ29</f>
        <v>0.10999999999999943</v>
      </c>
    </row>
    <row r="28" spans="1:63" ht="14.1" customHeight="1">
      <c r="A28" s="3290"/>
      <c r="B28" s="3708" t="s">
        <v>1410</v>
      </c>
      <c r="C28" s="3709"/>
      <c r="D28" s="3710" t="s">
        <v>1420</v>
      </c>
      <c r="E28" s="3725">
        <f>E25/E26</f>
        <v>1.7105691925830957</v>
      </c>
      <c r="F28" s="3725"/>
      <c r="G28" s="3280"/>
      <c r="H28" s="3313"/>
      <c r="I28" s="3508"/>
      <c r="J28" s="3508"/>
      <c r="K28" s="3508"/>
      <c r="L28" s="3508"/>
      <c r="M28" s="3508"/>
      <c r="N28" s="3280"/>
      <c r="O28" s="3280"/>
      <c r="P28" s="3280"/>
      <c r="Q28" s="3280"/>
      <c r="R28" s="3280"/>
      <c r="S28" s="3280"/>
      <c r="T28" s="3641"/>
      <c r="V28" s="3639" t="s">
        <v>1423</v>
      </c>
      <c r="W28" s="3726" t="s">
        <v>1424</v>
      </c>
      <c r="X28" s="3727">
        <f>(48.62/25.4)^2*0.7854</f>
        <v>2.8777520549321101</v>
      </c>
      <c r="Y28" s="3728" t="s">
        <v>1425</v>
      </c>
      <c r="AD28" s="4066" t="s">
        <v>1550</v>
      </c>
      <c r="AE28" s="4066"/>
      <c r="AF28" s="4067">
        <v>178</v>
      </c>
      <c r="AG28" s="4067">
        <v>177.8</v>
      </c>
      <c r="AH28" s="4067">
        <v>177.7</v>
      </c>
      <c r="AJ28" s="3669"/>
      <c r="BI28" s="3694"/>
      <c r="BJ28" s="3694"/>
    </row>
    <row r="29" spans="1:63" ht="14.1" customHeight="1">
      <c r="A29" s="3290"/>
      <c r="B29" s="3708" t="s">
        <v>1412</v>
      </c>
      <c r="C29" s="3709"/>
      <c r="D29" s="3710" t="s">
        <v>1</v>
      </c>
      <c r="E29" s="3559">
        <f>E61</f>
        <v>45.430573047858935</v>
      </c>
      <c r="F29" s="3559"/>
      <c r="G29" s="3280"/>
      <c r="H29" s="3313"/>
      <c r="I29" s="3508"/>
      <c r="J29" s="3508"/>
      <c r="K29" s="3508"/>
      <c r="L29" s="3508"/>
      <c r="M29" s="3508"/>
      <c r="N29" s="3280"/>
      <c r="O29" s="3280"/>
      <c r="P29" s="3280"/>
      <c r="Q29" s="3280"/>
      <c r="R29" s="3280"/>
      <c r="S29" s="3280"/>
      <c r="T29" s="3641"/>
      <c r="V29" s="3676"/>
      <c r="W29" s="3676"/>
      <c r="AD29" s="4066" t="s">
        <v>1551</v>
      </c>
      <c r="AE29" s="4066"/>
      <c r="AF29" s="4067">
        <v>7048.0999999999995</v>
      </c>
      <c r="AG29" s="4067">
        <v>6940.2</v>
      </c>
      <c r="AH29" s="4067">
        <v>7031.6</v>
      </c>
      <c r="AJ29" s="3669"/>
      <c r="AM29" s="3667"/>
      <c r="AO29" s="3667"/>
      <c r="AP29" s="3667"/>
      <c r="AQ29" s="3667"/>
      <c r="AR29" s="3667"/>
      <c r="AS29" s="3667"/>
      <c r="AT29" s="3667"/>
      <c r="BB29" s="3639">
        <v>1000</v>
      </c>
      <c r="BC29" s="3639">
        <v>5.9200999999999997</v>
      </c>
      <c r="BD29" s="3639">
        <f>BC29</f>
        <v>5.9200999999999997</v>
      </c>
      <c r="BH29" s="3639">
        <v>200</v>
      </c>
      <c r="BI29" s="3694">
        <v>48.06</v>
      </c>
      <c r="BJ29" s="3694">
        <f>BI29</f>
        <v>48.06</v>
      </c>
    </row>
    <row r="30" spans="1:63" ht="14.1" customHeight="1">
      <c r="A30" s="3290"/>
      <c r="B30" s="3729" t="s">
        <v>1414</v>
      </c>
      <c r="C30" s="3730"/>
      <c r="D30" s="3731" t="s">
        <v>1420</v>
      </c>
      <c r="E30" s="4045">
        <f>E28/(1+E29/100)</f>
        <v>1.1762101714473572</v>
      </c>
      <c r="F30" s="3586"/>
      <c r="G30" s="3280"/>
      <c r="H30" s="3313"/>
      <c r="I30" s="3512"/>
      <c r="J30" s="3512"/>
      <c r="K30" s="3512"/>
      <c r="L30" s="3512"/>
      <c r="M30" s="3512"/>
      <c r="N30" s="3280"/>
      <c r="O30" s="3280"/>
      <c r="P30" s="3280"/>
      <c r="Q30" s="3280"/>
      <c r="R30" s="3280"/>
      <c r="S30" s="3280"/>
      <c r="T30" s="3641"/>
      <c r="V30" s="4923" t="s">
        <v>16</v>
      </c>
      <c r="W30" s="4923" t="s">
        <v>1426</v>
      </c>
      <c r="X30" s="4927" t="s">
        <v>1427</v>
      </c>
      <c r="Y30" s="4923" t="s">
        <v>174</v>
      </c>
      <c r="Z30" s="4923" t="s">
        <v>166</v>
      </c>
      <c r="AD30" s="4066" t="s">
        <v>1554</v>
      </c>
      <c r="AE30" s="4066"/>
      <c r="AF30" s="4067">
        <v>18217.5381654712</v>
      </c>
      <c r="AG30" s="4067">
        <v>18193.622791395745</v>
      </c>
      <c r="AH30" s="4067">
        <v>18145.839167134644</v>
      </c>
      <c r="AJ30" s="3669"/>
      <c r="AL30" s="3666" t="s">
        <v>1428</v>
      </c>
      <c r="AM30" s="3666" t="s">
        <v>1429</v>
      </c>
      <c r="AN30" s="3658"/>
      <c r="AO30" s="3658"/>
      <c r="AP30" s="3658"/>
      <c r="AQ30" s="3658"/>
      <c r="AR30" s="3732"/>
      <c r="AS30" s="3732"/>
      <c r="AT30" s="3732"/>
    </row>
    <row r="31" spans="1:63" ht="14.1" customHeight="1">
      <c r="A31" s="3290"/>
      <c r="B31" s="3280"/>
      <c r="C31" s="3280"/>
      <c r="D31" s="3280"/>
      <c r="E31" s="3280"/>
      <c r="F31" s="3280"/>
      <c r="G31" s="3280"/>
      <c r="H31" s="3313"/>
      <c r="I31" s="3513"/>
      <c r="J31" s="3513"/>
      <c r="K31" s="3513"/>
      <c r="L31" s="3513"/>
      <c r="M31" s="3513"/>
      <c r="N31" s="3280"/>
      <c r="O31" s="3280"/>
      <c r="P31" s="3280"/>
      <c r="Q31" s="3280"/>
      <c r="R31" s="3280"/>
      <c r="S31" s="3280"/>
      <c r="T31" s="3641"/>
      <c r="V31" s="4924"/>
      <c r="W31" s="4924"/>
      <c r="X31" s="4928"/>
      <c r="Y31" s="4924"/>
      <c r="Z31" s="4924"/>
      <c r="AD31" s="4066" t="s">
        <v>1555</v>
      </c>
      <c r="AE31" s="4066"/>
      <c r="AF31" s="4067">
        <v>3242.7217934538735</v>
      </c>
      <c r="AG31" s="4067">
        <v>3234.8261323101638</v>
      </c>
      <c r="AH31" s="4067">
        <v>3224.515619999826</v>
      </c>
      <c r="AJ31" s="3669"/>
      <c r="AL31" s="3733">
        <f>+'56X'!W34</f>
        <v>0</v>
      </c>
      <c r="AM31" s="3734">
        <f>+'56X'!Z34</f>
        <v>0</v>
      </c>
      <c r="AN31" s="3668"/>
      <c r="AO31" s="3668"/>
      <c r="AP31" s="3668"/>
      <c r="AQ31" s="3668"/>
      <c r="AR31" s="3735"/>
      <c r="AS31" s="3736"/>
      <c r="AT31" s="3732"/>
    </row>
    <row r="32" spans="1:63" ht="14.1" customHeight="1">
      <c r="A32" s="3290"/>
      <c r="B32" s="3280"/>
      <c r="C32" s="3280"/>
      <c r="D32" s="3280"/>
      <c r="E32" s="3282"/>
      <c r="F32" s="3282"/>
      <c r="G32" s="3282"/>
      <c r="H32" s="3313"/>
      <c r="I32" s="3513"/>
      <c r="J32" s="3513"/>
      <c r="K32" s="3513"/>
      <c r="L32" s="3513"/>
      <c r="M32" s="3513"/>
      <c r="N32" s="3280"/>
      <c r="O32" s="3280"/>
      <c r="P32" s="3280"/>
      <c r="Q32" s="3280"/>
      <c r="R32" s="3280"/>
      <c r="S32" s="3280"/>
      <c r="T32" s="3641"/>
      <c r="V32" s="4924"/>
      <c r="W32" s="4924"/>
      <c r="X32" s="4928"/>
      <c r="Y32" s="4924"/>
      <c r="Z32" s="4924"/>
      <c r="AD32" s="4065"/>
      <c r="AE32" s="4065"/>
      <c r="AF32" s="4068"/>
      <c r="AG32" s="4068"/>
      <c r="AH32" s="4068"/>
      <c r="AJ32" s="3669"/>
      <c r="AL32" s="3733">
        <f>+'56X'!W35</f>
        <v>1.2500000000000001E-2</v>
      </c>
      <c r="AM32" s="3734">
        <f>+'56X'!Z35</f>
        <v>32.517030033780166</v>
      </c>
      <c r="AN32" s="3668"/>
      <c r="AO32" s="3668"/>
      <c r="AP32" s="3668"/>
      <c r="AQ32" s="3668"/>
      <c r="AR32" s="3732"/>
      <c r="AS32" s="3736"/>
      <c r="AT32" s="3732"/>
    </row>
    <row r="33" spans="1:81" ht="14.1" customHeight="1">
      <c r="A33" s="3290"/>
      <c r="B33" s="3280"/>
      <c r="C33" s="3280"/>
      <c r="D33" s="3280"/>
      <c r="E33" s="3280"/>
      <c r="F33" s="3280"/>
      <c r="G33" s="3280"/>
      <c r="H33" s="3313"/>
      <c r="I33" s="3513"/>
      <c r="J33" s="3513"/>
      <c r="K33" s="3513"/>
      <c r="L33" s="3513"/>
      <c r="M33" s="3513"/>
      <c r="N33" s="3280"/>
      <c r="O33" s="3280"/>
      <c r="P33" s="3280"/>
      <c r="Q33" s="3280"/>
      <c r="R33" s="3280"/>
      <c r="S33" s="3280"/>
      <c r="T33" s="3641"/>
      <c r="V33" s="3737" t="s">
        <v>1199</v>
      </c>
      <c r="W33" s="3737" t="s">
        <v>1430</v>
      </c>
      <c r="X33" s="3738" t="s">
        <v>982</v>
      </c>
      <c r="Y33" s="3739" t="s">
        <v>1431</v>
      </c>
      <c r="Z33" s="3739" t="s">
        <v>1432</v>
      </c>
      <c r="AA33" s="3666"/>
      <c r="AB33" s="3667"/>
      <c r="AD33" s="4065" t="s">
        <v>1558</v>
      </c>
      <c r="AE33" s="4065"/>
      <c r="AF33" s="4068"/>
      <c r="AG33" s="4069" t="s">
        <v>124</v>
      </c>
      <c r="AH33" s="4068"/>
      <c r="AJ33" s="3669"/>
      <c r="AL33" s="3733">
        <f>+'56X'!W36</f>
        <v>2.5000000000000001E-2</v>
      </c>
      <c r="AM33" s="3734">
        <f>+'56X'!Z36</f>
        <v>70.036680072757278</v>
      </c>
      <c r="AN33" s="3673"/>
      <c r="AO33" s="3673"/>
      <c r="AP33" s="3673"/>
      <c r="AQ33" s="3673"/>
      <c r="AR33" s="3732"/>
      <c r="AS33" s="3736"/>
      <c r="AT33" s="3732"/>
    </row>
    <row r="34" spans="1:81" ht="14.1" customHeight="1">
      <c r="A34" s="3290"/>
      <c r="B34" s="3473" t="s">
        <v>1419</v>
      </c>
      <c r="C34" s="3473"/>
      <c r="D34" s="3423"/>
      <c r="E34" s="3423"/>
      <c r="F34" s="3519"/>
      <c r="G34" s="3280"/>
      <c r="H34" s="3280"/>
      <c r="I34" s="3280"/>
      <c r="J34" s="3280"/>
      <c r="K34" s="3280"/>
      <c r="L34" s="3280"/>
      <c r="M34" s="3280"/>
      <c r="N34" s="3280"/>
      <c r="O34" s="3280"/>
      <c r="P34" s="3280"/>
      <c r="Q34" s="3280"/>
      <c r="R34" s="3280"/>
      <c r="S34" s="3280"/>
      <c r="T34" s="3641"/>
      <c r="V34" s="3740">
        <v>0</v>
      </c>
      <c r="W34" s="3741">
        <v>0</v>
      </c>
      <c r="X34" s="3742">
        <v>0</v>
      </c>
      <c r="Y34" s="3832">
        <v>0</v>
      </c>
      <c r="Z34" s="3744">
        <f>+X34*Y34/$X$28</f>
        <v>0</v>
      </c>
      <c r="AA34" s="3666"/>
      <c r="AB34" s="3666"/>
      <c r="AD34" s="4065"/>
      <c r="AE34" s="4065"/>
      <c r="AF34" s="4068"/>
      <c r="AG34" s="4068"/>
      <c r="AH34" s="4068"/>
      <c r="AJ34" s="3669"/>
      <c r="AK34" s="3666"/>
      <c r="AL34" s="3733">
        <f>+'56X'!W37</f>
        <v>0.05</v>
      </c>
      <c r="AM34" s="3734">
        <f>+'56X'!Z37</f>
        <v>140.07336014551456</v>
      </c>
      <c r="AR34" s="3736"/>
      <c r="AS34" s="3736"/>
      <c r="AT34" s="3736"/>
    </row>
    <row r="35" spans="1:81" ht="14.1" customHeight="1">
      <c r="A35" s="3290"/>
      <c r="B35" s="4905" t="s">
        <v>1433</v>
      </c>
      <c r="C35" s="4905"/>
      <c r="D35" s="3423">
        <f>'25X'!D35</f>
        <v>28.7926</v>
      </c>
      <c r="E35" s="3423" t="s">
        <v>1422</v>
      </c>
      <c r="F35" s="3423"/>
      <c r="G35" s="3280"/>
      <c r="H35" s="3280"/>
      <c r="I35" s="3280"/>
      <c r="J35" s="3280"/>
      <c r="K35" s="3280"/>
      <c r="L35" s="3280"/>
      <c r="M35" s="3280"/>
      <c r="N35" s="3280"/>
      <c r="O35" s="3280"/>
      <c r="P35" s="3280"/>
      <c r="Q35" s="3280"/>
      <c r="R35" s="3280"/>
      <c r="S35" s="3280"/>
      <c r="T35" s="3641"/>
      <c r="V35" s="3745">
        <v>0.25</v>
      </c>
      <c r="W35" s="3746">
        <v>1.2500000000000001E-2</v>
      </c>
      <c r="X35" s="3747">
        <v>3.25</v>
      </c>
      <c r="Y35" s="3833">
        <f t="shared" ref="Y35:Y44" si="4">X35*$X$27</f>
        <v>93.575950000000006</v>
      </c>
      <c r="Z35" s="3749">
        <f t="shared" ref="Z35:Z44" si="5">Y35/$X$28</f>
        <v>32.517030033780166</v>
      </c>
      <c r="AA35" s="3666"/>
      <c r="AB35" s="3666"/>
      <c r="AD35" s="4065"/>
      <c r="AE35" s="4065"/>
      <c r="AF35" s="4068"/>
      <c r="AG35" s="4068"/>
      <c r="AH35" s="4068"/>
      <c r="AJ35" s="3669"/>
      <c r="AL35" s="3733">
        <f>+'56X'!W38</f>
        <v>7.4999999999999997E-2</v>
      </c>
      <c r="AM35" s="3734">
        <f>+'56X'!Z38</f>
        <v>200.1048002078779</v>
      </c>
      <c r="AR35" s="3732"/>
      <c r="AS35" s="3736"/>
      <c r="AT35" s="3732"/>
      <c r="BB35" s="3750">
        <v>2000</v>
      </c>
      <c r="BC35" s="3750">
        <v>6000</v>
      </c>
      <c r="BD35" s="3750">
        <v>10000</v>
      </c>
    </row>
    <row r="36" spans="1:81" ht="14.1" customHeight="1">
      <c r="A36" s="3290"/>
      <c r="B36" s="4905" t="s">
        <v>1423</v>
      </c>
      <c r="C36" s="4905"/>
      <c r="D36" s="3528">
        <f>'25X'!D36</f>
        <v>3.0800546209161292</v>
      </c>
      <c r="E36" s="3529" t="s">
        <v>1425</v>
      </c>
      <c r="F36" s="3423"/>
      <c r="G36" s="3502"/>
      <c r="H36" s="4906"/>
      <c r="I36" s="3325"/>
      <c r="J36" s="3325"/>
      <c r="K36" s="3325"/>
      <c r="L36" s="3325"/>
      <c r="M36" s="3325"/>
      <c r="N36" s="3325"/>
      <c r="O36" s="3325"/>
      <c r="P36" s="3325"/>
      <c r="Q36" s="3325"/>
      <c r="R36" s="3325"/>
      <c r="S36" s="3280"/>
      <c r="T36" s="3641"/>
      <c r="V36" s="3745">
        <v>0.5</v>
      </c>
      <c r="W36" s="3746">
        <v>2.5000000000000001E-2</v>
      </c>
      <c r="X36" s="3747">
        <v>7</v>
      </c>
      <c r="Y36" s="3833">
        <f t="shared" si="4"/>
        <v>201.54820000000001</v>
      </c>
      <c r="Z36" s="3749">
        <f t="shared" si="5"/>
        <v>70.036680072757278</v>
      </c>
      <c r="AA36" s="3666"/>
      <c r="AB36" s="3666"/>
      <c r="AD36" s="4065"/>
      <c r="AE36" s="4065"/>
      <c r="AF36" s="4068"/>
      <c r="AG36" s="4068"/>
      <c r="AH36" s="4068"/>
      <c r="AJ36" s="3669"/>
      <c r="AK36" s="3666"/>
      <c r="AL36" s="3733">
        <f>+'56X'!W39</f>
        <v>0.1</v>
      </c>
      <c r="AM36" s="3734">
        <f>+'56X'!Z39</f>
        <v>280.14672029102911</v>
      </c>
      <c r="AN36" s="3751">
        <f>AL37-AL36</f>
        <v>4.9999999999999989E-2</v>
      </c>
      <c r="AO36" s="3751">
        <f>AO26/AN36</f>
        <v>0</v>
      </c>
      <c r="AP36" s="3639">
        <f>AO36*(AM37-AM36)</f>
        <v>0</v>
      </c>
      <c r="AQ36" s="3752">
        <f>AM36+AP36</f>
        <v>280.14672029102911</v>
      </c>
      <c r="AR36" s="3732"/>
      <c r="AS36" s="3736"/>
      <c r="AT36" s="3732"/>
    </row>
    <row r="37" spans="1:81" ht="14.1" customHeight="1">
      <c r="A37" s="3290"/>
      <c r="B37" s="3473"/>
      <c r="C37" s="3473"/>
      <c r="D37" s="3423"/>
      <c r="E37" s="3423"/>
      <c r="F37" s="3423"/>
      <c r="G37" s="3502"/>
      <c r="H37" s="4906"/>
      <c r="I37" s="3313"/>
      <c r="J37" s="3536"/>
      <c r="K37" s="3313"/>
      <c r="L37" s="3313"/>
      <c r="M37" s="3313"/>
      <c r="N37" s="3313"/>
      <c r="O37" s="3313"/>
      <c r="P37" s="3313"/>
      <c r="Q37" s="3313"/>
      <c r="R37" s="3313"/>
      <c r="S37" s="3313"/>
      <c r="T37" s="3641"/>
      <c r="V37" s="3745">
        <v>1</v>
      </c>
      <c r="W37" s="3746">
        <v>0.05</v>
      </c>
      <c r="X37" s="3747">
        <v>14</v>
      </c>
      <c r="Y37" s="3833">
        <f t="shared" si="4"/>
        <v>403.09640000000002</v>
      </c>
      <c r="Z37" s="3749">
        <f t="shared" si="5"/>
        <v>140.07336014551456</v>
      </c>
      <c r="AA37" s="3753"/>
      <c r="AB37" s="3754"/>
      <c r="AC37" s="3755"/>
      <c r="AD37" s="4065" t="s">
        <v>1556</v>
      </c>
      <c r="AE37" s="4065"/>
      <c r="AF37" s="4068"/>
      <c r="AG37" s="4068"/>
      <c r="AH37" s="4068"/>
      <c r="AI37" s="3755"/>
      <c r="AJ37" s="3756"/>
      <c r="AK37" s="3755"/>
      <c r="AL37" s="3733">
        <f>+'56X'!W40</f>
        <v>0.15</v>
      </c>
      <c r="AM37" s="3734">
        <f>+'56X'!Z40</f>
        <v>390.20436040536191</v>
      </c>
      <c r="AO37" s="3751"/>
      <c r="AQ37" s="3757"/>
      <c r="AR37" s="3732"/>
      <c r="AS37" s="3736"/>
      <c r="AT37" s="3732"/>
    </row>
    <row r="38" spans="1:81" ht="14.1" customHeight="1">
      <c r="A38" s="3290"/>
      <c r="B38" s="4907" t="s">
        <v>16</v>
      </c>
      <c r="C38" s="4907" t="s">
        <v>1426</v>
      </c>
      <c r="D38" s="4909" t="s">
        <v>1427</v>
      </c>
      <c r="E38" s="4907" t="s">
        <v>174</v>
      </c>
      <c r="F38" s="4907" t="s">
        <v>166</v>
      </c>
      <c r="G38" s="3280"/>
      <c r="H38" s="3313"/>
      <c r="I38" s="3539"/>
      <c r="J38" s="3539"/>
      <c r="K38" s="3539"/>
      <c r="L38" s="3539"/>
      <c r="M38" s="3539"/>
      <c r="N38" s="3540"/>
      <c r="O38" s="3540"/>
      <c r="P38" s="3540"/>
      <c r="Q38" s="3540"/>
      <c r="R38" s="3313"/>
      <c r="S38" s="3313"/>
      <c r="T38" s="3641"/>
      <c r="V38" s="3745">
        <v>1.5</v>
      </c>
      <c r="W38" s="3746">
        <v>7.4999999999999997E-2</v>
      </c>
      <c r="X38" s="3747">
        <v>20</v>
      </c>
      <c r="Y38" s="3833">
        <f t="shared" si="4"/>
        <v>575.85199999999998</v>
      </c>
      <c r="Z38" s="3749">
        <f t="shared" si="5"/>
        <v>200.1048002078779</v>
      </c>
      <c r="AA38" s="3753"/>
      <c r="AB38" s="3727"/>
      <c r="AC38" s="3755"/>
      <c r="AD38" s="4070" t="s">
        <v>1557</v>
      </c>
      <c r="AE38" s="4065"/>
      <c r="AF38" s="4068">
        <v>7.36</v>
      </c>
      <c r="AG38" s="4068">
        <v>7.34</v>
      </c>
      <c r="AH38" s="4068"/>
      <c r="AI38" s="3755"/>
      <c r="AJ38" s="3756"/>
      <c r="AK38" s="3755"/>
      <c r="AL38" s="3733">
        <f>+'56X'!W41</f>
        <v>0.2</v>
      </c>
      <c r="AM38" s="3734">
        <f>+'56X'!Z41</f>
        <v>480.25152049890704</v>
      </c>
      <c r="AN38" s="3751">
        <f>AL39-AL38</f>
        <v>9.9999999999999978E-2</v>
      </c>
      <c r="AO38" s="3751">
        <f>AO26/AN38</f>
        <v>0</v>
      </c>
      <c r="AP38" s="3639">
        <f>AO38*(AM39-AM38)</f>
        <v>0</v>
      </c>
      <c r="AQ38" s="3752">
        <f>AM38+AP38</f>
        <v>480.25152049890704</v>
      </c>
      <c r="BA38" s="3694">
        <f t="shared" ref="BA38:BA47" si="6">X35</f>
        <v>3.25</v>
      </c>
      <c r="BB38" s="3666">
        <f t="shared" ref="BB38:BB47" si="7">IF(BA38&lt;=100,2.0247,1.9965)</f>
        <v>2.0247000000000002</v>
      </c>
      <c r="BC38" s="3639">
        <f>IF(BA38&lt;=100,BF38,IF(BA38&lt;=200,BG38,IF(BA38&lt;=300,BH38,IF(BA38&lt;=400,BI38,IF(BA38&lt;=500,BJ38,IF(BA38&lt;=600,BK38))))))</f>
        <v>7.4991047499999999</v>
      </c>
      <c r="BD38" s="3639">
        <f>IF(BA38&lt;=160,CA38,IF(BA38&lt;=180,CB38,IF(BA38&lt;=200,CC38)))</f>
        <v>50.269375000000004</v>
      </c>
      <c r="BF38" s="3639">
        <f t="shared" ref="BF38:BF47" si="8">(BA38-$BB$19)/($BB$20-$BB$19)*-($BE$19)+$BD$19</f>
        <v>7.4991047499999999</v>
      </c>
      <c r="BG38" s="3639">
        <f t="shared" ref="BG38:BG47" si="9">(BA38-$BB$20)/($BB$21-$BB$20)*-($BE$20)+$BD$20</f>
        <v>7.0280852500000002</v>
      </c>
      <c r="BH38" s="3639">
        <f t="shared" ref="BH38:BH47" si="10">(BA38-$BB$21)/($BB$22-$BB$21)*-($BE$21)+$BD$21</f>
        <v>6.6802942499999993</v>
      </c>
      <c r="BI38" s="3639">
        <f t="shared" ref="BI38:BI47" si="11">(BA38-$BB$22)/($BB$23-$BB$22)*-($BE$22)+$BD$22</f>
        <v>6.5243714999999991</v>
      </c>
      <c r="BJ38" s="3639">
        <f t="shared" ref="BJ38:BJ47" si="12">(BA38-$BB$23)/($BB$24-$BB$23)*-($BE$23)+$BD$23</f>
        <v>6.4304857500000026</v>
      </c>
      <c r="BK38" s="3639">
        <f t="shared" ref="BK38:BK47" si="13">(BA38-$BB$24)/($BB$25-$BB$24)*-($BE$24)+$BD$24</f>
        <v>6.3863262499999989</v>
      </c>
      <c r="BL38" s="3639">
        <f t="shared" ref="BL38:BL47" si="14">(BA38-$BB$25)/($BB$26-$BB$25)*-($BE$25)+$BD$25</f>
        <v>6.3152577499999971</v>
      </c>
      <c r="BM38" s="3639">
        <f t="shared" ref="BM38:BM47" si="15">(BA38-$BB$26)/($BB$27-$BB$26)*-($BE$26)+$BD$26</f>
        <v>6.267452750000003</v>
      </c>
      <c r="BN38" s="3639">
        <f t="shared" ref="BN38:BN47" si="16">(BA38-$BB$27)/($BB$29-$BB$27)*-($BE$27)+$BD$27</f>
        <v>6.2270990000000008</v>
      </c>
      <c r="BU38" s="3639">
        <f t="shared" ref="BU38:BU47" si="17">(BA38-$BH$19)/($BH$20-$BH$19)*-($BK$19)+$BJ$19</f>
        <v>54.956125</v>
      </c>
      <c r="BV38" s="3639">
        <f t="shared" ref="BV38:BV47" si="18">(BA38-$BH$20)/($BH$21-$BH$20)*-($BK$20)+$BJ$20</f>
        <v>51.611874999999984</v>
      </c>
      <c r="BW38" s="3639">
        <f t="shared" ref="BW38:BW47" si="19">(BA38-$BH$21)/($BH$22-$BH$21)*-($BK$21)+$BJ$21</f>
        <v>50.278250000000007</v>
      </c>
      <c r="BX38" s="3639">
        <f t="shared" ref="BX38:BX47" si="20">(BA38-$BH$22)/($BH$23-$BH$22)*-($BK$22)+$BJ$22</f>
        <v>49.779375000000002</v>
      </c>
      <c r="BY38" s="3639">
        <f t="shared" ref="BY38:BY47" si="21">(BA38-$BH$23)/($BH$24-$BH$23)*-($BK$23)+$BJ$23</f>
        <v>48.521625000000007</v>
      </c>
      <c r="BZ38" s="3639">
        <f t="shared" ref="BZ38:BZ47" si="22">(BA38-$BH$24)/($BH$25-$BH$24)*-($BK$24)+$BJ$24</f>
        <v>48.696749999999973</v>
      </c>
      <c r="CA38" s="3639">
        <f t="shared" ref="CA38:CA47" si="23">(BA38-$BH$25)/($BH$26-$BH$25)*-($BK$25)+$BJ$25</f>
        <v>50.269375000000004</v>
      </c>
      <c r="CB38" s="3639">
        <f t="shared" ref="CB38:CB47" si="24">(BA38-$BH$26)/($BH$27-$BH$26)*-($BK$26)+$BJ$26</f>
        <v>49.407250000000005</v>
      </c>
      <c r="CC38" s="3639">
        <f t="shared" ref="CC38:CC47" si="25">(BA38-$BH$27)/($BH$29-$BH$27)*-($BK$27)+$BJ$27</f>
        <v>49.142125</v>
      </c>
    </row>
    <row r="39" spans="1:81" ht="12.95" customHeight="1">
      <c r="A39" s="3290"/>
      <c r="B39" s="4908"/>
      <c r="C39" s="4908"/>
      <c r="D39" s="4910"/>
      <c r="E39" s="4908"/>
      <c r="F39" s="4908"/>
      <c r="G39" s="3280"/>
      <c r="H39" s="3313"/>
      <c r="I39" s="3539"/>
      <c r="J39" s="3539"/>
      <c r="K39" s="3539"/>
      <c r="L39" s="3539"/>
      <c r="M39" s="3539"/>
      <c r="N39" s="3540"/>
      <c r="O39" s="3540"/>
      <c r="P39" s="3540"/>
      <c r="Q39" s="3540"/>
      <c r="R39" s="3313"/>
      <c r="S39" s="3313"/>
      <c r="T39" s="3641"/>
      <c r="V39" s="3745">
        <v>2</v>
      </c>
      <c r="W39" s="3746">
        <v>0.1</v>
      </c>
      <c r="X39" s="3747">
        <v>28</v>
      </c>
      <c r="Y39" s="3833">
        <f t="shared" si="4"/>
        <v>806.19280000000003</v>
      </c>
      <c r="Z39" s="3749">
        <f t="shared" si="5"/>
        <v>280.14672029102911</v>
      </c>
      <c r="AA39" s="3753"/>
      <c r="AB39" s="3727"/>
      <c r="AC39" s="3755"/>
      <c r="AD39" s="3755"/>
      <c r="AE39" s="3755"/>
      <c r="AF39" s="3755"/>
      <c r="AG39" s="3755"/>
      <c r="AH39" s="3755"/>
      <c r="AI39" s="3755"/>
      <c r="AJ39" s="3756"/>
      <c r="AK39" s="3755"/>
      <c r="AL39" s="3733">
        <f>+'56X'!W42</f>
        <v>0.3</v>
      </c>
      <c r="AM39" s="3734">
        <f>+'56X'!Z42</f>
        <v>550.28820057166433</v>
      </c>
      <c r="BA39" s="3694">
        <f t="shared" si="6"/>
        <v>7</v>
      </c>
      <c r="BB39" s="3666">
        <f t="shared" si="7"/>
        <v>2.0247000000000002</v>
      </c>
      <c r="BC39" s="3639">
        <f t="shared" ref="BC39:BC47" si="26">IF(BA39&lt;=400,BF39,IF(BA39&lt;=600,BG39,IF(BA39&lt;=800,BH39,IF(BA39&lt;=1000,BI39))))</f>
        <v>7.4813409999999996</v>
      </c>
      <c r="BD39" s="3639">
        <f t="shared" ref="BD39:BD47" si="27">IF(BA39&lt;=160,CA39,IF(X36&lt;=180,CB39,IF(X36&lt;=200,CC39)))</f>
        <v>50.222500000000004</v>
      </c>
      <c r="BF39" s="3639">
        <f t="shared" si="8"/>
        <v>7.4813409999999996</v>
      </c>
      <c r="BG39" s="3639">
        <f t="shared" si="9"/>
        <v>7.0192990000000002</v>
      </c>
      <c r="BH39" s="3639">
        <f t="shared" si="10"/>
        <v>6.675902999999999</v>
      </c>
      <c r="BI39" s="3639">
        <f t="shared" si="11"/>
        <v>6.5214539999999994</v>
      </c>
      <c r="BJ39" s="3639">
        <f t="shared" si="12"/>
        <v>6.4282770000000022</v>
      </c>
      <c r="BK39" s="3639">
        <f t="shared" si="13"/>
        <v>6.3843949999999987</v>
      </c>
      <c r="BL39" s="3639">
        <f t="shared" si="14"/>
        <v>6.3137089999999976</v>
      </c>
      <c r="BM39" s="3639">
        <f t="shared" si="15"/>
        <v>6.2661290000000029</v>
      </c>
      <c r="BN39" s="3639">
        <f t="shared" si="16"/>
        <v>6.225944000000001</v>
      </c>
      <c r="BU39" s="3639">
        <f t="shared" si="17"/>
        <v>54.455500000000001</v>
      </c>
      <c r="BV39" s="3639">
        <f t="shared" si="18"/>
        <v>51.452499999999986</v>
      </c>
      <c r="BW39" s="3639">
        <f t="shared" si="19"/>
        <v>50.207000000000008</v>
      </c>
      <c r="BX39" s="3639">
        <f t="shared" si="20"/>
        <v>49.732500000000002</v>
      </c>
      <c r="BY39" s="3639">
        <f t="shared" si="21"/>
        <v>48.523500000000013</v>
      </c>
      <c r="BZ39" s="3639">
        <f t="shared" si="22"/>
        <v>48.692999999999977</v>
      </c>
      <c r="CA39" s="3639">
        <f t="shared" si="23"/>
        <v>50.222500000000004</v>
      </c>
      <c r="CB39" s="3639">
        <f t="shared" si="24"/>
        <v>49.381000000000007</v>
      </c>
      <c r="CC39" s="3639">
        <f t="shared" si="25"/>
        <v>49.121499999999997</v>
      </c>
    </row>
    <row r="40" spans="1:81" ht="14.1" customHeight="1">
      <c r="A40" s="3290"/>
      <c r="B40" s="4908"/>
      <c r="C40" s="4908"/>
      <c r="D40" s="4910"/>
      <c r="E40" s="4908"/>
      <c r="F40" s="4908"/>
      <c r="G40" s="3280"/>
      <c r="H40" s="3313"/>
      <c r="I40" s="3546"/>
      <c r="J40" s="3546"/>
      <c r="K40" s="3546"/>
      <c r="L40" s="3546"/>
      <c r="M40" s="3546"/>
      <c r="N40" s="3540"/>
      <c r="O40" s="3540"/>
      <c r="P40" s="3540"/>
      <c r="Q40" s="3540"/>
      <c r="R40" s="3313"/>
      <c r="S40" s="3313"/>
      <c r="T40" s="3641"/>
      <c r="V40" s="3745">
        <v>3</v>
      </c>
      <c r="W40" s="3746">
        <v>0.15</v>
      </c>
      <c r="X40" s="3747">
        <v>39</v>
      </c>
      <c r="Y40" s="3833">
        <f t="shared" si="4"/>
        <v>1122.9114</v>
      </c>
      <c r="Z40" s="3749">
        <f t="shared" si="5"/>
        <v>390.20436040536191</v>
      </c>
      <c r="AA40" s="3753"/>
      <c r="AB40" s="3727"/>
      <c r="AC40" s="3755"/>
      <c r="AD40" s="3755"/>
      <c r="AE40" s="3755"/>
      <c r="AF40" s="3755"/>
      <c r="AG40" s="3755"/>
      <c r="AH40" s="3755"/>
      <c r="AI40" s="3755"/>
      <c r="AJ40" s="3756"/>
      <c r="AK40" s="3755"/>
      <c r="AL40" s="3733">
        <f>+'56X'!W43</f>
        <v>0.4</v>
      </c>
      <c r="AM40" s="3734">
        <f>+'56X'!Z43</f>
        <v>590.3091606132399</v>
      </c>
      <c r="BA40" s="3694">
        <f t="shared" si="6"/>
        <v>14</v>
      </c>
      <c r="BB40" s="3666">
        <f t="shared" si="7"/>
        <v>2.0247000000000002</v>
      </c>
      <c r="BC40" s="3639">
        <f t="shared" si="26"/>
        <v>7.4481820000000001</v>
      </c>
      <c r="BD40" s="3639">
        <f t="shared" si="27"/>
        <v>50.135000000000005</v>
      </c>
      <c r="BF40" s="3639">
        <f t="shared" si="8"/>
        <v>7.4481820000000001</v>
      </c>
      <c r="BG40" s="3639">
        <f t="shared" si="9"/>
        <v>7.0028980000000001</v>
      </c>
      <c r="BH40" s="3639">
        <f t="shared" si="10"/>
        <v>6.667705999999999</v>
      </c>
      <c r="BI40" s="3639">
        <f t="shared" si="11"/>
        <v>6.5160079999999994</v>
      </c>
      <c r="BJ40" s="3639">
        <f t="shared" si="12"/>
        <v>6.4241540000000024</v>
      </c>
      <c r="BK40" s="3639">
        <f t="shared" si="13"/>
        <v>6.3807899999999993</v>
      </c>
      <c r="BL40" s="3639">
        <f t="shared" si="14"/>
        <v>6.3108179999999976</v>
      </c>
      <c r="BM40" s="3639">
        <f t="shared" si="15"/>
        <v>6.2636580000000031</v>
      </c>
      <c r="BN40" s="3639">
        <f t="shared" si="16"/>
        <v>6.2237880000000017</v>
      </c>
      <c r="BU40" s="3639">
        <f t="shared" si="17"/>
        <v>53.521000000000001</v>
      </c>
      <c r="BV40" s="3639">
        <f t="shared" si="18"/>
        <v>51.154999999999987</v>
      </c>
      <c r="BW40" s="3639">
        <f t="shared" si="19"/>
        <v>50.074000000000005</v>
      </c>
      <c r="BX40" s="3639">
        <f t="shared" si="20"/>
        <v>49.645000000000003</v>
      </c>
      <c r="BY40" s="3639">
        <f t="shared" si="21"/>
        <v>48.527000000000008</v>
      </c>
      <c r="BZ40" s="3639">
        <f t="shared" si="22"/>
        <v>48.685999999999979</v>
      </c>
      <c r="CA40" s="3639">
        <f t="shared" si="23"/>
        <v>50.135000000000005</v>
      </c>
      <c r="CB40" s="3639">
        <f t="shared" si="24"/>
        <v>49.332000000000008</v>
      </c>
      <c r="CC40" s="3639">
        <f t="shared" si="25"/>
        <v>49.082999999999998</v>
      </c>
    </row>
    <row r="41" spans="1:81" ht="14.1" customHeight="1">
      <c r="A41" s="3290"/>
      <c r="B41" s="3547" t="s">
        <v>1199</v>
      </c>
      <c r="C41" s="3547" t="s">
        <v>1430</v>
      </c>
      <c r="D41" s="3548" t="s">
        <v>982</v>
      </c>
      <c r="E41" s="3549" t="s">
        <v>1431</v>
      </c>
      <c r="F41" s="3549" t="s">
        <v>1432</v>
      </c>
      <c r="G41" s="3282"/>
      <c r="H41" s="3313"/>
      <c r="I41" s="3546"/>
      <c r="J41" s="3546"/>
      <c r="K41" s="3546"/>
      <c r="L41" s="3546"/>
      <c r="M41" s="3546"/>
      <c r="N41" s="3540"/>
      <c r="O41" s="3540"/>
      <c r="P41" s="3540"/>
      <c r="Q41" s="3540"/>
      <c r="R41" s="3280"/>
      <c r="S41" s="3280"/>
      <c r="T41" s="3641"/>
      <c r="V41" s="3745">
        <v>4</v>
      </c>
      <c r="W41" s="3746">
        <v>0.2</v>
      </c>
      <c r="X41" s="3747">
        <v>48</v>
      </c>
      <c r="Y41" s="3833">
        <f t="shared" si="4"/>
        <v>1382.0448000000001</v>
      </c>
      <c r="Z41" s="3749">
        <f t="shared" si="5"/>
        <v>480.25152049890704</v>
      </c>
      <c r="AA41" s="3753"/>
      <c r="AB41" s="3727"/>
      <c r="AC41" s="3755"/>
      <c r="AD41" s="3755"/>
      <c r="AE41" s="3755"/>
      <c r="AF41" s="3755"/>
      <c r="AG41" s="3755"/>
      <c r="AH41" s="3755"/>
      <c r="AI41" s="3755"/>
      <c r="AJ41" s="3756"/>
      <c r="AK41" s="3755"/>
      <c r="AL41" s="3733">
        <f>+'56X'!W44</f>
        <v>0.5</v>
      </c>
      <c r="AM41" s="3734">
        <f>+'56X'!Z44</f>
        <v>600.31440062363379</v>
      </c>
      <c r="BA41" s="3694">
        <f t="shared" si="6"/>
        <v>20</v>
      </c>
      <c r="BB41" s="3666">
        <f t="shared" si="7"/>
        <v>2.0247000000000002</v>
      </c>
      <c r="BC41" s="3639">
        <f t="shared" si="26"/>
        <v>7.4197600000000001</v>
      </c>
      <c r="BD41" s="3639">
        <f t="shared" si="27"/>
        <v>50.06</v>
      </c>
      <c r="BF41" s="3639">
        <f t="shared" si="8"/>
        <v>7.4197600000000001</v>
      </c>
      <c r="BG41" s="3639">
        <f t="shared" si="9"/>
        <v>6.9888400000000006</v>
      </c>
      <c r="BH41" s="3639">
        <f t="shared" si="10"/>
        <v>6.6606799999999993</v>
      </c>
      <c r="BI41" s="3639">
        <f t="shared" si="11"/>
        <v>6.5113399999999997</v>
      </c>
      <c r="BJ41" s="3639">
        <f t="shared" si="12"/>
        <v>6.4206200000000022</v>
      </c>
      <c r="BK41" s="3639">
        <f t="shared" si="13"/>
        <v>6.377699999999999</v>
      </c>
      <c r="BL41" s="3639">
        <f t="shared" si="14"/>
        <v>6.3083399999999976</v>
      </c>
      <c r="BM41" s="3639">
        <f t="shared" si="15"/>
        <v>6.2615400000000028</v>
      </c>
      <c r="BN41" s="3639">
        <f t="shared" si="16"/>
        <v>6.2219400000000009</v>
      </c>
      <c r="BU41" s="3639">
        <f t="shared" si="17"/>
        <v>52.72</v>
      </c>
      <c r="BV41" s="3639">
        <f t="shared" si="18"/>
        <v>50.899999999999991</v>
      </c>
      <c r="BW41" s="3639">
        <f t="shared" si="19"/>
        <v>49.960000000000008</v>
      </c>
      <c r="BX41" s="3639">
        <f t="shared" si="20"/>
        <v>49.57</v>
      </c>
      <c r="BY41" s="3639">
        <f t="shared" si="21"/>
        <v>48.530000000000008</v>
      </c>
      <c r="BZ41" s="3639">
        <f t="shared" si="22"/>
        <v>48.679999999999978</v>
      </c>
      <c r="CA41" s="3639">
        <f t="shared" si="23"/>
        <v>50.06</v>
      </c>
      <c r="CB41" s="3639">
        <f t="shared" si="24"/>
        <v>49.290000000000006</v>
      </c>
      <c r="CC41" s="3639">
        <f t="shared" si="25"/>
        <v>49.05</v>
      </c>
    </row>
    <row r="42" spans="1:81" ht="14.1" customHeight="1">
      <c r="A42" s="3290"/>
      <c r="B42" s="3550">
        <v>0</v>
      </c>
      <c r="C42" s="3551">
        <v>0</v>
      </c>
      <c r="D42" s="3758">
        <v>0</v>
      </c>
      <c r="E42" s="3759">
        <f>IF(D42="", "", D42*$D$35)</f>
        <v>0</v>
      </c>
      <c r="F42" s="3554">
        <f>IF(E42="", "", E42/$D$36)</f>
        <v>0</v>
      </c>
      <c r="G42" s="3280"/>
      <c r="H42" s="3313"/>
      <c r="I42" s="3555"/>
      <c r="J42" s="3555"/>
      <c r="K42" s="3555"/>
      <c r="L42" s="3555"/>
      <c r="M42" s="3555"/>
      <c r="N42" s="3280"/>
      <c r="O42" s="3280"/>
      <c r="P42" s="3280"/>
      <c r="Q42" s="3280"/>
      <c r="R42" s="3280"/>
      <c r="S42" s="3280"/>
      <c r="T42" s="3641"/>
      <c r="V42" s="3745">
        <v>6</v>
      </c>
      <c r="W42" s="3746">
        <v>0.3</v>
      </c>
      <c r="X42" s="3747">
        <v>55</v>
      </c>
      <c r="Y42" s="3833">
        <f t="shared" si="4"/>
        <v>1583.5930000000001</v>
      </c>
      <c r="Z42" s="3749">
        <f t="shared" si="5"/>
        <v>550.28820057166433</v>
      </c>
      <c r="AA42" s="3753"/>
      <c r="AB42" s="3727"/>
      <c r="AC42" s="3755"/>
      <c r="AD42" s="3755"/>
      <c r="AE42" s="3755"/>
      <c r="AF42" s="3755"/>
      <c r="AG42" s="3755"/>
      <c r="AH42" s="3755"/>
      <c r="AI42" s="3755"/>
      <c r="AJ42" s="3756"/>
      <c r="AK42" s="3755"/>
      <c r="AV42" s="3762"/>
      <c r="AW42" s="3734"/>
      <c r="BA42" s="3694">
        <f t="shared" si="6"/>
        <v>28</v>
      </c>
      <c r="BB42" s="3666">
        <f t="shared" si="7"/>
        <v>2.0247000000000002</v>
      </c>
      <c r="BC42" s="3639">
        <f t="shared" si="26"/>
        <v>7.3818640000000002</v>
      </c>
      <c r="BD42" s="3639">
        <f t="shared" si="27"/>
        <v>49.96</v>
      </c>
      <c r="BF42" s="3639">
        <f t="shared" si="8"/>
        <v>7.3818640000000002</v>
      </c>
      <c r="BG42" s="3639">
        <f t="shared" si="9"/>
        <v>6.9700959999999998</v>
      </c>
      <c r="BH42" s="3639">
        <f t="shared" si="10"/>
        <v>6.651311999999999</v>
      </c>
      <c r="BI42" s="3639">
        <f t="shared" si="11"/>
        <v>6.5051159999999992</v>
      </c>
      <c r="BJ42" s="3639">
        <f t="shared" si="12"/>
        <v>6.4159080000000017</v>
      </c>
      <c r="BK42" s="3639">
        <f t="shared" si="13"/>
        <v>6.3735799999999987</v>
      </c>
      <c r="BL42" s="3639">
        <f t="shared" si="14"/>
        <v>6.3050359999999976</v>
      </c>
      <c r="BM42" s="3639">
        <f t="shared" si="15"/>
        <v>6.2587160000000024</v>
      </c>
      <c r="BN42" s="3639">
        <f t="shared" si="16"/>
        <v>6.2194760000000011</v>
      </c>
      <c r="BU42" s="3639">
        <f t="shared" si="17"/>
        <v>51.652000000000001</v>
      </c>
      <c r="BV42" s="3639">
        <f t="shared" si="18"/>
        <v>50.559999999999995</v>
      </c>
      <c r="BW42" s="3639">
        <f t="shared" si="19"/>
        <v>49.808000000000007</v>
      </c>
      <c r="BX42" s="3639">
        <f t="shared" si="20"/>
        <v>49.47</v>
      </c>
      <c r="BY42" s="3639">
        <f t="shared" si="21"/>
        <v>48.534000000000006</v>
      </c>
      <c r="BZ42" s="3639">
        <f t="shared" si="22"/>
        <v>48.671999999999983</v>
      </c>
      <c r="CA42" s="3639">
        <f t="shared" si="23"/>
        <v>49.96</v>
      </c>
      <c r="CB42" s="3639">
        <f t="shared" si="24"/>
        <v>49.234000000000009</v>
      </c>
      <c r="CC42" s="3639">
        <f t="shared" si="25"/>
        <v>49.006</v>
      </c>
    </row>
    <row r="43" spans="1:81" ht="14.1" customHeight="1">
      <c r="A43" s="3332"/>
      <c r="B43" s="3556">
        <v>0.25</v>
      </c>
      <c r="C43" s="3557">
        <v>1.2500000000000001E-2</v>
      </c>
      <c r="D43" s="3721">
        <v>4</v>
      </c>
      <c r="E43" s="3725">
        <f t="shared" ref="E43:E52" si="28">IF(D43="", "", D43*$D$35)</f>
        <v>115.1704</v>
      </c>
      <c r="F43" s="3560">
        <f t="shared" ref="F43:F52" si="29">IF(E43="", "", E43/$D$36)</f>
        <v>37.392323895133977</v>
      </c>
      <c r="G43" s="3280"/>
      <c r="H43" s="3313"/>
      <c r="I43" s="3555"/>
      <c r="J43" s="3555"/>
      <c r="K43" s="3555"/>
      <c r="L43" s="3555"/>
      <c r="M43" s="3555"/>
      <c r="N43" s="3280"/>
      <c r="O43" s="3280"/>
      <c r="P43" s="3280"/>
      <c r="Q43" s="3280"/>
      <c r="R43" s="3280"/>
      <c r="S43" s="3280"/>
      <c r="T43" s="3641"/>
      <c r="V43" s="3745">
        <v>8</v>
      </c>
      <c r="W43" s="3746">
        <v>0.4</v>
      </c>
      <c r="X43" s="3747">
        <v>59</v>
      </c>
      <c r="Y43" s="3833">
        <f t="shared" si="4"/>
        <v>1698.7634</v>
      </c>
      <c r="Z43" s="3749">
        <f t="shared" si="5"/>
        <v>590.3091606132399</v>
      </c>
      <c r="AA43" s="3753"/>
      <c r="AB43" s="3727"/>
      <c r="AC43" s="3755"/>
      <c r="AD43" s="3755"/>
      <c r="AE43" s="3755"/>
      <c r="AF43" s="3755"/>
      <c r="AG43" s="3755"/>
      <c r="AH43" s="3755"/>
      <c r="AI43" s="3755"/>
      <c r="AJ43" s="3756"/>
      <c r="AK43" s="3755"/>
      <c r="AV43" s="3762"/>
      <c r="AW43" s="3734"/>
      <c r="BA43" s="3694">
        <f t="shared" si="6"/>
        <v>39</v>
      </c>
      <c r="BB43" s="3666">
        <f t="shared" si="7"/>
        <v>2.0247000000000002</v>
      </c>
      <c r="BC43" s="3639">
        <f t="shared" si="26"/>
        <v>7.3297569999999999</v>
      </c>
      <c r="BD43" s="3639">
        <f t="shared" si="27"/>
        <v>49.822500000000005</v>
      </c>
      <c r="BF43" s="3639">
        <f t="shared" si="8"/>
        <v>7.3297569999999999</v>
      </c>
      <c r="BG43" s="3639">
        <f t="shared" si="9"/>
        <v>6.9443230000000007</v>
      </c>
      <c r="BH43" s="3639">
        <f t="shared" si="10"/>
        <v>6.6384309999999989</v>
      </c>
      <c r="BI43" s="3639">
        <f t="shared" si="11"/>
        <v>6.4965579999999994</v>
      </c>
      <c r="BJ43" s="3639">
        <f t="shared" si="12"/>
        <v>6.409429000000002</v>
      </c>
      <c r="BK43" s="3639">
        <f t="shared" si="13"/>
        <v>6.3679149999999991</v>
      </c>
      <c r="BL43" s="3639">
        <f t="shared" si="14"/>
        <v>6.3004929999999977</v>
      </c>
      <c r="BM43" s="3639">
        <f t="shared" si="15"/>
        <v>6.2548330000000023</v>
      </c>
      <c r="BN43" s="3639">
        <f t="shared" si="16"/>
        <v>6.2160880000000009</v>
      </c>
      <c r="BU43" s="3639">
        <f t="shared" si="17"/>
        <v>50.183499999999995</v>
      </c>
      <c r="BV43" s="3639">
        <f t="shared" si="18"/>
        <v>50.092499999999994</v>
      </c>
      <c r="BW43" s="3639">
        <f t="shared" si="19"/>
        <v>49.599000000000004</v>
      </c>
      <c r="BX43" s="3639">
        <f t="shared" si="20"/>
        <v>49.332500000000003</v>
      </c>
      <c r="BY43" s="3639">
        <f t="shared" si="21"/>
        <v>48.539500000000004</v>
      </c>
      <c r="BZ43" s="3639">
        <f t="shared" si="22"/>
        <v>48.66099999999998</v>
      </c>
      <c r="CA43" s="3639">
        <f t="shared" si="23"/>
        <v>49.822500000000005</v>
      </c>
      <c r="CB43" s="3639">
        <f t="shared" si="24"/>
        <v>49.157000000000004</v>
      </c>
      <c r="CC43" s="3639">
        <f t="shared" si="25"/>
        <v>48.945499999999996</v>
      </c>
    </row>
    <row r="44" spans="1:81" ht="14.1" customHeight="1">
      <c r="A44" s="3332"/>
      <c r="B44" s="3556">
        <v>0.5</v>
      </c>
      <c r="C44" s="3557">
        <v>2.5000000000000001E-2</v>
      </c>
      <c r="D44" s="3721">
        <v>8</v>
      </c>
      <c r="E44" s="3725">
        <f t="shared" si="28"/>
        <v>230.3408</v>
      </c>
      <c r="F44" s="3560">
        <f t="shared" si="29"/>
        <v>74.784647790267954</v>
      </c>
      <c r="G44" s="3282"/>
      <c r="H44" s="3313"/>
      <c r="I44" s="3301"/>
      <c r="J44" s="3301"/>
      <c r="K44" s="3301"/>
      <c r="L44" s="3301"/>
      <c r="M44" s="3301"/>
      <c r="N44" s="3301"/>
      <c r="O44" s="3301"/>
      <c r="P44" s="3301"/>
      <c r="Q44" s="3301"/>
      <c r="R44" s="3301"/>
      <c r="S44" s="3280"/>
      <c r="T44" s="3641"/>
      <c r="V44" s="3763">
        <v>10</v>
      </c>
      <c r="W44" s="3764">
        <v>0.5</v>
      </c>
      <c r="X44" s="3765">
        <v>60</v>
      </c>
      <c r="Y44" s="3833">
        <f t="shared" si="4"/>
        <v>1727.556</v>
      </c>
      <c r="Z44" s="3766">
        <f t="shared" si="5"/>
        <v>600.31440062363379</v>
      </c>
      <c r="AA44" s="3753"/>
      <c r="AB44" s="3727"/>
      <c r="AC44" s="3755"/>
      <c r="AD44" s="3755"/>
      <c r="AE44" s="3755"/>
      <c r="AF44" s="3755"/>
      <c r="AG44" s="3755"/>
      <c r="AH44" s="3755"/>
      <c r="AI44" s="3755"/>
      <c r="AJ44" s="3756"/>
      <c r="AK44" s="3755"/>
      <c r="AV44" s="3762"/>
      <c r="AW44" s="3734"/>
      <c r="BA44" s="3694">
        <f t="shared" si="6"/>
        <v>48</v>
      </c>
      <c r="BB44" s="3666">
        <f t="shared" si="7"/>
        <v>2.0247000000000002</v>
      </c>
      <c r="BC44" s="3639">
        <f t="shared" si="26"/>
        <v>7.2871240000000004</v>
      </c>
      <c r="BD44" s="3639">
        <f t="shared" si="27"/>
        <v>49.71</v>
      </c>
      <c r="BF44" s="3639">
        <f t="shared" si="8"/>
        <v>7.2871240000000004</v>
      </c>
      <c r="BG44" s="3639">
        <f t="shared" si="9"/>
        <v>6.9232360000000002</v>
      </c>
      <c r="BH44" s="3639">
        <f t="shared" si="10"/>
        <v>6.6278919999999992</v>
      </c>
      <c r="BI44" s="3639">
        <f t="shared" si="11"/>
        <v>6.4895559999999994</v>
      </c>
      <c r="BJ44" s="3639">
        <f t="shared" si="12"/>
        <v>6.4041280000000018</v>
      </c>
      <c r="BK44" s="3639">
        <f t="shared" si="13"/>
        <v>6.3632799999999987</v>
      </c>
      <c r="BL44" s="3639">
        <f t="shared" si="14"/>
        <v>6.2967759999999977</v>
      </c>
      <c r="BM44" s="3639">
        <f t="shared" si="15"/>
        <v>6.2516560000000023</v>
      </c>
      <c r="BN44" s="3639">
        <f t="shared" si="16"/>
        <v>6.2133160000000016</v>
      </c>
      <c r="BU44" s="3639">
        <f t="shared" si="17"/>
        <v>48.981999999999999</v>
      </c>
      <c r="BV44" s="3639">
        <f t="shared" si="18"/>
        <v>49.71</v>
      </c>
      <c r="BW44" s="3639">
        <f t="shared" si="19"/>
        <v>49.428000000000004</v>
      </c>
      <c r="BX44" s="3639">
        <f t="shared" si="20"/>
        <v>49.22</v>
      </c>
      <c r="BY44" s="3639">
        <f t="shared" si="21"/>
        <v>48.544000000000004</v>
      </c>
      <c r="BZ44" s="3639">
        <f t="shared" si="22"/>
        <v>48.651999999999987</v>
      </c>
      <c r="CA44" s="3639">
        <f t="shared" si="23"/>
        <v>49.71</v>
      </c>
      <c r="CB44" s="3639">
        <f t="shared" si="24"/>
        <v>49.094000000000008</v>
      </c>
      <c r="CC44" s="3639">
        <f t="shared" si="25"/>
        <v>48.896000000000001</v>
      </c>
    </row>
    <row r="45" spans="1:81" ht="14.1" customHeight="1">
      <c r="A45" s="3290"/>
      <c r="B45" s="3556">
        <v>1</v>
      </c>
      <c r="C45" s="3557">
        <v>0.05</v>
      </c>
      <c r="D45" s="3721">
        <v>16</v>
      </c>
      <c r="E45" s="3725">
        <f t="shared" si="28"/>
        <v>460.6816</v>
      </c>
      <c r="F45" s="3560">
        <f t="shared" si="29"/>
        <v>149.56929558053591</v>
      </c>
      <c r="G45" s="3280"/>
      <c r="H45" s="3313"/>
      <c r="I45" s="3555"/>
      <c r="J45" s="3555"/>
      <c r="K45" s="3555"/>
      <c r="L45" s="3555"/>
      <c r="M45" s="3555"/>
      <c r="N45" s="3555"/>
      <c r="O45" s="3555"/>
      <c r="P45" s="3555"/>
      <c r="Q45" s="3555"/>
      <c r="R45" s="3555"/>
      <c r="S45" s="3280"/>
      <c r="T45" s="3641"/>
      <c r="V45" s="3767"/>
      <c r="W45" s="3767"/>
      <c r="X45" s="3768"/>
      <c r="Y45" s="3769"/>
      <c r="Z45" s="3770"/>
      <c r="AA45" s="3753"/>
      <c r="AB45" s="3727"/>
      <c r="AC45" s="3755"/>
      <c r="AD45" s="3755"/>
      <c r="AE45" s="3755"/>
      <c r="AF45" s="3755"/>
      <c r="AG45" s="3755"/>
      <c r="AH45" s="3755"/>
      <c r="AI45" s="3755"/>
      <c r="AJ45" s="3756"/>
      <c r="AK45" s="3755"/>
      <c r="AL45" s="3639">
        <v>2000</v>
      </c>
      <c r="AM45" s="3639">
        <v>8.5608000000000004</v>
      </c>
      <c r="AV45" s="3762"/>
      <c r="AW45" s="3734"/>
      <c r="BA45" s="3694">
        <f t="shared" si="6"/>
        <v>55</v>
      </c>
      <c r="BB45" s="3666">
        <f t="shared" si="7"/>
        <v>2.0247000000000002</v>
      </c>
      <c r="BC45" s="3639">
        <f t="shared" si="26"/>
        <v>7.253965</v>
      </c>
      <c r="BD45" s="3639">
        <f t="shared" si="27"/>
        <v>49.622500000000002</v>
      </c>
      <c r="BF45" s="3639">
        <f t="shared" si="8"/>
        <v>7.253965</v>
      </c>
      <c r="BG45" s="3639">
        <f t="shared" si="9"/>
        <v>6.9068350000000001</v>
      </c>
      <c r="BH45" s="3639">
        <f t="shared" si="10"/>
        <v>6.6196949999999992</v>
      </c>
      <c r="BI45" s="3639">
        <f t="shared" si="11"/>
        <v>6.4841099999999994</v>
      </c>
      <c r="BJ45" s="3639">
        <f t="shared" si="12"/>
        <v>6.4000050000000019</v>
      </c>
      <c r="BK45" s="3639">
        <f t="shared" si="13"/>
        <v>6.3596749999999993</v>
      </c>
      <c r="BL45" s="3639">
        <f t="shared" si="14"/>
        <v>6.2938849999999977</v>
      </c>
      <c r="BM45" s="3639">
        <f t="shared" si="15"/>
        <v>6.2491850000000024</v>
      </c>
      <c r="BN45" s="3639">
        <f t="shared" si="16"/>
        <v>6.2111600000000013</v>
      </c>
      <c r="BU45" s="3639">
        <f t="shared" si="17"/>
        <v>48.047499999999999</v>
      </c>
      <c r="BV45" s="3639">
        <f t="shared" si="18"/>
        <v>49.412500000000001</v>
      </c>
      <c r="BW45" s="3639">
        <f t="shared" si="19"/>
        <v>49.295000000000002</v>
      </c>
      <c r="BX45" s="3639">
        <f t="shared" si="20"/>
        <v>49.1325</v>
      </c>
      <c r="BY45" s="3639">
        <f t="shared" si="21"/>
        <v>48.547500000000007</v>
      </c>
      <c r="BZ45" s="3639">
        <f t="shared" si="22"/>
        <v>48.644999999999982</v>
      </c>
      <c r="CA45" s="3639">
        <f t="shared" si="23"/>
        <v>49.622500000000002</v>
      </c>
      <c r="CB45" s="3639">
        <f t="shared" si="24"/>
        <v>49.045000000000002</v>
      </c>
      <c r="CC45" s="3639">
        <f t="shared" si="25"/>
        <v>48.857500000000002</v>
      </c>
    </row>
    <row r="46" spans="1:81" ht="14.1" customHeight="1">
      <c r="A46" s="3290"/>
      <c r="B46" s="3556">
        <v>1.5</v>
      </c>
      <c r="C46" s="3557">
        <v>7.4999999999999997E-2</v>
      </c>
      <c r="D46" s="3721">
        <v>23</v>
      </c>
      <c r="E46" s="3725">
        <f t="shared" si="28"/>
        <v>662.22979999999995</v>
      </c>
      <c r="F46" s="3560">
        <f t="shared" si="29"/>
        <v>215.00586239702034</v>
      </c>
      <c r="G46" s="3280"/>
      <c r="H46" s="3280"/>
      <c r="I46" s="3280"/>
      <c r="J46" s="3280"/>
      <c r="K46" s="3280"/>
      <c r="L46" s="3280"/>
      <c r="M46" s="3280"/>
      <c r="N46" s="3280"/>
      <c r="O46" s="3280"/>
      <c r="P46" s="3280"/>
      <c r="Q46" s="3280"/>
      <c r="R46" s="3280"/>
      <c r="S46" s="3280"/>
      <c r="T46" s="3641"/>
      <c r="AA46" s="3753"/>
      <c r="AB46" s="3727"/>
      <c r="AC46" s="3755"/>
      <c r="AD46" s="3755"/>
      <c r="AE46" s="3755"/>
      <c r="AF46" s="3755"/>
      <c r="AG46" s="3755"/>
      <c r="AH46" s="3755"/>
      <c r="AI46" s="3755"/>
      <c r="AJ46" s="3756"/>
      <c r="AK46" s="3755"/>
      <c r="AL46" s="3639">
        <v>6000</v>
      </c>
      <c r="AM46" s="3639">
        <v>30.782299999999999</v>
      </c>
      <c r="AQ46" s="3771">
        <v>0</v>
      </c>
      <c r="AR46" s="3772">
        <f>D67</f>
        <v>271.09434823972134</v>
      </c>
      <c r="AV46" s="3762"/>
      <c r="AW46" s="3734"/>
      <c r="BA46" s="3694">
        <f t="shared" si="6"/>
        <v>59</v>
      </c>
      <c r="BB46" s="3666">
        <f t="shared" si="7"/>
        <v>2.0247000000000002</v>
      </c>
      <c r="BC46" s="3639">
        <f t="shared" si="26"/>
        <v>7.235017</v>
      </c>
      <c r="BD46" s="3639">
        <f t="shared" si="27"/>
        <v>49.572500000000005</v>
      </c>
      <c r="BF46" s="3639">
        <f t="shared" si="8"/>
        <v>7.235017</v>
      </c>
      <c r="BG46" s="3639">
        <f t="shared" si="9"/>
        <v>6.8974630000000001</v>
      </c>
      <c r="BH46" s="3639">
        <f t="shared" si="10"/>
        <v>6.6150109999999991</v>
      </c>
      <c r="BI46" s="3639">
        <f t="shared" si="11"/>
        <v>6.4809979999999996</v>
      </c>
      <c r="BJ46" s="3639">
        <f t="shared" si="12"/>
        <v>6.3976490000000021</v>
      </c>
      <c r="BK46" s="3639">
        <f t="shared" si="13"/>
        <v>6.3576149999999991</v>
      </c>
      <c r="BL46" s="3639">
        <f t="shared" si="14"/>
        <v>6.2922329999999977</v>
      </c>
      <c r="BM46" s="3639">
        <f t="shared" si="15"/>
        <v>6.2477730000000022</v>
      </c>
      <c r="BN46" s="3639">
        <f t="shared" si="16"/>
        <v>6.2099280000000014</v>
      </c>
      <c r="BU46" s="3639">
        <f t="shared" si="17"/>
        <v>47.513499999999993</v>
      </c>
      <c r="BV46" s="3639">
        <f t="shared" si="18"/>
        <v>49.2425</v>
      </c>
      <c r="BW46" s="3639">
        <f t="shared" si="19"/>
        <v>49.219000000000001</v>
      </c>
      <c r="BX46" s="3639">
        <f t="shared" si="20"/>
        <v>49.082500000000003</v>
      </c>
      <c r="BY46" s="3639">
        <f t="shared" si="21"/>
        <v>48.549500000000002</v>
      </c>
      <c r="BZ46" s="3639">
        <f t="shared" si="22"/>
        <v>48.640999999999984</v>
      </c>
      <c r="CA46" s="3639">
        <f t="shared" si="23"/>
        <v>49.572500000000005</v>
      </c>
      <c r="CB46" s="3639">
        <f t="shared" si="24"/>
        <v>49.017000000000003</v>
      </c>
      <c r="CC46" s="3639">
        <f t="shared" si="25"/>
        <v>48.835499999999996</v>
      </c>
    </row>
    <row r="47" spans="1:81" ht="14.1" customHeight="1">
      <c r="A47" s="3290"/>
      <c r="B47" s="3556">
        <v>2</v>
      </c>
      <c r="C47" s="3557">
        <v>0.1</v>
      </c>
      <c r="D47" s="3721">
        <v>29</v>
      </c>
      <c r="E47" s="3725">
        <f t="shared" si="28"/>
        <v>834.98540000000003</v>
      </c>
      <c r="F47" s="3560">
        <f t="shared" si="29"/>
        <v>271.09434823972134</v>
      </c>
      <c r="G47" s="3280"/>
      <c r="H47" s="3280"/>
      <c r="I47" s="3280"/>
      <c r="J47" s="3280"/>
      <c r="K47" s="3280"/>
      <c r="L47" s="3280"/>
      <c r="M47" s="3280"/>
      <c r="N47" s="3280"/>
      <c r="O47" s="3280"/>
      <c r="P47" s="3280"/>
      <c r="Q47" s="3280"/>
      <c r="R47" s="3280"/>
      <c r="S47" s="3280"/>
      <c r="T47" s="3641"/>
      <c r="AA47" s="3753"/>
      <c r="AB47" s="3727"/>
      <c r="AC47" s="3755"/>
      <c r="AD47" s="3755"/>
      <c r="AE47" s="3755"/>
      <c r="AF47" s="3755"/>
      <c r="AG47" s="3755"/>
      <c r="AH47" s="3755"/>
      <c r="AI47" s="3755"/>
      <c r="AJ47" s="3756"/>
      <c r="AK47" s="3755"/>
      <c r="AL47" s="3639">
        <v>10000</v>
      </c>
      <c r="AM47" s="3639">
        <v>50.283099999999997</v>
      </c>
      <c r="AQ47" s="3773">
        <f>W39+AQ26</f>
        <v>0.1</v>
      </c>
      <c r="AR47" s="3772">
        <f>AR46</f>
        <v>271.09434823972134</v>
      </c>
      <c r="AV47" s="3762"/>
      <c r="AW47" s="3734"/>
      <c r="BA47" s="3694">
        <f t="shared" si="6"/>
        <v>60</v>
      </c>
      <c r="BB47" s="3666">
        <f t="shared" si="7"/>
        <v>2.0247000000000002</v>
      </c>
      <c r="BC47" s="3639">
        <f t="shared" si="26"/>
        <v>7.2302799999999996</v>
      </c>
      <c r="BD47" s="3639">
        <f t="shared" si="27"/>
        <v>49.56</v>
      </c>
      <c r="BF47" s="3639">
        <f t="shared" si="8"/>
        <v>7.2302799999999996</v>
      </c>
      <c r="BG47" s="3639">
        <f t="shared" si="9"/>
        <v>6.8951200000000004</v>
      </c>
      <c r="BH47" s="3639">
        <f t="shared" si="10"/>
        <v>6.6138399999999988</v>
      </c>
      <c r="BI47" s="3639">
        <f t="shared" si="11"/>
        <v>6.4802199999999992</v>
      </c>
      <c r="BJ47" s="3639">
        <f t="shared" si="12"/>
        <v>6.3970600000000015</v>
      </c>
      <c r="BK47" s="3639">
        <f t="shared" si="13"/>
        <v>6.3570999999999991</v>
      </c>
      <c r="BL47" s="3639">
        <f t="shared" si="14"/>
        <v>6.2918199999999977</v>
      </c>
      <c r="BM47" s="3639">
        <f t="shared" si="15"/>
        <v>6.2474200000000026</v>
      </c>
      <c r="BN47" s="3639">
        <f t="shared" si="16"/>
        <v>6.209620000000001</v>
      </c>
      <c r="BU47" s="3639">
        <f t="shared" si="17"/>
        <v>47.379999999999995</v>
      </c>
      <c r="BV47" s="3639">
        <f t="shared" si="18"/>
        <v>49.2</v>
      </c>
      <c r="BW47" s="3639">
        <f t="shared" si="19"/>
        <v>49.2</v>
      </c>
      <c r="BX47" s="3639">
        <f t="shared" si="20"/>
        <v>49.07</v>
      </c>
      <c r="BY47" s="3639">
        <f t="shared" si="21"/>
        <v>48.550000000000004</v>
      </c>
      <c r="BZ47" s="3639">
        <f t="shared" si="22"/>
        <v>48.639999999999986</v>
      </c>
      <c r="CA47" s="3639">
        <f t="shared" si="23"/>
        <v>49.56</v>
      </c>
      <c r="CB47" s="3639">
        <f t="shared" si="24"/>
        <v>49.010000000000005</v>
      </c>
      <c r="CC47" s="3639">
        <f t="shared" si="25"/>
        <v>48.83</v>
      </c>
    </row>
    <row r="48" spans="1:81" ht="14.1" customHeight="1">
      <c r="A48" s="3290"/>
      <c r="B48" s="3556">
        <v>3</v>
      </c>
      <c r="C48" s="3557">
        <v>0.15</v>
      </c>
      <c r="D48" s="3721">
        <v>40</v>
      </c>
      <c r="E48" s="3725">
        <f t="shared" si="28"/>
        <v>1151.704</v>
      </c>
      <c r="F48" s="3560">
        <f t="shared" si="29"/>
        <v>373.92323895133973</v>
      </c>
      <c r="G48" s="3280"/>
      <c r="H48" s="3280"/>
      <c r="I48" s="3280"/>
      <c r="J48" s="3280"/>
      <c r="K48" s="3280"/>
      <c r="L48" s="3280"/>
      <c r="M48" s="3280"/>
      <c r="N48" s="3280"/>
      <c r="O48" s="3280"/>
      <c r="P48" s="3280"/>
      <c r="Q48" s="3280"/>
      <c r="R48" s="3280"/>
      <c r="S48" s="3280"/>
      <c r="T48" s="3641"/>
      <c r="V48" s="3774" t="s">
        <v>1412</v>
      </c>
      <c r="W48" s="3775"/>
      <c r="X48" s="3642"/>
      <c r="Y48" s="3834" t="s">
        <v>1265</v>
      </c>
      <c r="Z48" s="3835" t="s">
        <v>1266</v>
      </c>
      <c r="AA48" s="3753"/>
      <c r="AB48" s="3727"/>
      <c r="AC48" s="3755"/>
      <c r="AD48" s="3755"/>
      <c r="AE48" s="3755"/>
      <c r="AF48" s="3755"/>
      <c r="AG48" s="3755"/>
      <c r="AH48" s="3755"/>
      <c r="AI48" s="3755"/>
      <c r="AJ48" s="3756"/>
      <c r="AK48" s="3755"/>
      <c r="AQ48" s="3773">
        <f>AQ47</f>
        <v>0.1</v>
      </c>
      <c r="AR48" s="3771">
        <v>0</v>
      </c>
      <c r="BA48" s="3694"/>
      <c r="BB48" s="3666"/>
    </row>
    <row r="49" spans="1:54" ht="14.1" customHeight="1">
      <c r="A49" s="3290"/>
      <c r="B49" s="3556">
        <v>4</v>
      </c>
      <c r="C49" s="3557">
        <v>0.2</v>
      </c>
      <c r="D49" s="3721">
        <v>48</v>
      </c>
      <c r="E49" s="3725">
        <f t="shared" si="28"/>
        <v>1382.0448000000001</v>
      </c>
      <c r="F49" s="3560">
        <f t="shared" si="29"/>
        <v>448.70788674160775</v>
      </c>
      <c r="G49" s="3280"/>
      <c r="H49" s="3280"/>
      <c r="I49" s="3280"/>
      <c r="J49" s="3280"/>
      <c r="K49" s="3280"/>
      <c r="L49" s="3280"/>
      <c r="M49" s="3280"/>
      <c r="N49" s="3280"/>
      <c r="O49" s="3280"/>
      <c r="P49" s="3280"/>
      <c r="Q49" s="3280"/>
      <c r="R49" s="3280"/>
      <c r="S49" s="3280"/>
      <c r="T49" s="3641"/>
      <c r="V49" s="3778" t="s">
        <v>1434</v>
      </c>
      <c r="W49" s="3779"/>
      <c r="X49" s="3644" t="s">
        <v>37</v>
      </c>
      <c r="Y49" s="3836">
        <v>46.515999999999998</v>
      </c>
      <c r="Z49" s="3836">
        <v>47.56</v>
      </c>
      <c r="AA49" s="3753"/>
      <c r="AB49" s="3727"/>
      <c r="AC49" s="3755"/>
      <c r="AD49" s="3755"/>
      <c r="AE49" s="3755"/>
      <c r="AF49" s="3755"/>
      <c r="AG49" s="3755"/>
      <c r="AH49" s="3755"/>
      <c r="AI49" s="3755"/>
      <c r="AJ49" s="3756"/>
      <c r="AK49" s="3755"/>
      <c r="AQ49" s="3771"/>
      <c r="AR49" s="3771"/>
      <c r="BA49" s="3694"/>
      <c r="BB49" s="3666"/>
    </row>
    <row r="50" spans="1:54" ht="14.1" customHeight="1">
      <c r="A50" s="3290"/>
      <c r="B50" s="3556">
        <v>6</v>
      </c>
      <c r="C50" s="3557">
        <v>0.3</v>
      </c>
      <c r="D50" s="3721">
        <v>70</v>
      </c>
      <c r="E50" s="3725">
        <f t="shared" si="28"/>
        <v>2015.482</v>
      </c>
      <c r="F50" s="3560">
        <f t="shared" si="29"/>
        <v>654.36566816484458</v>
      </c>
      <c r="G50" s="3280"/>
      <c r="H50" s="3280"/>
      <c r="I50" s="3280"/>
      <c r="J50" s="3280"/>
      <c r="K50" s="3280"/>
      <c r="L50" s="3280"/>
      <c r="M50" s="3280"/>
      <c r="N50" s="3280"/>
      <c r="O50" s="3280"/>
      <c r="P50" s="3280"/>
      <c r="Q50" s="3280"/>
      <c r="R50" s="3280"/>
      <c r="S50" s="3280"/>
      <c r="T50" s="3641"/>
      <c r="V50" s="3781" t="s">
        <v>1435</v>
      </c>
      <c r="W50" s="3782"/>
      <c r="X50" s="3650" t="s">
        <v>37</v>
      </c>
      <c r="Y50" s="3837">
        <v>34.704000000000001</v>
      </c>
      <c r="Z50" s="3837">
        <v>37.981999999999999</v>
      </c>
      <c r="AA50" s="3753"/>
      <c r="AB50" s="3727"/>
      <c r="AC50" s="3755"/>
      <c r="AD50" s="3755"/>
      <c r="AE50" s="3755"/>
      <c r="AF50" s="3755"/>
      <c r="AG50" s="3755"/>
      <c r="AH50" s="3755"/>
      <c r="AI50" s="3755"/>
      <c r="AJ50" s="3756"/>
      <c r="AK50" s="3755"/>
      <c r="AL50" s="3639">
        <v>0</v>
      </c>
      <c r="AM50" s="3639">
        <f t="shared" ref="AM50:AM60" si="30">1.57*AL50</f>
        <v>0</v>
      </c>
      <c r="AQ50" s="3771">
        <v>0</v>
      </c>
      <c r="AR50" s="3772">
        <f>D68</f>
        <v>448.70788674160775</v>
      </c>
      <c r="BA50" s="3694"/>
      <c r="BB50" s="3666"/>
    </row>
    <row r="51" spans="1:54" ht="14.1" customHeight="1">
      <c r="A51" s="3290"/>
      <c r="B51" s="3556">
        <v>8</v>
      </c>
      <c r="C51" s="3557">
        <v>0.4</v>
      </c>
      <c r="D51" s="3721">
        <v>80</v>
      </c>
      <c r="E51" s="3725">
        <f t="shared" si="28"/>
        <v>2303.4079999999999</v>
      </c>
      <c r="F51" s="3560">
        <f t="shared" si="29"/>
        <v>747.84647790267945</v>
      </c>
      <c r="G51" s="3280"/>
      <c r="H51" s="3280"/>
      <c r="I51" s="3280"/>
      <c r="J51" s="3280"/>
      <c r="K51" s="3280"/>
      <c r="L51" s="3280"/>
      <c r="M51" s="3280"/>
      <c r="N51" s="3280"/>
      <c r="O51" s="3280"/>
      <c r="P51" s="3280"/>
      <c r="Q51" s="3280"/>
      <c r="R51" s="3280"/>
      <c r="S51" s="3280"/>
      <c r="T51" s="3641"/>
      <c r="V51" s="3781" t="s">
        <v>1436</v>
      </c>
      <c r="W51" s="3782"/>
      <c r="X51" s="3650" t="s">
        <v>37</v>
      </c>
      <c r="Y51" s="3685">
        <f>+Y49-Y50</f>
        <v>11.811999999999998</v>
      </c>
      <c r="Z51" s="3685">
        <f>+Z49-Z50</f>
        <v>9.578000000000003</v>
      </c>
      <c r="AA51" s="3753"/>
      <c r="AB51" s="3727"/>
      <c r="AC51" s="3755"/>
      <c r="AD51" s="3755"/>
      <c r="AE51" s="3755"/>
      <c r="AF51" s="3755"/>
      <c r="AG51" s="3755"/>
      <c r="AH51" s="3755"/>
      <c r="AI51" s="3755"/>
      <c r="AJ51" s="3756"/>
      <c r="AK51" s="3755"/>
      <c r="AL51" s="3639">
        <v>12</v>
      </c>
      <c r="AM51" s="3639">
        <f t="shared" si="30"/>
        <v>18.84</v>
      </c>
      <c r="AQ51" s="3773">
        <f>W41+AQ26</f>
        <v>0.2</v>
      </c>
      <c r="AR51" s="3772">
        <f>AR50</f>
        <v>448.70788674160775</v>
      </c>
      <c r="BA51" s="3694"/>
      <c r="BB51" s="3666"/>
    </row>
    <row r="52" spans="1:54" ht="14.1" customHeight="1">
      <c r="A52" s="3290"/>
      <c r="B52" s="3583">
        <v>10</v>
      </c>
      <c r="C52" s="3584">
        <v>0.5</v>
      </c>
      <c r="D52" s="3784">
        <v>81</v>
      </c>
      <c r="E52" s="3838">
        <f t="shared" si="28"/>
        <v>2332.2006000000001</v>
      </c>
      <c r="F52" s="3587">
        <f t="shared" si="29"/>
        <v>757.19455887646302</v>
      </c>
      <c r="G52" s="3280"/>
      <c r="H52" s="3280"/>
      <c r="I52" s="3280"/>
      <c r="J52" s="3280"/>
      <c r="K52" s="3280"/>
      <c r="L52" s="3280"/>
      <c r="M52" s="3280"/>
      <c r="N52" s="3280"/>
      <c r="O52" s="3280"/>
      <c r="P52" s="3280"/>
      <c r="Q52" s="3280"/>
      <c r="R52" s="3280"/>
      <c r="S52" s="3280"/>
      <c r="T52" s="3641"/>
      <c r="V52" s="3781" t="s">
        <v>1437</v>
      </c>
      <c r="W52" s="3782"/>
      <c r="X52" s="3650" t="s">
        <v>37</v>
      </c>
      <c r="Y52" s="3837">
        <v>8.91</v>
      </c>
      <c r="Z52" s="3837">
        <f>8.8+8.8</f>
        <v>17.600000000000001</v>
      </c>
      <c r="AA52" s="3666"/>
      <c r="AB52" s="3666"/>
      <c r="AC52" s="3666"/>
      <c r="AD52" s="3667"/>
      <c r="AJ52" s="3669"/>
      <c r="AL52" s="3639">
        <v>24</v>
      </c>
      <c r="AM52" s="3639">
        <f t="shared" si="30"/>
        <v>37.68</v>
      </c>
      <c r="AQ52" s="3773">
        <f>AQ51</f>
        <v>0.2</v>
      </c>
      <c r="AR52" s="3771">
        <v>0</v>
      </c>
      <c r="BA52" s="3694"/>
      <c r="BB52" s="3666"/>
    </row>
    <row r="53" spans="1:54" ht="14.1" customHeight="1">
      <c r="A53" s="3290"/>
      <c r="B53" s="3588"/>
      <c r="C53" s="3588"/>
      <c r="D53" s="3589"/>
      <c r="E53" s="3590"/>
      <c r="F53" s="3591"/>
      <c r="G53" s="3280"/>
      <c r="H53" s="3280"/>
      <c r="I53" s="3280"/>
      <c r="J53" s="3280"/>
      <c r="K53" s="3280"/>
      <c r="L53" s="3280"/>
      <c r="M53" s="3280"/>
      <c r="N53" s="3280"/>
      <c r="O53" s="3280"/>
      <c r="P53" s="3280"/>
      <c r="Q53" s="3280"/>
      <c r="R53" s="3280"/>
      <c r="S53" s="3280"/>
      <c r="T53" s="3641"/>
      <c r="V53" s="3781" t="s">
        <v>1438</v>
      </c>
      <c r="W53" s="3782"/>
      <c r="X53" s="3650" t="s">
        <v>37</v>
      </c>
      <c r="Y53" s="3685">
        <f>+Y50-Y52</f>
        <v>25.794</v>
      </c>
      <c r="Z53" s="3685">
        <f>+Z50-Z52</f>
        <v>20.381999999999998</v>
      </c>
      <c r="AA53" s="4925"/>
      <c r="AB53" s="4926"/>
      <c r="AC53" s="3787"/>
      <c r="AD53" s="3753"/>
      <c r="AJ53" s="3669"/>
      <c r="AL53" s="3639">
        <v>37</v>
      </c>
      <c r="AM53" s="3639">
        <f t="shared" si="30"/>
        <v>58.09</v>
      </c>
      <c r="BA53" s="3694"/>
      <c r="BB53" s="3666"/>
    </row>
    <row r="54" spans="1:54" ht="14.1" customHeight="1">
      <c r="A54" s="3290"/>
      <c r="B54" s="3423"/>
      <c r="C54" s="3423"/>
      <c r="D54" s="3423"/>
      <c r="E54" s="3423"/>
      <c r="F54" s="3423"/>
      <c r="G54" s="3280"/>
      <c r="H54" s="3280"/>
      <c r="I54" s="3280"/>
      <c r="J54" s="3280"/>
      <c r="K54" s="3280"/>
      <c r="L54" s="3280"/>
      <c r="M54" s="3280"/>
      <c r="N54" s="3280"/>
      <c r="O54" s="3280"/>
      <c r="P54" s="3280"/>
      <c r="Q54" s="3280"/>
      <c r="R54" s="3280"/>
      <c r="S54" s="3280"/>
      <c r="T54" s="3641"/>
      <c r="V54" s="3788" t="s">
        <v>315</v>
      </c>
      <c r="W54" s="3789"/>
      <c r="X54" s="3662" t="s">
        <v>1</v>
      </c>
      <c r="Y54" s="3790">
        <f>+(Y51/Y53)*100</f>
        <v>45.793595409785212</v>
      </c>
      <c r="Z54" s="3790">
        <f>+(Z51/Z53)*100</f>
        <v>46.992444313610065</v>
      </c>
      <c r="AA54" s="4925"/>
      <c r="AB54" s="4926"/>
      <c r="AC54" s="3787"/>
      <c r="AD54" s="3753"/>
      <c r="AJ54" s="3669"/>
      <c r="AL54" s="3639">
        <v>48</v>
      </c>
      <c r="AM54" s="3639">
        <f t="shared" si="30"/>
        <v>75.36</v>
      </c>
      <c r="BA54" s="3694"/>
      <c r="BB54" s="3666"/>
    </row>
    <row r="55" spans="1:54" ht="14.1" customHeight="1">
      <c r="A55" s="3290"/>
      <c r="B55" s="3593" t="s">
        <v>1412</v>
      </c>
      <c r="C55" s="3594"/>
      <c r="D55" s="3413"/>
      <c r="E55" s="3595" t="s">
        <v>1265</v>
      </c>
      <c r="F55" s="3596"/>
      <c r="G55" s="3282"/>
      <c r="H55" s="3282"/>
      <c r="I55" s="3282"/>
      <c r="J55" s="3313"/>
      <c r="K55" s="3555"/>
      <c r="L55" s="3280"/>
      <c r="M55" s="3280"/>
      <c r="N55" s="3280"/>
      <c r="O55" s="3280"/>
      <c r="P55" s="3280"/>
      <c r="Q55" s="3280"/>
      <c r="R55" s="3280"/>
      <c r="S55" s="3280"/>
      <c r="T55" s="3641"/>
      <c r="V55" s="3676"/>
      <c r="W55" s="3676"/>
      <c r="AA55" s="4932"/>
      <c r="AB55" s="4926"/>
      <c r="AC55" s="3719"/>
      <c r="AD55" s="3754"/>
      <c r="AJ55" s="3669"/>
      <c r="AL55" s="3639">
        <v>56</v>
      </c>
      <c r="AM55" s="3639">
        <f t="shared" si="30"/>
        <v>87.92</v>
      </c>
      <c r="BA55" s="3694"/>
      <c r="BB55" s="3666"/>
    </row>
    <row r="56" spans="1:54" ht="14.1" customHeight="1">
      <c r="A56" s="3290"/>
      <c r="B56" s="3600" t="s">
        <v>1434</v>
      </c>
      <c r="C56" s="3601"/>
      <c r="D56" s="3602" t="s">
        <v>37</v>
      </c>
      <c r="E56" s="3839">
        <v>45.771999999999998</v>
      </c>
      <c r="F56" s="3839"/>
      <c r="G56" s="3280"/>
      <c r="H56" s="3280"/>
      <c r="I56" s="3280"/>
      <c r="J56" s="3313"/>
      <c r="K56" s="3555"/>
      <c r="L56" s="3280"/>
      <c r="M56" s="3280"/>
      <c r="N56" s="3280"/>
      <c r="O56" s="3280"/>
      <c r="P56" s="3280"/>
      <c r="Q56" s="3280"/>
      <c r="R56" s="3280"/>
      <c r="S56" s="3280"/>
      <c r="T56" s="3641"/>
      <c r="AA56" s="4925"/>
      <c r="AB56" s="4926"/>
      <c r="AC56" s="3787"/>
      <c r="AD56" s="3753"/>
      <c r="AJ56" s="3669"/>
      <c r="AL56" s="3639">
        <v>67</v>
      </c>
      <c r="AM56" s="3639">
        <f t="shared" si="30"/>
        <v>105.19</v>
      </c>
      <c r="BA56" s="3694"/>
      <c r="BB56" s="3666"/>
    </row>
    <row r="57" spans="1:54" ht="14.1" customHeight="1">
      <c r="A57" s="3290"/>
      <c r="B57" s="3604" t="s">
        <v>1435</v>
      </c>
      <c r="C57" s="3605"/>
      <c r="D57" s="3606" t="s">
        <v>37</v>
      </c>
      <c r="E57" s="3840">
        <v>34.228999999999999</v>
      </c>
      <c r="F57" s="3840"/>
      <c r="G57" s="3280"/>
      <c r="H57" s="3280"/>
      <c r="I57" s="3280"/>
      <c r="J57" s="3313"/>
      <c r="K57" s="3555"/>
      <c r="L57" s="3280"/>
      <c r="M57" s="3280"/>
      <c r="N57" s="3280"/>
      <c r="O57" s="3280"/>
      <c r="P57" s="3280"/>
      <c r="Q57" s="3280"/>
      <c r="R57" s="3280"/>
      <c r="S57" s="3280"/>
      <c r="T57" s="3641"/>
      <c r="AA57" s="4932"/>
      <c r="AB57" s="4926"/>
      <c r="AC57" s="3719"/>
      <c r="AD57" s="3754"/>
      <c r="AE57" s="3755"/>
      <c r="AF57" s="3755"/>
      <c r="AG57" s="3755"/>
      <c r="AH57" s="3755"/>
      <c r="AI57" s="3755"/>
      <c r="AJ57" s="3756"/>
      <c r="AK57" s="3755"/>
      <c r="AL57" s="3639">
        <v>76</v>
      </c>
      <c r="AM57" s="3639">
        <f t="shared" si="30"/>
        <v>119.32000000000001</v>
      </c>
      <c r="BA57" s="3694"/>
      <c r="BB57" s="3666"/>
    </row>
    <row r="58" spans="1:54" ht="14.1" customHeight="1">
      <c r="A58" s="3290"/>
      <c r="B58" s="3604" t="s">
        <v>1436</v>
      </c>
      <c r="C58" s="3605"/>
      <c r="D58" s="3606" t="s">
        <v>37</v>
      </c>
      <c r="E58" s="3794">
        <f>E56-E57</f>
        <v>11.542999999999999</v>
      </c>
      <c r="F58" s="3794"/>
      <c r="G58" s="3280"/>
      <c r="H58" s="3280"/>
      <c r="I58" s="3280"/>
      <c r="J58" s="3280"/>
      <c r="K58" s="3280"/>
      <c r="L58" s="3280"/>
      <c r="M58" s="3280"/>
      <c r="N58" s="3280"/>
      <c r="O58" s="3280"/>
      <c r="P58" s="3280"/>
      <c r="Q58" s="3280"/>
      <c r="R58" s="3280"/>
      <c r="S58" s="3280"/>
      <c r="T58" s="3641"/>
      <c r="V58" s="4933" t="s">
        <v>1439</v>
      </c>
      <c r="W58" s="4923" t="s">
        <v>1426</v>
      </c>
      <c r="X58" s="4923" t="s">
        <v>166</v>
      </c>
      <c r="Y58" s="4923" t="s">
        <v>1440</v>
      </c>
      <c r="Z58" s="4923" t="s">
        <v>1347</v>
      </c>
      <c r="AA58" s="4932"/>
      <c r="AB58" s="4926"/>
      <c r="AC58" s="3719"/>
      <c r="AD58" s="3754"/>
      <c r="AJ58" s="3669"/>
      <c r="AL58" s="3639">
        <v>90</v>
      </c>
      <c r="AM58" s="3639">
        <f t="shared" si="30"/>
        <v>141.30000000000001</v>
      </c>
    </row>
    <row r="59" spans="1:54" ht="14.1" customHeight="1">
      <c r="A59" s="3290"/>
      <c r="B59" s="3604" t="s">
        <v>1437</v>
      </c>
      <c r="C59" s="3605"/>
      <c r="D59" s="3606" t="s">
        <v>37</v>
      </c>
      <c r="E59" s="3840">
        <v>8.8209999999999997</v>
      </c>
      <c r="F59" s="3840"/>
      <c r="G59" s="2102"/>
      <c r="H59" s="281"/>
      <c r="I59" s="2103"/>
      <c r="J59" s="2159"/>
      <c r="K59" s="281"/>
      <c r="L59" s="3280"/>
      <c r="M59" s="3280"/>
      <c r="N59" s="3280"/>
      <c r="O59" s="3280"/>
      <c r="P59" s="3280"/>
      <c r="Q59" s="3280"/>
      <c r="R59" s="3280"/>
      <c r="S59" s="3280"/>
      <c r="T59" s="3641"/>
      <c r="V59" s="4934"/>
      <c r="W59" s="4936"/>
      <c r="X59" s="4924"/>
      <c r="Y59" s="4924"/>
      <c r="Z59" s="4924"/>
      <c r="AA59" s="3795"/>
      <c r="AB59" s="3666"/>
      <c r="AC59" s="3666"/>
      <c r="AD59" s="3667"/>
      <c r="AJ59" s="3669"/>
      <c r="AL59" s="3639">
        <v>102</v>
      </c>
      <c r="AM59" s="3639">
        <f t="shared" si="30"/>
        <v>160.14000000000001</v>
      </c>
    </row>
    <row r="60" spans="1:54" ht="14.1" customHeight="1">
      <c r="A60" s="3290"/>
      <c r="B60" s="3604" t="s">
        <v>1438</v>
      </c>
      <c r="C60" s="3605"/>
      <c r="D60" s="3606" t="s">
        <v>37</v>
      </c>
      <c r="E60" s="3794">
        <f>E57-E59</f>
        <v>25.408000000000001</v>
      </c>
      <c r="F60" s="3794"/>
      <c r="G60" s="3280"/>
      <c r="H60" s="3280"/>
      <c r="I60" s="3280"/>
      <c r="J60" s="3280"/>
      <c r="K60" s="3280"/>
      <c r="L60" s="3280"/>
      <c r="M60" s="3280"/>
      <c r="N60" s="3280"/>
      <c r="O60" s="3280"/>
      <c r="P60" s="3280"/>
      <c r="Q60" s="3280"/>
      <c r="R60" s="3280"/>
      <c r="S60" s="3280"/>
      <c r="T60" s="3641"/>
      <c r="V60" s="4934"/>
      <c r="W60" s="3797" t="s">
        <v>1430</v>
      </c>
      <c r="X60" s="3797" t="s">
        <v>1432</v>
      </c>
      <c r="Y60" s="3797"/>
      <c r="Z60" s="3797" t="s">
        <v>1</v>
      </c>
      <c r="AJ60" s="3669"/>
      <c r="AL60" s="3639">
        <v>110</v>
      </c>
      <c r="AM60" s="3639">
        <f t="shared" si="30"/>
        <v>172.70000000000002</v>
      </c>
      <c r="BA60" s="3694"/>
      <c r="BB60" s="3666"/>
    </row>
    <row r="61" spans="1:54" ht="14.1" customHeight="1">
      <c r="A61" s="3290"/>
      <c r="B61" s="3609" t="s">
        <v>315</v>
      </c>
      <c r="C61" s="3610"/>
      <c r="D61" s="3611" t="s">
        <v>1</v>
      </c>
      <c r="E61" s="3796">
        <f>E58/E60*100</f>
        <v>45.430573047858935</v>
      </c>
      <c r="F61" s="3796"/>
      <c r="G61" s="3280"/>
      <c r="H61" s="3280"/>
      <c r="I61" s="3280"/>
      <c r="J61" s="3280"/>
      <c r="K61" s="3280"/>
      <c r="L61" s="3280"/>
      <c r="M61" s="3280"/>
      <c r="N61" s="3280"/>
      <c r="O61" s="3280"/>
      <c r="P61" s="3280"/>
      <c r="Q61" s="3280"/>
      <c r="R61" s="3280"/>
      <c r="S61" s="3280"/>
      <c r="T61" s="3641"/>
      <c r="V61" s="4934"/>
      <c r="W61" s="3740">
        <v>0.1</v>
      </c>
      <c r="X61" s="3798">
        <f>AQ36</f>
        <v>280.14672029102911</v>
      </c>
      <c r="Y61" s="3841">
        <v>1000</v>
      </c>
      <c r="Z61" s="3800">
        <f>+X61/Y61*100</f>
        <v>28.014672029102911</v>
      </c>
      <c r="AA61" s="3667"/>
      <c r="AJ61" s="3669"/>
      <c r="BA61" s="3694"/>
      <c r="BB61" s="3666"/>
    </row>
    <row r="62" spans="1:54" ht="14.1" customHeight="1">
      <c r="A62" s="3290"/>
      <c r="B62" s="3280"/>
      <c r="C62" s="3280"/>
      <c r="D62" s="3280"/>
      <c r="E62" s="3280"/>
      <c r="F62" s="3613"/>
      <c r="G62" s="3280"/>
      <c r="H62" s="3280"/>
      <c r="I62" s="3280"/>
      <c r="J62" s="3280"/>
      <c r="K62" s="3280"/>
      <c r="L62" s="3280"/>
      <c r="M62" s="3280"/>
      <c r="N62" s="3280"/>
      <c r="O62" s="3280"/>
      <c r="P62" s="3280"/>
      <c r="Q62" s="3280"/>
      <c r="R62" s="3280"/>
      <c r="S62" s="3280"/>
      <c r="T62" s="3641"/>
      <c r="V62" s="4935"/>
      <c r="W62" s="3763">
        <v>0.2</v>
      </c>
      <c r="X62" s="3801">
        <f>AQ38</f>
        <v>480.25152049890704</v>
      </c>
      <c r="Y62" s="3801">
        <v>1500</v>
      </c>
      <c r="Z62" s="3803">
        <f>+X62/Y62*100</f>
        <v>32.016768033260469</v>
      </c>
      <c r="AA62" s="3753"/>
      <c r="AE62" s="3753"/>
      <c r="AF62" s="3753"/>
      <c r="AG62" s="3753"/>
      <c r="AH62" s="3753"/>
      <c r="AI62" s="3753"/>
      <c r="AJ62" s="3804"/>
      <c r="AK62" s="3754"/>
      <c r="BA62" s="3694"/>
      <c r="BB62" s="3666"/>
    </row>
    <row r="63" spans="1:54" ht="14.1" customHeight="1">
      <c r="A63" s="3290"/>
      <c r="B63" s="3280"/>
      <c r="C63" s="3280"/>
      <c r="D63" s="3280"/>
      <c r="E63" s="3280"/>
      <c r="F63" s="3613"/>
      <c r="G63" s="3280"/>
      <c r="H63" s="3280"/>
      <c r="I63" s="3280"/>
      <c r="J63" s="3280"/>
      <c r="K63" s="3280"/>
      <c r="L63" s="3280"/>
      <c r="M63" s="3280"/>
      <c r="N63" s="3280"/>
      <c r="O63" s="3280"/>
      <c r="P63" s="3280"/>
      <c r="Q63" s="3280"/>
      <c r="R63" s="3280"/>
      <c r="S63" s="3280"/>
      <c r="T63" s="3641"/>
      <c r="AA63" s="3753"/>
      <c r="AE63" s="3753"/>
      <c r="AF63" s="3753"/>
      <c r="AG63" s="3753"/>
      <c r="AH63" s="3753"/>
      <c r="AI63" s="3753"/>
      <c r="AJ63" s="3804"/>
      <c r="AK63" s="3754"/>
      <c r="BA63" s="3694"/>
      <c r="BB63" s="3666"/>
    </row>
    <row r="64" spans="1:54" ht="14.1" customHeight="1">
      <c r="A64" s="3290"/>
      <c r="B64" s="4929" t="s">
        <v>1439</v>
      </c>
      <c r="C64" s="4907" t="s">
        <v>1426</v>
      </c>
      <c r="D64" s="4907" t="s">
        <v>166</v>
      </c>
      <c r="E64" s="4907" t="s">
        <v>1440</v>
      </c>
      <c r="F64" s="4907" t="s">
        <v>1347</v>
      </c>
      <c r="G64" s="3280"/>
      <c r="H64" s="3280"/>
      <c r="I64" s="3280"/>
      <c r="J64" s="3280"/>
      <c r="K64" s="3280"/>
      <c r="L64" s="3280"/>
      <c r="M64" s="3280"/>
      <c r="N64" s="3280"/>
      <c r="O64" s="3280"/>
      <c r="P64" s="3280"/>
      <c r="Q64" s="3280"/>
      <c r="R64" s="3280"/>
      <c r="S64" s="3280"/>
      <c r="T64" s="3641"/>
      <c r="AA64" s="3754"/>
      <c r="AE64" s="3754"/>
      <c r="AF64" s="3754"/>
      <c r="AG64" s="3754"/>
      <c r="AH64" s="3754"/>
      <c r="AI64" s="3754"/>
      <c r="AJ64" s="3805"/>
      <c r="AK64" s="3754"/>
      <c r="BA64" s="3694"/>
      <c r="BB64" s="3666"/>
    </row>
    <row r="65" spans="1:54" ht="14.1" customHeight="1">
      <c r="A65" s="3290"/>
      <c r="B65" s="4930"/>
      <c r="C65" s="4908"/>
      <c r="D65" s="4908"/>
      <c r="E65" s="4908"/>
      <c r="F65" s="4908"/>
      <c r="G65" s="3280"/>
      <c r="H65" s="3280"/>
      <c r="I65" s="3280"/>
      <c r="J65" s="3280"/>
      <c r="K65" s="3280"/>
      <c r="L65" s="3280"/>
      <c r="M65" s="3280"/>
      <c r="N65" s="3280"/>
      <c r="O65" s="3280"/>
      <c r="P65" s="3280"/>
      <c r="Q65" s="3280"/>
      <c r="R65" s="3280"/>
      <c r="S65" s="3280"/>
      <c r="T65" s="3641"/>
      <c r="U65" s="3660"/>
      <c r="V65" s="3660"/>
      <c r="W65" s="3660"/>
      <c r="X65" s="3660"/>
      <c r="Y65" s="3660"/>
      <c r="Z65" s="3660"/>
      <c r="AA65" s="3806"/>
      <c r="AB65" s="3660"/>
      <c r="AC65" s="3807"/>
      <c r="AD65" s="3807"/>
      <c r="AE65" s="3806"/>
      <c r="AF65" s="3806"/>
      <c r="AG65" s="3806"/>
      <c r="AH65" s="3806"/>
      <c r="AI65" s="3806"/>
      <c r="AJ65" s="3808"/>
      <c r="AK65" s="3754"/>
      <c r="BA65" s="3694"/>
      <c r="BB65" s="3666"/>
    </row>
    <row r="66" spans="1:54" ht="14.1" customHeight="1">
      <c r="A66" s="3373"/>
      <c r="B66" s="4930"/>
      <c r="C66" s="3620" t="s">
        <v>1430</v>
      </c>
      <c r="D66" s="3620" t="s">
        <v>1432</v>
      </c>
      <c r="E66" s="3620"/>
      <c r="F66" s="3620" t="s">
        <v>1</v>
      </c>
      <c r="G66" s="3279"/>
      <c r="H66" s="3279"/>
      <c r="I66" s="3279"/>
      <c r="J66" s="3279"/>
      <c r="K66" s="3279"/>
      <c r="L66" s="3081"/>
      <c r="M66" s="3081"/>
      <c r="N66" s="3081"/>
      <c r="O66" s="3279"/>
      <c r="P66" s="3279"/>
      <c r="Q66" s="3279"/>
      <c r="R66" s="3279"/>
      <c r="S66" s="3279"/>
      <c r="T66" s="3641"/>
      <c r="AA66" s="3754"/>
      <c r="AE66" s="3754"/>
      <c r="AF66" s="3754"/>
      <c r="AG66" s="3754"/>
      <c r="AH66" s="3754"/>
      <c r="AI66" s="3754"/>
      <c r="AJ66" s="3805"/>
      <c r="AK66" s="3754"/>
      <c r="AM66" s="3648"/>
      <c r="BA66" s="3694"/>
      <c r="BB66" s="3666"/>
    </row>
    <row r="67" spans="1:54" ht="14.1" customHeight="1">
      <c r="A67" s="3373"/>
      <c r="B67" s="4930"/>
      <c r="C67" s="3625">
        <v>0.1</v>
      </c>
      <c r="D67" s="3798">
        <f>F47</f>
        <v>271.09434823972134</v>
      </c>
      <c r="E67" s="3627">
        <v>1000</v>
      </c>
      <c r="F67" s="3628">
        <f>+D67/E67*100</f>
        <v>27.109434823972133</v>
      </c>
      <c r="G67" s="3279"/>
      <c r="H67" s="3279"/>
      <c r="I67" s="3279"/>
      <c r="J67" s="3279"/>
      <c r="K67" s="3279"/>
      <c r="L67" s="3081"/>
      <c r="M67" s="3081"/>
      <c r="N67" s="3081"/>
      <c r="O67" s="3279"/>
      <c r="P67" s="3279"/>
      <c r="Q67" s="3279"/>
      <c r="R67" s="3279"/>
      <c r="S67" s="3279"/>
      <c r="T67" s="3641"/>
      <c r="AA67" s="3754"/>
      <c r="AE67" s="3754"/>
      <c r="AF67" s="3754"/>
      <c r="AG67" s="3754"/>
      <c r="AH67" s="3754"/>
      <c r="AI67" s="3754"/>
      <c r="AJ67" s="3805"/>
      <c r="AK67" s="3754"/>
      <c r="AM67" s="3648"/>
      <c r="BA67" s="3694"/>
      <c r="BB67" s="3666"/>
    </row>
    <row r="68" spans="1:54" ht="14.1" customHeight="1">
      <c r="A68" s="3373"/>
      <c r="B68" s="4931"/>
      <c r="C68" s="3631">
        <v>0.2</v>
      </c>
      <c r="D68" s="3801">
        <f>F49</f>
        <v>448.70788674160775</v>
      </c>
      <c r="E68" s="3633">
        <v>1500</v>
      </c>
      <c r="F68" s="3634">
        <f>+D68/E68*100</f>
        <v>29.913859116107183</v>
      </c>
      <c r="G68" s="3279"/>
      <c r="H68" s="3279"/>
      <c r="I68" s="3279"/>
      <c r="J68" s="3279"/>
      <c r="K68" s="3279"/>
      <c r="L68" s="3081"/>
      <c r="M68" s="3081"/>
      <c r="N68" s="3081"/>
      <c r="O68" s="3279"/>
      <c r="P68" s="3279"/>
      <c r="Q68" s="3279"/>
      <c r="R68" s="3279"/>
      <c r="S68" s="3279"/>
      <c r="T68" s="3641"/>
      <c r="V68" s="3648"/>
      <c r="W68" s="3648"/>
      <c r="X68" s="3648"/>
      <c r="AJ68" s="3669"/>
      <c r="AM68" s="3648"/>
      <c r="BA68" s="3694"/>
      <c r="BB68" s="3666"/>
    </row>
    <row r="69" spans="1:54" ht="14.1" customHeight="1">
      <c r="A69" s="3373"/>
      <c r="B69" s="3280"/>
      <c r="C69" s="3280"/>
      <c r="D69" s="3280"/>
      <c r="E69" s="3280"/>
      <c r="F69" s="3280"/>
      <c r="G69" s="3279"/>
      <c r="H69" s="3279"/>
      <c r="I69" s="3279"/>
      <c r="J69" s="3279"/>
      <c r="K69" s="3279"/>
      <c r="L69" s="3081"/>
      <c r="M69" s="3081"/>
      <c r="N69" s="3081"/>
      <c r="O69" s="3279"/>
      <c r="P69" s="3279"/>
      <c r="Q69" s="3279"/>
      <c r="R69" s="3279"/>
      <c r="S69" s="3279"/>
      <c r="T69" s="3641"/>
      <c r="U69" s="3660"/>
      <c r="V69" s="3660"/>
      <c r="W69" s="3660"/>
      <c r="X69" s="3660"/>
      <c r="Y69" s="3660"/>
      <c r="Z69" s="3660"/>
      <c r="AA69" s="3660"/>
      <c r="AB69" s="3660"/>
      <c r="AC69" s="3807"/>
      <c r="AD69" s="3807"/>
      <c r="AE69" s="3807"/>
      <c r="AF69" s="3807"/>
      <c r="AG69" s="3807"/>
      <c r="AH69" s="3807"/>
      <c r="AI69" s="3807"/>
      <c r="AJ69" s="3814"/>
      <c r="AM69" s="3648"/>
      <c r="BA69" s="3694"/>
      <c r="BB69" s="3666"/>
    </row>
    <row r="70" spans="1:54" ht="12" customHeight="1">
      <c r="A70" s="3813"/>
      <c r="T70" s="3641"/>
      <c r="Z70" s="3666"/>
      <c r="AA70" s="3666"/>
      <c r="AH70" s="3667" t="s">
        <v>1448</v>
      </c>
      <c r="AI70" s="3667"/>
      <c r="AJ70" s="3667"/>
      <c r="AL70" s="3666"/>
      <c r="AM70" s="3648"/>
      <c r="BA70" s="3694"/>
      <c r="BB70" s="3666"/>
    </row>
    <row r="71" spans="1:54" ht="12" customHeight="1">
      <c r="A71" s="3813"/>
      <c r="T71" s="3641"/>
      <c r="AL71" s="3674"/>
      <c r="AM71" s="3648"/>
      <c r="AN71" s="3667"/>
      <c r="AO71" s="3667"/>
      <c r="AP71" s="3667"/>
      <c r="AQ71" s="3667"/>
      <c r="AR71" s="3667"/>
      <c r="AS71" s="3667"/>
      <c r="AT71" s="3667"/>
      <c r="AU71" s="3667"/>
      <c r="AV71" s="3667"/>
      <c r="AW71" s="3667"/>
      <c r="AX71" s="3667"/>
      <c r="AY71" s="3667"/>
      <c r="BA71" s="3694"/>
      <c r="BB71" s="3666"/>
    </row>
    <row r="72" spans="1:54" ht="12" customHeight="1">
      <c r="A72" s="3813"/>
      <c r="T72" s="3641"/>
      <c r="U72" s="3676"/>
      <c r="X72" s="3750"/>
      <c r="Y72" s="3815"/>
      <c r="Z72" s="3667"/>
      <c r="AA72" s="3667"/>
      <c r="AK72" s="3667"/>
      <c r="AL72" s="3667"/>
      <c r="AM72" s="3648"/>
      <c r="AN72" s="3667"/>
      <c r="AO72" s="3667"/>
      <c r="AP72" s="3667"/>
      <c r="AQ72" s="3667"/>
      <c r="AR72" s="3667"/>
      <c r="AS72" s="3667"/>
      <c r="AT72" s="3667"/>
      <c r="AU72" s="3667"/>
      <c r="AV72" s="3667"/>
      <c r="AW72" s="3667"/>
      <c r="AX72" s="3667"/>
      <c r="AY72" s="3667"/>
      <c r="BA72" s="3694"/>
      <c r="BB72" s="3666"/>
    </row>
    <row r="73" spans="1:54" ht="12" customHeight="1">
      <c r="A73" s="3813"/>
      <c r="T73" s="3641"/>
      <c r="AM73" s="3648"/>
      <c r="BA73" s="3694"/>
      <c r="BB73" s="3666"/>
    </row>
    <row r="74" spans="1:54" ht="12" customHeight="1">
      <c r="A74" s="3813"/>
      <c r="T74" s="3641"/>
      <c r="AM74" s="3648"/>
      <c r="BA74" s="3694"/>
      <c r="BB74" s="3666"/>
    </row>
    <row r="75" spans="1:54" ht="12" customHeight="1">
      <c r="A75" s="3813"/>
      <c r="T75" s="3641"/>
      <c r="AM75" s="3648"/>
    </row>
    <row r="76" spans="1:54" ht="12" customHeight="1">
      <c r="A76" s="3813"/>
      <c r="T76" s="3641"/>
      <c r="V76" s="3640"/>
      <c r="W76" s="3640"/>
      <c r="X76" s="3640"/>
      <c r="Y76" s="3640"/>
      <c r="Z76" s="3640"/>
      <c r="AA76" s="3640"/>
      <c r="AB76" s="3640"/>
      <c r="AE76" s="3666"/>
      <c r="AF76" s="3666"/>
      <c r="AM76" s="3648"/>
    </row>
    <row r="77" spans="1:54" ht="12" hidden="1" customHeight="1">
      <c r="A77" s="3813"/>
      <c r="T77" s="3641"/>
      <c r="V77" s="3640"/>
      <c r="W77" s="3640"/>
      <c r="X77" s="3640"/>
      <c r="Y77" s="3640"/>
      <c r="Z77" s="3640"/>
      <c r="AA77" s="3640"/>
      <c r="AB77" s="3640"/>
      <c r="AE77" s="3666"/>
      <c r="AF77" s="3639"/>
    </row>
    <row r="78" spans="1:54" ht="12" customHeight="1">
      <c r="A78" s="3813"/>
      <c r="T78" s="3641"/>
      <c r="V78" s="3640"/>
      <c r="W78" s="3640"/>
      <c r="X78" s="3640"/>
      <c r="Y78" s="3640"/>
      <c r="Z78" s="3640"/>
      <c r="AA78" s="3640"/>
      <c r="AB78" s="3640"/>
      <c r="AE78" s="3666"/>
      <c r="AF78" s="3666"/>
    </row>
    <row r="79" spans="1:54" ht="12" customHeight="1">
      <c r="A79" s="3813"/>
      <c r="T79" s="3641"/>
      <c r="X79" s="3755"/>
      <c r="Y79" s="3755"/>
      <c r="Z79" s="3755"/>
      <c r="AA79" s="3755"/>
      <c r="AB79" s="3755"/>
      <c r="AC79" s="3755"/>
      <c r="AD79" s="3755"/>
    </row>
    <row r="80" spans="1:54" ht="12" customHeight="1">
      <c r="A80" s="3813"/>
      <c r="T80" s="3641"/>
      <c r="X80" s="3755"/>
      <c r="Y80" s="3755"/>
      <c r="Z80" s="3755"/>
      <c r="AA80" s="3755"/>
      <c r="AB80" s="3755"/>
      <c r="AC80" s="3755"/>
      <c r="AD80" s="3755"/>
    </row>
    <row r="81" spans="1:20" ht="12" customHeight="1">
      <c r="A81" s="3813"/>
      <c r="T81" s="3641"/>
    </row>
    <row r="82" spans="1:20" ht="12" customHeight="1">
      <c r="A82" s="3816"/>
      <c r="B82" s="3660"/>
      <c r="C82" s="3660"/>
      <c r="D82" s="3660"/>
      <c r="E82" s="3660"/>
      <c r="F82" s="3660"/>
      <c r="G82" s="3660"/>
      <c r="H82" s="3660"/>
      <c r="I82" s="3660"/>
      <c r="J82" s="3660"/>
      <c r="K82" s="3660"/>
      <c r="L82" s="3660"/>
      <c r="M82" s="3660"/>
      <c r="N82" s="3660"/>
      <c r="O82" s="3660"/>
      <c r="P82" s="3660"/>
      <c r="Q82" s="3660"/>
      <c r="R82" s="3660"/>
      <c r="S82" s="3660"/>
      <c r="T82" s="3817"/>
    </row>
    <row r="83" spans="1:20" ht="12" customHeight="1"/>
    <row r="84" spans="1:20" ht="12" customHeight="1"/>
    <row r="85" spans="1:20" ht="12" customHeight="1"/>
    <row r="86" spans="1:20" ht="12" customHeight="1"/>
    <row r="87" spans="1:20" ht="12" customHeight="1"/>
    <row r="88" spans="1:20" ht="12" customHeight="1"/>
    <row r="89" spans="1:20" ht="12" customHeight="1"/>
    <row r="90" spans="1:20" ht="12" customHeight="1"/>
    <row r="91" spans="1:20" ht="12" customHeight="1"/>
    <row r="92" spans="1:20" ht="12" customHeight="1"/>
    <row r="93" spans="1:20" ht="12" customHeight="1"/>
    <row r="94" spans="1:20" ht="12" customHeight="1"/>
    <row r="95" spans="1:20" ht="12" customHeight="1"/>
    <row r="96" spans="1:20" ht="12" customHeight="1"/>
    <row r="97" ht="12" customHeight="1"/>
    <row r="98" ht="12" customHeight="1"/>
  </sheetData>
  <mergeCells count="37">
    <mergeCell ref="AA58:AB58"/>
    <mergeCell ref="B64:B68"/>
    <mergeCell ref="C64:C65"/>
    <mergeCell ref="D64:D65"/>
    <mergeCell ref="E64:E65"/>
    <mergeCell ref="F64:F65"/>
    <mergeCell ref="V58:V62"/>
    <mergeCell ref="W58:W59"/>
    <mergeCell ref="X58:X59"/>
    <mergeCell ref="Y58:Y59"/>
    <mergeCell ref="Z58:Z59"/>
    <mergeCell ref="AA53:AB53"/>
    <mergeCell ref="AA54:AB54"/>
    <mergeCell ref="AA55:AB55"/>
    <mergeCell ref="AA56:AB56"/>
    <mergeCell ref="AA57:AB57"/>
    <mergeCell ref="B38:B40"/>
    <mergeCell ref="C38:C40"/>
    <mergeCell ref="D38:D40"/>
    <mergeCell ref="E38:E40"/>
    <mergeCell ref="F38:F40"/>
    <mergeCell ref="X30:X32"/>
    <mergeCell ref="Z30:Z32"/>
    <mergeCell ref="B35:C35"/>
    <mergeCell ref="B36:C36"/>
    <mergeCell ref="H36:H37"/>
    <mergeCell ref="Y30:Y32"/>
    <mergeCell ref="B1:H1"/>
    <mergeCell ref="B8:S8"/>
    <mergeCell ref="B9:S9"/>
    <mergeCell ref="V30:V32"/>
    <mergeCell ref="W30:W32"/>
    <mergeCell ref="D2:S2"/>
    <mergeCell ref="D3:S3"/>
    <mergeCell ref="D4:S4"/>
    <mergeCell ref="D5:S5"/>
    <mergeCell ref="D6:S6"/>
  </mergeCells>
  <pageMargins left="0.19685039370078741" right="0.19685039370078741" top="0.19685039370078741" bottom="0.19685039370078741" header="0.19685039370078741" footer="0.11811023622047245"/>
  <pageSetup paperSize="9" scale="80" fitToHeight="0" orientation="portrait" r:id="rId1"/>
  <headerFooter scaleWithDoc="0">
    <oddFooter>&amp;L&amp;8
&amp;R&amp;"Aptos,Regular"&amp;8Page &amp;P of &amp;N</oddFooter>
  </headerFooter>
  <drawing r:id="rId2"/>
  <legacyDrawing r:id="rId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1D6C7-5FF1-4308-A615-49AFAE8B3DB4}">
  <sheetPr>
    <tabColor rgb="FF7030A0"/>
    <pageSetUpPr fitToPage="1"/>
  </sheetPr>
  <dimension ref="B2:CB112"/>
  <sheetViews>
    <sheetView showGridLines="0" view="pageBreakPreview" zoomScaleNormal="100" zoomScaleSheetLayoutView="100" workbookViewId="0">
      <selection activeCell="D13" sqref="D13"/>
    </sheetView>
  </sheetViews>
  <sheetFormatPr defaultColWidth="7.75" defaultRowHeight="13.5"/>
  <cols>
    <col min="1" max="1" width="7.75" style="281"/>
    <col min="2" max="2" width="1.375" style="281" customWidth="1"/>
    <col min="3" max="3" width="0.75" style="281" customWidth="1"/>
    <col min="4" max="4" width="9" style="281" customWidth="1"/>
    <col min="5" max="5" width="9.375" style="281" customWidth="1"/>
    <col min="6" max="6" width="1.375" style="281" customWidth="1"/>
    <col min="7" max="7" width="12.625" style="281" customWidth="1"/>
    <col min="8" max="8" width="1.625" style="281" customWidth="1"/>
    <col min="9" max="15" width="7.75" style="281"/>
    <col min="16" max="16" width="1.75" style="281" customWidth="1"/>
    <col min="17" max="17" width="9.5" style="281" customWidth="1"/>
    <col min="18" max="18" width="1.25" style="281" bestFit="1" customWidth="1"/>
    <col min="19" max="19" width="7.75" style="281"/>
    <col min="20" max="20" width="2.125" style="281" customWidth="1"/>
    <col min="21" max="21" width="4.25" style="281" hidden="1" customWidth="1"/>
    <col min="22" max="23" width="1.375" style="281" customWidth="1"/>
    <col min="24" max="24" width="7.75" style="281"/>
    <col min="25" max="43" width="0" style="281" hidden="1" customWidth="1"/>
    <col min="44" max="44" width="5" style="281" hidden="1" customWidth="1"/>
    <col min="45" max="46" width="11.125" style="281" hidden="1" customWidth="1"/>
    <col min="47" max="47" width="1.5" style="281" hidden="1" customWidth="1"/>
    <col min="48" max="48" width="11.125" style="281" hidden="1" customWidth="1"/>
    <col min="49" max="52" width="9.875" style="281" hidden="1" customWidth="1"/>
    <col min="53" max="53" width="1.5" style="281" hidden="1" customWidth="1"/>
    <col min="54" max="54" width="9" style="281" hidden="1" customWidth="1"/>
    <col min="55" max="55" width="9.875" style="281" hidden="1" customWidth="1"/>
    <col min="56" max="56" width="5" style="281" hidden="1" customWidth="1"/>
    <col min="57" max="57" width="0" style="281" hidden="1" customWidth="1"/>
    <col min="58" max="62" width="7.75" style="281"/>
    <col min="63" max="63" width="9.75" style="281" customWidth="1"/>
    <col min="64" max="64" width="9.125" style="281" customWidth="1"/>
    <col min="65" max="16384" width="7.75" style="281"/>
  </cols>
  <sheetData>
    <row r="2" spans="2:80" ht="6" customHeight="1">
      <c r="B2" s="3842"/>
      <c r="C2" s="3404"/>
      <c r="D2" s="3405"/>
      <c r="E2" s="3405"/>
      <c r="F2" s="3405"/>
      <c r="G2" s="3405"/>
      <c r="H2" s="3405"/>
      <c r="I2" s="3405"/>
      <c r="J2" s="3405"/>
      <c r="K2" s="3405"/>
      <c r="L2" s="3405"/>
      <c r="M2" s="3405"/>
      <c r="N2" s="3405"/>
      <c r="O2" s="3405"/>
      <c r="P2" s="3405"/>
      <c r="Q2" s="3405"/>
      <c r="R2" s="3405"/>
      <c r="S2" s="3405"/>
      <c r="T2" s="3405"/>
      <c r="U2" s="3405"/>
      <c r="V2" s="3407"/>
      <c r="W2" s="3842"/>
      <c r="AR2" s="2065"/>
      <c r="AS2" s="2062"/>
      <c r="AT2" s="2062"/>
      <c r="AU2" s="2062"/>
      <c r="AV2" s="2062"/>
      <c r="AW2" s="3843" t="str">
        <f>'56X'!AB2</f>
        <v>PROJECT : GEOTECH INVESTIGATIONLAND SLIDE STUDY</v>
      </c>
      <c r="AX2" s="2069"/>
      <c r="AY2" s="2067"/>
      <c r="AZ2" s="2067"/>
      <c r="BA2" s="2067"/>
      <c r="BB2" s="2067"/>
      <c r="BC2" s="2067"/>
      <c r="BD2" s="2070"/>
    </row>
    <row r="3" spans="2:80" ht="20.25">
      <c r="B3" s="3842"/>
      <c r="C3" s="3410"/>
      <c r="D3" s="4103"/>
      <c r="E3" s="4104"/>
      <c r="F3" s="4104"/>
      <c r="G3" s="4888" t="s">
        <v>821</v>
      </c>
      <c r="H3" s="4889"/>
      <c r="I3" s="4889"/>
      <c r="J3" s="4889"/>
      <c r="K3" s="4889"/>
      <c r="L3" s="4889"/>
      <c r="M3" s="4889"/>
      <c r="N3" s="4889"/>
      <c r="O3" s="4889"/>
      <c r="P3" s="4889"/>
      <c r="Q3" s="4889"/>
      <c r="R3" s="4889"/>
      <c r="S3" s="4889"/>
      <c r="T3" s="4890"/>
      <c r="U3" s="3842"/>
      <c r="V3" s="3414"/>
      <c r="W3" s="3842"/>
      <c r="AR3" s="2861"/>
      <c r="AW3" s="3844" t="str">
        <f>'56X'!AB3</f>
        <v>CLIENT    : THE LODGE MARIBAYA, BANDUNG</v>
      </c>
      <c r="AX3" s="2076"/>
      <c r="AY3" s="2074"/>
      <c r="AZ3" s="2074"/>
      <c r="BA3" s="2074"/>
      <c r="BB3" s="2074"/>
      <c r="BC3" s="2074"/>
      <c r="BD3" s="2077"/>
    </row>
    <row r="4" spans="2:80" ht="14.45" customHeight="1">
      <c r="B4" s="3842"/>
      <c r="C4" s="3410"/>
      <c r="D4" s="4100"/>
      <c r="E4" s="4105"/>
      <c r="F4" s="4105"/>
      <c r="G4" s="4891" t="s">
        <v>819</v>
      </c>
      <c r="H4" s="4892"/>
      <c r="I4" s="4892"/>
      <c r="J4" s="4892"/>
      <c r="K4" s="4892"/>
      <c r="L4" s="4892"/>
      <c r="M4" s="4892"/>
      <c r="N4" s="4892"/>
      <c r="O4" s="4892"/>
      <c r="P4" s="4892"/>
      <c r="Q4" s="4892"/>
      <c r="R4" s="4892"/>
      <c r="S4" s="4892"/>
      <c r="T4" s="4893"/>
      <c r="U4" s="4001"/>
      <c r="V4" s="3414"/>
      <c r="W4" s="3842"/>
      <c r="AR4" s="2861"/>
      <c r="AW4" s="3845" t="str">
        <f>'56X'!AB4</f>
        <v>JOB          :</v>
      </c>
      <c r="AX4" s="2074"/>
      <c r="AY4" s="2074"/>
      <c r="AZ4" s="3845" t="str">
        <f>'56X'!AF4</f>
        <v>Date                : 16-10-2017</v>
      </c>
      <c r="BA4" s="2074"/>
      <c r="BB4" s="3846"/>
      <c r="BC4" s="2074"/>
      <c r="BD4" s="3847"/>
    </row>
    <row r="5" spans="2:80" ht="14.45" customHeight="1">
      <c r="B5" s="3842"/>
      <c r="C5" s="3410"/>
      <c r="D5" s="4100"/>
      <c r="E5" s="4105"/>
      <c r="F5" s="4105"/>
      <c r="G5" s="4891" t="s">
        <v>820</v>
      </c>
      <c r="H5" s="4892"/>
      <c r="I5" s="4892"/>
      <c r="J5" s="4892"/>
      <c r="K5" s="4892"/>
      <c r="L5" s="4892"/>
      <c r="M5" s="4892"/>
      <c r="N5" s="4892"/>
      <c r="O5" s="4892"/>
      <c r="P5" s="4892"/>
      <c r="Q5" s="4892"/>
      <c r="R5" s="4892"/>
      <c r="S5" s="4892"/>
      <c r="T5" s="4893"/>
      <c r="U5" s="3997"/>
      <c r="V5" s="3414"/>
      <c r="W5" s="3842"/>
      <c r="AR5" s="2080"/>
      <c r="AS5" s="287"/>
      <c r="AT5" s="287"/>
      <c r="AU5" s="287"/>
      <c r="AV5" s="287"/>
      <c r="AW5" s="3848" t="str">
        <f>'56X'!AB5</f>
        <v>TESTED BY: Rafli Cs</v>
      </c>
      <c r="AX5" s="3849"/>
      <c r="AY5" s="2082"/>
      <c r="AZ5" s="3848" t="str">
        <f>'56X'!AF5</f>
        <v>CHECKED BY  : ALAN</v>
      </c>
      <c r="BA5" s="2082"/>
      <c r="BB5" s="2082" t="e">
        <f>#REF!</f>
        <v>#REF!</v>
      </c>
      <c r="BC5" s="2082"/>
      <c r="BD5" s="3850"/>
    </row>
    <row r="6" spans="2:80" ht="15.95" customHeight="1">
      <c r="B6" s="3842"/>
      <c r="C6" s="3410"/>
      <c r="D6" s="4100"/>
      <c r="E6" s="4105"/>
      <c r="F6" s="4105"/>
      <c r="G6" s="4891" t="s">
        <v>830</v>
      </c>
      <c r="H6" s="4892"/>
      <c r="I6" s="4892"/>
      <c r="J6" s="4892"/>
      <c r="K6" s="4892"/>
      <c r="L6" s="4892"/>
      <c r="M6" s="4892"/>
      <c r="N6" s="4892"/>
      <c r="O6" s="4892"/>
      <c r="P6" s="4892"/>
      <c r="Q6" s="4892"/>
      <c r="R6" s="4892"/>
      <c r="S6" s="4892"/>
      <c r="T6" s="4893"/>
      <c r="U6" s="3997"/>
      <c r="V6" s="3414"/>
      <c r="W6" s="3842"/>
      <c r="AR6" s="2861"/>
      <c r="BD6" s="2071"/>
    </row>
    <row r="7" spans="2:80" ht="15.75">
      <c r="B7" s="3842"/>
      <c r="C7" s="3410"/>
      <c r="D7" s="4101"/>
      <c r="E7" s="4102"/>
      <c r="F7" s="4102"/>
      <c r="G7" s="4894" t="s">
        <v>827</v>
      </c>
      <c r="H7" s="4895"/>
      <c r="I7" s="4895"/>
      <c r="J7" s="4895"/>
      <c r="K7" s="4895"/>
      <c r="L7" s="4895"/>
      <c r="M7" s="4895"/>
      <c r="N7" s="4895"/>
      <c r="O7" s="4895"/>
      <c r="P7" s="4895"/>
      <c r="Q7" s="4895"/>
      <c r="R7" s="4895"/>
      <c r="S7" s="4895"/>
      <c r="T7" s="4896"/>
      <c r="U7" s="4002"/>
      <c r="V7" s="3414"/>
      <c r="W7" s="3842"/>
      <c r="AR7" s="3851" t="s">
        <v>1451</v>
      </c>
      <c r="AS7" s="3852"/>
      <c r="AT7" s="3852"/>
      <c r="AU7" s="3852"/>
      <c r="AV7" s="3852"/>
      <c r="AW7" s="3852"/>
      <c r="AX7" s="3852"/>
      <c r="AY7" s="3852"/>
      <c r="AZ7" s="3852"/>
      <c r="BA7" s="3852"/>
      <c r="BB7" s="3852"/>
      <c r="BC7" s="3852"/>
      <c r="BD7" s="3853"/>
      <c r="BP7" s="3852"/>
      <c r="BQ7" s="2091"/>
      <c r="BR7" s="2091"/>
      <c r="BS7" s="2091"/>
      <c r="BT7" s="2091"/>
      <c r="BU7" s="2091"/>
      <c r="BV7" s="2091"/>
      <c r="BW7" s="2091"/>
      <c r="BX7" s="2091"/>
      <c r="BY7" s="2091"/>
      <c r="BZ7" s="2091"/>
      <c r="CA7" s="2091"/>
      <c r="CB7" s="3854"/>
    </row>
    <row r="8" spans="2:80" ht="4.5" customHeight="1">
      <c r="B8" s="3447"/>
      <c r="C8" s="3446"/>
      <c r="D8" s="3447"/>
      <c r="E8" s="3447"/>
      <c r="F8" s="3447"/>
      <c r="G8" s="3447"/>
      <c r="H8" s="3447"/>
      <c r="I8" s="3447"/>
      <c r="J8" s="3447"/>
      <c r="K8" s="3422"/>
      <c r="L8" s="3422"/>
      <c r="M8" s="3422"/>
      <c r="N8" s="3422"/>
      <c r="O8" s="3422"/>
      <c r="P8" s="3448"/>
      <c r="Q8" s="3448"/>
      <c r="R8" s="3448"/>
      <c r="S8" s="3448"/>
      <c r="T8" s="3448"/>
      <c r="U8" s="3448"/>
      <c r="V8" s="3449"/>
      <c r="W8" s="3447"/>
      <c r="AR8" s="3855" t="s">
        <v>1452</v>
      </c>
      <c r="AS8" s="3856"/>
      <c r="AT8" s="3856"/>
      <c r="AU8" s="3856"/>
      <c r="AV8" s="3856"/>
      <c r="AW8" s="3856"/>
      <c r="AX8" s="3856"/>
      <c r="AY8" s="3856"/>
      <c r="AZ8" s="3856"/>
      <c r="BA8" s="3856"/>
      <c r="BB8" s="3856"/>
      <c r="BC8" s="3856"/>
      <c r="BD8" s="3857"/>
      <c r="BP8" s="3856"/>
      <c r="BQ8" s="2091"/>
      <c r="BR8" s="2091"/>
      <c r="BS8" s="2091"/>
      <c r="BT8" s="2091"/>
      <c r="BU8" s="2091"/>
      <c r="BV8" s="2091"/>
      <c r="BW8" s="2091"/>
      <c r="BX8" s="2091"/>
      <c r="BY8" s="2091"/>
      <c r="BZ8" s="2091"/>
      <c r="CA8" s="2091"/>
      <c r="CB8" s="2091"/>
    </row>
    <row r="9" spans="2:80" ht="21">
      <c r="B9" s="3279"/>
      <c r="C9" s="3278"/>
      <c r="D9" s="4885" t="s">
        <v>1387</v>
      </c>
      <c r="E9" s="4886"/>
      <c r="F9" s="4886"/>
      <c r="G9" s="4886"/>
      <c r="H9" s="4886"/>
      <c r="I9" s="4886"/>
      <c r="J9" s="4886"/>
      <c r="K9" s="4886"/>
      <c r="L9" s="4886"/>
      <c r="M9" s="4886"/>
      <c r="N9" s="4886"/>
      <c r="O9" s="4886"/>
      <c r="P9" s="4886"/>
      <c r="Q9" s="4886"/>
      <c r="R9" s="4886"/>
      <c r="S9" s="4886"/>
      <c r="T9" s="4887"/>
      <c r="U9" s="4093"/>
      <c r="V9" s="1755"/>
      <c r="W9" s="3279"/>
      <c r="AR9" s="2861"/>
      <c r="AW9" s="3858"/>
      <c r="BD9" s="2071"/>
    </row>
    <row r="10" spans="2:80" ht="18.75">
      <c r="B10" s="3279"/>
      <c r="C10" s="3278"/>
      <c r="D10" s="4580" t="s">
        <v>1389</v>
      </c>
      <c r="E10" s="4581"/>
      <c r="F10" s="4581"/>
      <c r="G10" s="4581"/>
      <c r="H10" s="4581"/>
      <c r="I10" s="4581"/>
      <c r="J10" s="4581"/>
      <c r="K10" s="4581"/>
      <c r="L10" s="4581"/>
      <c r="M10" s="4581"/>
      <c r="N10" s="4581"/>
      <c r="O10" s="4581"/>
      <c r="P10" s="4581"/>
      <c r="Q10" s="4581"/>
      <c r="R10" s="4581"/>
      <c r="S10" s="4581"/>
      <c r="T10" s="4582"/>
      <c r="U10" s="4094"/>
      <c r="V10" s="1752"/>
      <c r="W10" s="3279"/>
      <c r="AR10" s="2861"/>
      <c r="AS10" s="2102" t="s">
        <v>208</v>
      </c>
      <c r="AU10" s="3858" t="s">
        <v>27</v>
      </c>
      <c r="AV10" s="3858" t="e">
        <f>#REF!</f>
        <v>#REF!</v>
      </c>
      <c r="AY10" s="2102" t="s">
        <v>240</v>
      </c>
      <c r="BA10" s="281" t="s">
        <v>27</v>
      </c>
      <c r="BB10" s="2102" t="e">
        <f>#REF!</f>
        <v>#REF!</v>
      </c>
      <c r="BD10" s="2071"/>
    </row>
    <row r="11" spans="2:80" ht="6" customHeight="1">
      <c r="B11" s="3279"/>
      <c r="C11" s="3455"/>
      <c r="D11" s="1747"/>
      <c r="E11" s="1747"/>
      <c r="F11" s="1747"/>
      <c r="G11" s="1747"/>
      <c r="H11" s="1747"/>
      <c r="I11" s="1747"/>
      <c r="J11" s="1747"/>
      <c r="K11" s="1747"/>
      <c r="L11" s="1747"/>
      <c r="M11" s="1747"/>
      <c r="N11" s="1747"/>
      <c r="O11" s="1747"/>
      <c r="P11" s="1747"/>
      <c r="Q11" s="1747"/>
      <c r="R11" s="1747"/>
      <c r="S11" s="1747"/>
      <c r="T11" s="1747"/>
      <c r="U11" s="1747"/>
      <c r="V11" s="1748"/>
      <c r="W11" s="3279"/>
      <c r="AR11" s="2861"/>
      <c r="AS11" s="2102" t="s">
        <v>1453</v>
      </c>
      <c r="AU11" s="3858" t="s">
        <v>27</v>
      </c>
      <c r="AV11" s="3858" t="e">
        <f>#REF!</f>
        <v>#REF!</v>
      </c>
      <c r="AY11" s="2102" t="s">
        <v>1454</v>
      </c>
      <c r="BA11" s="281" t="s">
        <v>27</v>
      </c>
      <c r="BB11" s="281" t="e">
        <f>#REF!</f>
        <v>#REF!</v>
      </c>
      <c r="BD11" s="2071"/>
    </row>
    <row r="12" spans="2:80" ht="17.25" customHeight="1">
      <c r="B12" s="3280"/>
      <c r="C12" s="2748"/>
      <c r="D12" s="1742" t="str">
        <f>'56X'!B11</f>
        <v>Deskripsi Sampel / Sample Description</v>
      </c>
      <c r="E12" s="3280"/>
      <c r="F12" s="3280"/>
      <c r="G12" s="3280"/>
      <c r="H12" s="3280"/>
      <c r="I12" s="1742"/>
      <c r="J12" s="1742"/>
      <c r="K12" s="1742"/>
      <c r="L12" s="1742"/>
      <c r="M12" s="1742"/>
      <c r="N12" s="3280"/>
      <c r="O12" s="3280"/>
      <c r="P12" s="3280"/>
      <c r="Q12" s="3280"/>
      <c r="R12" s="3280"/>
      <c r="S12" s="3280"/>
      <c r="T12" s="1742"/>
      <c r="U12" s="1742"/>
      <c r="V12" s="1743"/>
      <c r="W12" s="3280"/>
      <c r="AR12" s="2861"/>
      <c r="AS12" s="2102" t="s">
        <v>210</v>
      </c>
      <c r="AU12" s="3858" t="s">
        <v>27</v>
      </c>
      <c r="AV12" s="3858" t="e">
        <f>#REF!</f>
        <v>#REF!</v>
      </c>
      <c r="AW12" s="281" t="s">
        <v>68</v>
      </c>
      <c r="AY12" s="2102" t="s">
        <v>212</v>
      </c>
      <c r="BA12" s="281" t="s">
        <v>27</v>
      </c>
      <c r="BB12" s="281" t="e">
        <f>#REF!</f>
        <v>#REF!</v>
      </c>
      <c r="BD12" s="2071"/>
    </row>
    <row r="13" spans="2:80" ht="16.5" customHeight="1">
      <c r="B13" s="3280"/>
      <c r="C13" s="2748"/>
      <c r="D13" s="1742" t="str">
        <f>'56X'!B12</f>
        <v>Pelanggan / Client</v>
      </c>
      <c r="E13" s="3280"/>
      <c r="F13" s="1742" t="s">
        <v>27</v>
      </c>
      <c r="G13" s="3289" t="str">
        <f>'56X'!E12</f>
        <v xml:space="preserve">PT Itamatra Nusantara </v>
      </c>
      <c r="H13" s="3280"/>
      <c r="I13" s="3280"/>
      <c r="J13" s="1742"/>
      <c r="K13" s="1742"/>
      <c r="L13" s="1742"/>
      <c r="M13" s="1742"/>
      <c r="N13" s="3280" t="str">
        <f>'56X'!L12</f>
        <v>Penguji / Test by</v>
      </c>
      <c r="O13" s="3280"/>
      <c r="P13" s="281" t="s">
        <v>27</v>
      </c>
      <c r="Q13" s="4939">
        <f>'56X'!O12</f>
        <v>0</v>
      </c>
      <c r="R13" s="4939"/>
      <c r="S13" s="4939"/>
      <c r="T13" s="4939"/>
      <c r="U13" s="1742"/>
      <c r="V13" s="1743"/>
      <c r="W13" s="3280"/>
      <c r="AR13" s="2861"/>
      <c r="AS13" s="2102"/>
      <c r="AU13" s="3858"/>
      <c r="AW13" s="3858"/>
      <c r="AY13" s="2102"/>
      <c r="BB13" s="2103"/>
      <c r="BD13" s="2071"/>
      <c r="BG13" s="3859"/>
    </row>
    <row r="14" spans="2:80" ht="16.5" customHeight="1">
      <c r="B14" s="3280"/>
      <c r="C14" s="2748"/>
      <c r="D14" s="1742" t="str">
        <f>'56X'!B13</f>
        <v>Proyek / Project</v>
      </c>
      <c r="E14" s="3280"/>
      <c r="F14" s="1762" t="s">
        <v>27</v>
      </c>
      <c r="G14" s="3289" t="str">
        <f>'56X'!E13</f>
        <v>hidroplogi</v>
      </c>
      <c r="H14" s="3280"/>
      <c r="I14" s="1742"/>
      <c r="J14" s="1742"/>
      <c r="K14" s="1742"/>
      <c r="L14" s="1742"/>
      <c r="M14" s="1742"/>
      <c r="N14" s="3280" t="str">
        <f>'56X'!L13</f>
        <v>No. PKS</v>
      </c>
      <c r="O14" s="3280"/>
      <c r="P14" s="281" t="s">
        <v>27</v>
      </c>
      <c r="Q14" s="4939" t="str">
        <f>'56X'!O13</f>
        <v>001/PKS GQT-MGS/VIII/2025</v>
      </c>
      <c r="R14" s="4939"/>
      <c r="S14" s="4939"/>
      <c r="T14" s="4939"/>
      <c r="U14" s="1742"/>
      <c r="V14" s="1743"/>
      <c r="W14" s="3280"/>
      <c r="AR14" s="2861"/>
      <c r="AS14" s="2102"/>
      <c r="AU14" s="3858"/>
      <c r="AW14" s="3858"/>
      <c r="AY14" s="2125" t="e">
        <f>#REF!</f>
        <v>#REF!</v>
      </c>
      <c r="BB14" s="2103"/>
      <c r="BD14" s="2071"/>
    </row>
    <row r="15" spans="2:80" ht="16.5" customHeight="1">
      <c r="B15" s="3280"/>
      <c r="C15" s="2748"/>
      <c r="D15" s="1742" t="str">
        <f>'56X'!B14</f>
        <v>Id Lab / Lab id</v>
      </c>
      <c r="E15" s="3280"/>
      <c r="F15" s="1762" t="s">
        <v>27</v>
      </c>
      <c r="G15" s="3289" t="str">
        <f>'56X'!E14</f>
        <v>23-GQT--19-UDS-1-BH-05-0,00-0,50-100726-001</v>
      </c>
      <c r="H15" s="3280"/>
      <c r="I15" s="3280"/>
      <c r="J15" s="1742"/>
      <c r="K15" s="3280"/>
      <c r="L15" s="1742"/>
      <c r="M15" s="1742"/>
      <c r="N15" s="3280" t="str">
        <f>'56X'!L14</f>
        <v>Tanggal / Dated</v>
      </c>
      <c r="O15" s="3280"/>
      <c r="P15" s="281" t="s">
        <v>27</v>
      </c>
      <c r="Q15" s="4940">
        <f>'56X'!O14</f>
        <v>46230</v>
      </c>
      <c r="R15" s="4940"/>
      <c r="S15" s="4940"/>
      <c r="T15" s="4940"/>
      <c r="U15" s="1742"/>
      <c r="V15" s="1743"/>
      <c r="W15" s="3280"/>
      <c r="AR15" s="2861"/>
      <c r="AS15" s="2102" t="s">
        <v>1455</v>
      </c>
      <c r="AU15" s="3858" t="s">
        <v>27</v>
      </c>
      <c r="AV15" s="2103" t="s">
        <v>309</v>
      </c>
      <c r="AW15" s="3860"/>
      <c r="AY15" s="2102" t="s">
        <v>1456</v>
      </c>
      <c r="BA15" s="281" t="s">
        <v>27</v>
      </c>
      <c r="BB15" s="3858" t="e">
        <f>#REF!</f>
        <v>#REF!</v>
      </c>
      <c r="BC15" s="2103"/>
      <c r="BD15" s="2071"/>
    </row>
    <row r="16" spans="2:80" ht="16.5" customHeight="1">
      <c r="B16" s="3280"/>
      <c r="C16" s="2748"/>
      <c r="D16" s="1742" t="str">
        <f>'56X'!B15</f>
        <v>No Sampel / Sample No</v>
      </c>
      <c r="E16" s="3280"/>
      <c r="F16" s="1762" t="s">
        <v>27</v>
      </c>
      <c r="G16" s="3289" t="str">
        <f>'56X'!E15</f>
        <v>BH-05_UDS-01</v>
      </c>
      <c r="H16" s="3280"/>
      <c r="I16" s="1742"/>
      <c r="J16" s="1742"/>
      <c r="K16" s="1765"/>
      <c r="L16" s="1765"/>
      <c r="M16" s="1742"/>
      <c r="N16" s="3280" t="str">
        <f>'56X'!L15</f>
        <v>Diperiksa / Checked by</v>
      </c>
      <c r="O16" s="3280"/>
      <c r="P16" s="281" t="s">
        <v>27</v>
      </c>
      <c r="Q16" s="4939" t="str">
        <f>'56X'!O15</f>
        <v>AS Sumartadji</v>
      </c>
      <c r="R16" s="4939"/>
      <c r="S16" s="4939"/>
      <c r="T16" s="4939"/>
      <c r="U16" s="1742"/>
      <c r="V16" s="1743"/>
      <c r="W16" s="3280"/>
      <c r="AR16" s="2861"/>
      <c r="AS16" s="2102" t="s">
        <v>1457</v>
      </c>
      <c r="AU16" s="3858" t="s">
        <v>27</v>
      </c>
      <c r="AV16" s="3860" t="e">
        <f>#REF!</f>
        <v>#REF!</v>
      </c>
      <c r="AY16" s="2102" t="s">
        <v>1458</v>
      </c>
      <c r="BA16" s="281" t="s">
        <v>27</v>
      </c>
      <c r="BB16" s="3858" t="e">
        <f>#REF!</f>
        <v>#REF!</v>
      </c>
      <c r="BC16" s="281" t="s">
        <v>1172</v>
      </c>
      <c r="BD16" s="2071"/>
    </row>
    <row r="17" spans="2:64" ht="16.5" customHeight="1">
      <c r="B17" s="3280"/>
      <c r="C17" s="2748"/>
      <c r="D17" s="1742" t="str">
        <f>'56X'!B16</f>
        <v>Kedalaman / Depth</v>
      </c>
      <c r="E17" s="3280"/>
      <c r="F17" s="3280" t="s">
        <v>27</v>
      </c>
      <c r="G17" s="3289" t="str">
        <f>'56X'!E16</f>
        <v>0,00-0,50 m</v>
      </c>
      <c r="H17" s="3280"/>
      <c r="I17" s="1742"/>
      <c r="J17" s="1742"/>
      <c r="K17" s="1742"/>
      <c r="L17" s="1742"/>
      <c r="M17" s="1742"/>
      <c r="N17" s="3280" t="str">
        <f>'56X'!L16</f>
        <v>No. Lampiran</v>
      </c>
      <c r="O17" s="3280"/>
      <c r="P17" s="281" t="s">
        <v>27</v>
      </c>
      <c r="Q17" s="4939" t="str">
        <f>'56X'!O16</f>
        <v>MGS/02/VI/2026</v>
      </c>
      <c r="R17" s="4939"/>
      <c r="S17" s="4939"/>
      <c r="T17" s="4939"/>
      <c r="U17" s="1742"/>
      <c r="V17" s="1743"/>
      <c r="W17" s="3280"/>
      <c r="AR17" s="2861"/>
      <c r="AS17" s="2102" t="s">
        <v>1459</v>
      </c>
      <c r="AU17" s="3858" t="s">
        <v>27</v>
      </c>
      <c r="AV17" s="2119" t="e">
        <f>#REF!</f>
        <v>#REF!</v>
      </c>
      <c r="AY17" s="3861" t="s">
        <v>1460</v>
      </c>
      <c r="BA17" s="281" t="s">
        <v>27</v>
      </c>
      <c r="BB17" s="3858" t="e">
        <f>#REF!</f>
        <v>#REF!</v>
      </c>
      <c r="BC17" s="281" t="s">
        <v>2</v>
      </c>
      <c r="BD17" s="2071"/>
      <c r="BF17" s="281" t="s">
        <v>1461</v>
      </c>
    </row>
    <row r="18" spans="2:64" ht="16.5" customHeight="1">
      <c r="B18" s="3280"/>
      <c r="C18" s="2748"/>
      <c r="D18" s="1742" t="str">
        <f>'56X'!B17</f>
        <v>Jenis Tanah / Soil Type</v>
      </c>
      <c r="E18" s="3280"/>
      <c r="F18" s="1742" t="s">
        <v>27</v>
      </c>
      <c r="G18" s="3289" t="str">
        <f>'56X'!E17</f>
        <v>silty CLAY with sand</v>
      </c>
      <c r="H18" s="3280"/>
      <c r="I18" s="1742"/>
      <c r="J18" s="1742"/>
      <c r="K18" s="1742"/>
      <c r="L18" s="1742"/>
      <c r="M18" s="1742"/>
      <c r="N18" s="1742"/>
      <c r="O18" s="1742"/>
      <c r="P18" s="1742"/>
      <c r="Q18" s="1742"/>
      <c r="R18" s="1742"/>
      <c r="S18" s="1742"/>
      <c r="T18" s="1742"/>
      <c r="U18" s="1742"/>
      <c r="V18" s="1743"/>
      <c r="W18" s="3280"/>
      <c r="AR18" s="2861"/>
      <c r="AS18" s="2102" t="s">
        <v>1462</v>
      </c>
      <c r="AU18" s="3858" t="s">
        <v>27</v>
      </c>
      <c r="AV18" s="3862" t="e">
        <f>#REF!</f>
        <v>#REF!</v>
      </c>
      <c r="AW18" s="3863" t="s">
        <v>1</v>
      </c>
      <c r="AY18" s="3864" t="s">
        <v>1463</v>
      </c>
      <c r="BA18" s="281" t="s">
        <v>27</v>
      </c>
      <c r="BB18" s="3858" t="e">
        <f>#REF!</f>
        <v>#REF!</v>
      </c>
      <c r="BC18" s="2103"/>
      <c r="BD18" s="2071"/>
      <c r="BH18" s="2125" t="s">
        <v>1464</v>
      </c>
    </row>
    <row r="19" spans="2:64" ht="16.5" customHeight="1">
      <c r="B19" s="3280"/>
      <c r="C19" s="3290"/>
      <c r="D19" s="1742" t="str">
        <f>'56X'!B18</f>
        <v>Warna / Colour</v>
      </c>
      <c r="E19" s="4095"/>
      <c r="F19" s="3280" t="s">
        <v>27</v>
      </c>
      <c r="G19" s="3289" t="str">
        <f>'56X'!E18</f>
        <v>Abu-abu / Gray</v>
      </c>
      <c r="H19" s="3280"/>
      <c r="I19" s="3280"/>
      <c r="J19" s="3280"/>
      <c r="K19" s="3280"/>
      <c r="L19" s="3280"/>
      <c r="M19" s="3280"/>
      <c r="N19" s="3280"/>
      <c r="O19" s="3280"/>
      <c r="P19" s="3280"/>
      <c r="Q19" s="3280"/>
      <c r="R19" s="3280"/>
      <c r="S19" s="3280"/>
      <c r="T19" s="3280"/>
      <c r="U19" s="3280"/>
      <c r="V19" s="3293"/>
      <c r="W19" s="3280"/>
      <c r="AR19" s="2861"/>
      <c r="AW19" s="3858"/>
      <c r="AY19" s="2153"/>
      <c r="AZ19" s="3864"/>
      <c r="BA19" s="3864"/>
      <c r="BB19" s="2103"/>
      <c r="BC19" s="3858"/>
      <c r="BD19" s="2071"/>
      <c r="BF19" s="281" t="s">
        <v>1465</v>
      </c>
      <c r="BH19" s="281" t="s">
        <v>1466</v>
      </c>
      <c r="BJ19" s="281" t="s">
        <v>1467</v>
      </c>
      <c r="BK19" s="281" t="s">
        <v>1468</v>
      </c>
      <c r="BL19" s="281" t="s">
        <v>1469</v>
      </c>
    </row>
    <row r="20" spans="2:64" ht="16.5" customHeight="1">
      <c r="B20" s="3280"/>
      <c r="C20" s="3290"/>
      <c r="D20" s="1742" t="str">
        <f>'56X'!B19</f>
        <v>Jenis Sampel / Sample Type</v>
      </c>
      <c r="E20" s="4095"/>
      <c r="F20" s="3280" t="s">
        <v>27</v>
      </c>
      <c r="G20" s="3289" t="str">
        <f>'56X'!E19</f>
        <v>Undisturbed Sample / UDS</v>
      </c>
      <c r="H20" s="3280"/>
      <c r="I20" s="3280"/>
      <c r="J20" s="3280"/>
      <c r="K20" s="3280"/>
      <c r="M20" s="3280"/>
      <c r="N20" s="3280"/>
      <c r="O20" s="3280"/>
      <c r="P20" s="3280"/>
      <c r="Q20" s="3280"/>
      <c r="R20" s="3280"/>
      <c r="S20" s="3280"/>
      <c r="T20" s="3280"/>
      <c r="U20" s="3280"/>
      <c r="V20" s="3293"/>
      <c r="W20" s="3280"/>
      <c r="AR20" s="2861"/>
      <c r="AY20" s="2159"/>
      <c r="AZ20" s="3865"/>
      <c r="BA20" s="3865"/>
      <c r="BD20" s="2071"/>
      <c r="BF20" s="3866">
        <f>'Standard Proctor'!J36</f>
        <v>39.961656783628321</v>
      </c>
      <c r="BG20" s="3867"/>
      <c r="BH20" s="3866">
        <f>K29</f>
        <v>1.0354276061549237</v>
      </c>
      <c r="BI20" s="3867"/>
      <c r="BJ20" s="3866">
        <f>K31</f>
        <v>1.2869803112499651</v>
      </c>
      <c r="BK20" s="3866">
        <f>'Standard Proctor'!AA30</f>
        <v>1.2530619904019067</v>
      </c>
      <c r="BL20" s="3866">
        <f>'Standard Proctor'!AB30</f>
        <v>1.2174121521127212</v>
      </c>
    </row>
    <row r="21" spans="2:64" ht="17.25" customHeight="1">
      <c r="B21" s="3480"/>
      <c r="C21" s="3479"/>
      <c r="D21" s="3313"/>
      <c r="L21" s="3325" t="s">
        <v>1470</v>
      </c>
      <c r="O21" s="3868"/>
      <c r="P21" s="3480"/>
      <c r="Q21" s="3480"/>
      <c r="R21" s="3480"/>
      <c r="S21" s="3480"/>
      <c r="T21" s="3480"/>
      <c r="U21" s="3480"/>
      <c r="V21" s="3481"/>
      <c r="W21" s="3480"/>
      <c r="AR21" s="3869"/>
      <c r="AS21" s="2125" t="s">
        <v>1471</v>
      </c>
      <c r="BD21" s="2071"/>
      <c r="BF21" s="3866">
        <f>'Standard Proctor'!K36</f>
        <v>42.043074491207285</v>
      </c>
      <c r="BG21" s="3867"/>
      <c r="BH21" s="3866">
        <f>L29</f>
        <v>1.096125136280383</v>
      </c>
      <c r="BI21" s="3867"/>
      <c r="BJ21" s="3866">
        <f>L31</f>
        <v>1.2534048100052806</v>
      </c>
      <c r="BK21" s="3866">
        <f>'Standard Proctor'!AA31</f>
        <v>1.2195794580608568</v>
      </c>
      <c r="BL21" s="3866">
        <f>'Standard Proctor'!AB31</f>
        <v>1.1840746204936641</v>
      </c>
    </row>
    <row r="22" spans="2:64" ht="17.25" customHeight="1">
      <c r="B22" s="3480"/>
      <c r="C22" s="3479"/>
      <c r="D22" s="3313"/>
      <c r="E22" s="4937" t="s">
        <v>1455</v>
      </c>
      <c r="F22" s="4937"/>
      <c r="G22" s="4937"/>
      <c r="H22" s="3313"/>
      <c r="I22" s="4096" t="s">
        <v>309</v>
      </c>
      <c r="J22" s="3480"/>
      <c r="K22" s="3480"/>
      <c r="L22" s="4938" t="s">
        <v>1456</v>
      </c>
      <c r="M22" s="4938"/>
      <c r="N22" s="4938"/>
      <c r="O22" s="3868"/>
      <c r="P22" s="3480"/>
      <c r="Q22" s="3480"/>
      <c r="R22" s="3480"/>
      <c r="S22" s="3480"/>
      <c r="T22" s="3480"/>
      <c r="U22" s="3480"/>
      <c r="V22" s="3481"/>
      <c r="W22" s="3480"/>
      <c r="AR22" s="2861"/>
      <c r="BD22" s="2071"/>
      <c r="BF22" s="3866">
        <f>'Standard Proctor'!L36</f>
        <v>45.372815079709902</v>
      </c>
      <c r="BG22" s="3867"/>
      <c r="BH22" s="3866">
        <f>M29</f>
        <v>1.1691327046126441</v>
      </c>
      <c r="BI22" s="3867"/>
      <c r="BJ22" s="3866">
        <f>M31</f>
        <v>1.2031895397182666</v>
      </c>
      <c r="BK22" s="3866">
        <f>'Standard Proctor'!AA32</f>
        <v>1.1695842470499183</v>
      </c>
      <c r="BL22" s="3866">
        <f>'Standard Proctor'!AB32</f>
        <v>1.1343804225139076</v>
      </c>
    </row>
    <row r="23" spans="2:64" ht="17.25" customHeight="1">
      <c r="B23" s="3480"/>
      <c r="C23" s="3479"/>
      <c r="D23" s="3313"/>
      <c r="E23" s="4937" t="s">
        <v>1457</v>
      </c>
      <c r="F23" s="4937"/>
      <c r="G23" s="4937"/>
      <c r="H23" s="3313"/>
      <c r="I23" s="390" t="s">
        <v>1472</v>
      </c>
      <c r="J23" s="3480"/>
      <c r="K23" s="3480"/>
      <c r="L23" s="4938" t="s">
        <v>1458</v>
      </c>
      <c r="M23" s="4938"/>
      <c r="N23" s="4938"/>
      <c r="O23" s="3868"/>
      <c r="P23" s="3480"/>
      <c r="Q23" s="3480"/>
      <c r="R23" s="3480"/>
      <c r="S23" s="3480"/>
      <c r="T23" s="3480"/>
      <c r="U23" s="3480"/>
      <c r="V23" s="3481"/>
      <c r="W23" s="3480"/>
      <c r="AR23" s="2861"/>
      <c r="AS23" s="3870"/>
      <c r="AT23" s="2067"/>
      <c r="AU23" s="2067"/>
      <c r="AV23" s="2070"/>
      <c r="AW23" s="3871">
        <v>1</v>
      </c>
      <c r="AX23" s="3871">
        <v>2</v>
      </c>
      <c r="AY23" s="3871">
        <v>3</v>
      </c>
      <c r="AZ23" s="3871">
        <v>4</v>
      </c>
      <c r="BA23" s="3872"/>
      <c r="BB23" s="3871">
        <v>5</v>
      </c>
      <c r="BC23" s="3873">
        <v>6</v>
      </c>
      <c r="BD23" s="2071"/>
      <c r="BF23" s="3866">
        <f>'Standard Proctor'!M36</f>
        <v>48.335004668211219</v>
      </c>
      <c r="BG23" s="3867"/>
      <c r="BH23" s="3866">
        <f>N29</f>
        <v>1.1217826106559929</v>
      </c>
      <c r="BI23" s="3867"/>
      <c r="BJ23" s="3866">
        <f>N31</f>
        <v>1.1617827259011535</v>
      </c>
      <c r="BK23" s="3866">
        <f>'Standard Proctor'!AA33</f>
        <v>1.1284317627308116</v>
      </c>
      <c r="BL23" s="3866">
        <f>'Standard Proctor'!AB33</f>
        <v>1.0935514650056193</v>
      </c>
    </row>
    <row r="24" spans="2:64" ht="17.25" customHeight="1">
      <c r="B24" s="3480"/>
      <c r="C24" s="3479"/>
      <c r="D24" s="3313"/>
      <c r="E24" s="4937" t="s">
        <v>1459</v>
      </c>
      <c r="F24" s="4937"/>
      <c r="G24" s="4937"/>
      <c r="H24" s="3313"/>
      <c r="I24" s="4097"/>
      <c r="J24" s="3480"/>
      <c r="K24" s="3480"/>
      <c r="L24" s="4938" t="s">
        <v>1460</v>
      </c>
      <c r="M24" s="4938"/>
      <c r="N24" s="4938"/>
      <c r="O24" s="3868"/>
      <c r="P24" s="3480"/>
      <c r="Q24" s="3480"/>
      <c r="R24" s="3480"/>
      <c r="S24" s="3480"/>
      <c r="T24" s="3480"/>
      <c r="U24" s="3480"/>
      <c r="V24" s="3481"/>
      <c r="W24" s="3480"/>
      <c r="AR24" s="2861"/>
      <c r="AS24" s="3845" t="s">
        <v>1473</v>
      </c>
      <c r="AT24" s="2074"/>
      <c r="AU24" s="2074"/>
      <c r="AV24" s="3874" t="s">
        <v>1474</v>
      </c>
      <c r="AW24" s="3875" t="e">
        <f>#REF!</f>
        <v>#REF!</v>
      </c>
      <c r="AX24" s="3875" t="e">
        <f>#REF!</f>
        <v>#REF!</v>
      </c>
      <c r="AY24" s="3875" t="e">
        <f>#REF!</f>
        <v>#REF!</v>
      </c>
      <c r="AZ24" s="3875" t="e">
        <f>#REF!</f>
        <v>#REF!</v>
      </c>
      <c r="BA24" s="3876"/>
      <c r="BB24" s="3875" t="e">
        <f>#REF!</f>
        <v>#REF!</v>
      </c>
      <c r="BC24" s="3877" t="e">
        <f>#REF!</f>
        <v>#REF!</v>
      </c>
      <c r="BD24" s="2071"/>
      <c r="BF24" s="3866">
        <f>'Standard Proctor'!N36</f>
        <v>51.333497053045186</v>
      </c>
      <c r="BG24" s="3867"/>
      <c r="BH24" s="3866">
        <f>O29</f>
        <v>1.0421377699237933</v>
      </c>
      <c r="BI24" s="3867"/>
      <c r="BJ24" s="3866">
        <f>O31</f>
        <v>1.1226733158088231</v>
      </c>
      <c r="BK24" s="3866">
        <f>'Standard Proctor'!AA34</f>
        <v>1.0896229040771783</v>
      </c>
      <c r="BL24" s="3866">
        <f>'Standard Proctor'!AB34</f>
        <v>1.0551102155245695</v>
      </c>
    </row>
    <row r="25" spans="2:64" ht="15">
      <c r="B25" s="3280"/>
      <c r="C25" s="3290"/>
      <c r="D25" s="4098"/>
      <c r="E25" s="4937" t="s">
        <v>1462</v>
      </c>
      <c r="F25" s="4937"/>
      <c r="G25" s="4937"/>
      <c r="H25" s="3313"/>
      <c r="I25" s="4099"/>
      <c r="J25" s="3480"/>
      <c r="K25" s="3480"/>
      <c r="L25" s="4938" t="s">
        <v>1463</v>
      </c>
      <c r="M25" s="4938"/>
      <c r="N25" s="4938"/>
      <c r="O25" s="3280"/>
      <c r="P25" s="3280"/>
      <c r="Q25" s="3280"/>
      <c r="R25" s="3280"/>
      <c r="S25" s="3280"/>
      <c r="T25" s="3280"/>
      <c r="U25" s="3280"/>
      <c r="V25" s="3293"/>
      <c r="W25" s="3280"/>
      <c r="AR25" s="2861"/>
      <c r="AS25" s="3845" t="s">
        <v>1414</v>
      </c>
      <c r="AT25" s="3878"/>
      <c r="AU25" s="3878"/>
      <c r="AV25" s="3874" t="s">
        <v>1474</v>
      </c>
      <c r="AW25" s="3875" t="e">
        <f>#REF!</f>
        <v>#REF!</v>
      </c>
      <c r="AX25" s="3875" t="e">
        <f>#REF!</f>
        <v>#REF!</v>
      </c>
      <c r="AY25" s="3875" t="e">
        <f>#REF!</f>
        <v>#REF!</v>
      </c>
      <c r="AZ25" s="3875" t="e">
        <f>#REF!</f>
        <v>#REF!</v>
      </c>
      <c r="BA25" s="3876"/>
      <c r="BB25" s="3875" t="e">
        <f>#REF!</f>
        <v>#REF!</v>
      </c>
      <c r="BC25" s="3877" t="e">
        <f>#REF!</f>
        <v>#REF!</v>
      </c>
      <c r="BD25" s="2071"/>
      <c r="BF25" s="3867"/>
      <c r="BG25" s="3867"/>
      <c r="BH25" s="3867"/>
      <c r="BI25" s="3867"/>
      <c r="BJ25" s="3879"/>
      <c r="BK25" s="3866"/>
      <c r="BL25" s="3866"/>
    </row>
    <row r="26" spans="2:64" ht="17.25" customHeight="1">
      <c r="B26" s="3280"/>
      <c r="C26" s="3290"/>
      <c r="D26" s="4098"/>
      <c r="E26" s="3471"/>
      <c r="F26" s="3280"/>
      <c r="G26" s="3325"/>
      <c r="H26" s="3280"/>
      <c r="I26" s="3280"/>
      <c r="J26" s="3280"/>
      <c r="K26" s="3280"/>
      <c r="L26" s="3280"/>
      <c r="M26" s="3280"/>
      <c r="N26" s="3280"/>
      <c r="O26" s="3280"/>
      <c r="P26" s="3280"/>
      <c r="Q26" s="3280"/>
      <c r="R26" s="3280"/>
      <c r="S26" s="3280"/>
      <c r="T26" s="3280"/>
      <c r="U26" s="3280"/>
      <c r="V26" s="3293"/>
      <c r="W26" s="3280"/>
      <c r="AR26" s="2861"/>
      <c r="AS26" s="3880" t="s">
        <v>1412</v>
      </c>
      <c r="AT26" s="2173"/>
      <c r="AU26" s="2173"/>
      <c r="AV26" s="3874" t="s">
        <v>1</v>
      </c>
      <c r="AW26" s="3881" t="e">
        <f>#REF!</f>
        <v>#REF!</v>
      </c>
      <c r="AX26" s="3881" t="e">
        <f>#REF!</f>
        <v>#REF!</v>
      </c>
      <c r="AY26" s="3881" t="e">
        <f>#REF!</f>
        <v>#REF!</v>
      </c>
      <c r="AZ26" s="3881" t="e">
        <f>#REF!</f>
        <v>#REF!</v>
      </c>
      <c r="BA26" s="3882"/>
      <c r="BB26" s="3881" t="e">
        <f>#REF!</f>
        <v>#REF!</v>
      </c>
      <c r="BC26" s="3883" t="e">
        <f>#REF!</f>
        <v>#REF!</v>
      </c>
      <c r="BD26" s="2071"/>
    </row>
    <row r="27" spans="2:64" ht="17.25" customHeight="1">
      <c r="B27" s="3280"/>
      <c r="C27" s="3290"/>
      <c r="D27" s="3280"/>
      <c r="E27" s="3280"/>
      <c r="F27" s="4941" t="s">
        <v>365</v>
      </c>
      <c r="G27" s="4941"/>
      <c r="H27" s="4941"/>
      <c r="I27" s="4941"/>
      <c r="J27" s="3884" t="s">
        <v>173</v>
      </c>
      <c r="K27" s="3884">
        <v>1</v>
      </c>
      <c r="L27" s="3884">
        <v>2</v>
      </c>
      <c r="M27" s="3884">
        <v>3</v>
      </c>
      <c r="N27" s="3884">
        <v>4</v>
      </c>
      <c r="O27" s="3884">
        <v>5</v>
      </c>
      <c r="P27" s="3280"/>
      <c r="Q27" s="3280"/>
      <c r="R27" s="3280"/>
      <c r="S27" s="3280"/>
      <c r="T27" s="3280"/>
      <c r="U27" s="3280"/>
      <c r="V27" s="3293"/>
      <c r="W27" s="3280"/>
      <c r="AR27" s="2861"/>
      <c r="AS27" s="3880" t="s">
        <v>1475</v>
      </c>
      <c r="AT27" s="2173"/>
      <c r="AU27" s="2173"/>
      <c r="AV27" s="3874" t="s">
        <v>1474</v>
      </c>
      <c r="AW27" s="3875" t="e">
        <f>#REF!</f>
        <v>#REF!</v>
      </c>
      <c r="AX27" s="3875" t="e">
        <f>#REF!</f>
        <v>#REF!</v>
      </c>
      <c r="AY27" s="3875" t="e">
        <f>#REF!</f>
        <v>#REF!</v>
      </c>
      <c r="AZ27" s="3875" t="e">
        <f>#REF!</f>
        <v>#REF!</v>
      </c>
      <c r="BA27" s="3876"/>
      <c r="BB27" s="3875" t="e">
        <f>#REF!</f>
        <v>#REF!</v>
      </c>
      <c r="BC27" s="3877" t="e">
        <f>#REF!</f>
        <v>#REF!</v>
      </c>
      <c r="BD27" s="2071"/>
      <c r="BG27" s="2125" t="s">
        <v>1476</v>
      </c>
    </row>
    <row r="28" spans="2:64" ht="15">
      <c r="B28" s="3280"/>
      <c r="C28" s="3290"/>
      <c r="D28" s="3280"/>
      <c r="E28" s="3280"/>
      <c r="F28" s="4942" t="s">
        <v>1473</v>
      </c>
      <c r="G28" s="4942"/>
      <c r="H28" s="4942"/>
      <c r="I28" s="4942"/>
      <c r="J28" s="3885" t="s">
        <v>1371</v>
      </c>
      <c r="K28" s="3886">
        <f>'Standard Proctor'!J26</f>
        <v>1.4492016323694932</v>
      </c>
      <c r="L28" s="3886">
        <f>'Standard Proctor'!K26</f>
        <v>1.5569698438435917</v>
      </c>
      <c r="M28" s="3886">
        <f>'Standard Proctor'!L26</f>
        <v>1.6996011247129501</v>
      </c>
      <c r="N28" s="3886">
        <f>'Standard Proctor'!M26</f>
        <v>1.6639962878837489</v>
      </c>
      <c r="O28" s="3886">
        <f>'Standard Proctor'!N26</f>
        <v>1.5771035313362947</v>
      </c>
      <c r="P28" s="3280"/>
      <c r="Q28" s="3280"/>
      <c r="R28" s="3280"/>
      <c r="S28" s="3280"/>
      <c r="T28" s="3280"/>
      <c r="U28" s="3280"/>
      <c r="V28" s="3293"/>
      <c r="W28" s="3280"/>
      <c r="AR28" s="2861"/>
      <c r="AS28" s="3845" t="s">
        <v>1477</v>
      </c>
      <c r="AT28" s="3878"/>
      <c r="AU28" s="3878"/>
      <c r="AV28" s="3874" t="s">
        <v>1474</v>
      </c>
      <c r="AW28" s="3875" t="e">
        <f>#REF!</f>
        <v>#REF!</v>
      </c>
      <c r="AX28" s="3875" t="e">
        <f>#REF!</f>
        <v>#REF!</v>
      </c>
      <c r="AY28" s="3875" t="e">
        <f>#REF!</f>
        <v>#REF!</v>
      </c>
      <c r="AZ28" s="3875" t="e">
        <f>#REF!</f>
        <v>#REF!</v>
      </c>
      <c r="BA28" s="3876"/>
      <c r="BB28" s="3875" t="e">
        <f>#REF!</f>
        <v>#REF!</v>
      </c>
      <c r="BC28" s="3877" t="e">
        <f>#REF!</f>
        <v>#REF!</v>
      </c>
      <c r="BD28" s="2071"/>
      <c r="BG28" s="2125"/>
    </row>
    <row r="29" spans="2:64" ht="15">
      <c r="B29" s="3280"/>
      <c r="C29" s="3290"/>
      <c r="D29" s="3280"/>
      <c r="E29" s="3280"/>
      <c r="F29" s="4942" t="s">
        <v>1414</v>
      </c>
      <c r="G29" s="4942"/>
      <c r="H29" s="4942"/>
      <c r="I29" s="4942"/>
      <c r="J29" s="3885" t="s">
        <v>1371</v>
      </c>
      <c r="K29" s="3886">
        <f>'Standard Proctor'!J27</f>
        <v>1.0354276061549237</v>
      </c>
      <c r="L29" s="3886">
        <f>'Standard Proctor'!K27</f>
        <v>1.096125136280383</v>
      </c>
      <c r="M29" s="3886">
        <f>'Standard Proctor'!L27</f>
        <v>1.1691327046126441</v>
      </c>
      <c r="N29" s="3886">
        <f>'Standard Proctor'!M27</f>
        <v>1.1217826106559929</v>
      </c>
      <c r="O29" s="3886">
        <f>'Standard Proctor'!N27</f>
        <v>1.0421377699237933</v>
      </c>
      <c r="P29" s="3280"/>
      <c r="Q29" s="3280"/>
      <c r="R29" s="3280"/>
      <c r="S29" s="3280"/>
      <c r="T29" s="3280"/>
      <c r="U29" s="3280"/>
      <c r="V29" s="3293"/>
      <c r="W29" s="3280"/>
      <c r="AR29" s="2861"/>
      <c r="AS29" s="3887" t="s">
        <v>1478</v>
      </c>
      <c r="AT29" s="3888"/>
      <c r="AU29" s="3888"/>
      <c r="AV29" s="3889" t="s">
        <v>1474</v>
      </c>
      <c r="AW29" s="3890" t="e">
        <f>#REF!</f>
        <v>#REF!</v>
      </c>
      <c r="AX29" s="3890" t="e">
        <f>#REF!</f>
        <v>#REF!</v>
      </c>
      <c r="AY29" s="3890" t="e">
        <f>#REF!</f>
        <v>#REF!</v>
      </c>
      <c r="AZ29" s="3890" t="e">
        <f>#REF!</f>
        <v>#REF!</v>
      </c>
      <c r="BA29" s="3891"/>
      <c r="BB29" s="3890" t="e">
        <f>#REF!</f>
        <v>#REF!</v>
      </c>
      <c r="BC29" s="3892" t="e">
        <f>#REF!</f>
        <v>#REF!</v>
      </c>
      <c r="BD29" s="2071"/>
    </row>
    <row r="30" spans="2:64">
      <c r="B30" s="3280"/>
      <c r="C30" s="3290"/>
      <c r="D30" s="3280"/>
      <c r="E30" s="3280"/>
      <c r="F30" s="4942" t="s">
        <v>1412</v>
      </c>
      <c r="G30" s="4942"/>
      <c r="H30" s="4942"/>
      <c r="I30" s="4942"/>
      <c r="J30" s="3885" t="s">
        <v>1</v>
      </c>
      <c r="K30" s="3893">
        <f>'Standard Proctor'!J36</f>
        <v>39.961656783628321</v>
      </c>
      <c r="L30" s="3893">
        <f>'Standard Proctor'!K36</f>
        <v>42.043074491207285</v>
      </c>
      <c r="M30" s="3893">
        <f>'Standard Proctor'!L36</f>
        <v>45.372815079709902</v>
      </c>
      <c r="N30" s="3893">
        <f>'Standard Proctor'!M36</f>
        <v>48.335004668211219</v>
      </c>
      <c r="O30" s="3893">
        <f>'Standard Proctor'!N36</f>
        <v>51.333497053045186</v>
      </c>
      <c r="P30" s="3280"/>
      <c r="Q30" s="3280"/>
      <c r="R30" s="3280"/>
      <c r="S30" s="3280"/>
      <c r="T30" s="3280"/>
      <c r="U30" s="3280"/>
      <c r="V30" s="3293"/>
      <c r="W30" s="3280"/>
      <c r="AR30" s="2861"/>
      <c r="AS30" s="3894" t="s">
        <v>1479</v>
      </c>
      <c r="AT30" s="3895"/>
      <c r="AU30" s="3895"/>
      <c r="AV30" s="3896" t="s">
        <v>1</v>
      </c>
      <c r="AW30" s="3897" t="e">
        <f>#REF!</f>
        <v>#REF!</v>
      </c>
      <c r="AX30" s="3897"/>
      <c r="AY30" s="3898"/>
      <c r="AZ30" s="3899"/>
      <c r="BA30" s="3899"/>
      <c r="BB30" s="3898"/>
      <c r="BC30" s="3900"/>
      <c r="BD30" s="2071"/>
    </row>
    <row r="31" spans="2:64" ht="15">
      <c r="B31" s="3280"/>
      <c r="C31" s="3290"/>
      <c r="D31" s="3280"/>
      <c r="E31" s="3280"/>
      <c r="F31" s="4942" t="s">
        <v>1475</v>
      </c>
      <c r="G31" s="4942"/>
      <c r="H31" s="4942"/>
      <c r="I31" s="4942"/>
      <c r="J31" s="3885" t="s">
        <v>1371</v>
      </c>
      <c r="K31" s="3893">
        <f>'Standard Proctor'!J28</f>
        <v>1.2869803112499651</v>
      </c>
      <c r="L31" s="3893">
        <f>'Standard Proctor'!K28</f>
        <v>1.2534048100052806</v>
      </c>
      <c r="M31" s="3893">
        <f>'Standard Proctor'!L28</f>
        <v>1.2031895397182666</v>
      </c>
      <c r="N31" s="3893">
        <f>'Standard Proctor'!M28</f>
        <v>1.1617827259011535</v>
      </c>
      <c r="O31" s="3893">
        <f>'Standard Proctor'!N28</f>
        <v>1.1226733158088231</v>
      </c>
      <c r="P31" s="3280"/>
      <c r="Q31" s="3280"/>
      <c r="R31" s="3280"/>
      <c r="S31" s="3280"/>
      <c r="T31" s="3280"/>
      <c r="U31" s="3280"/>
      <c r="V31" s="3293"/>
      <c r="W31" s="3280"/>
      <c r="AR31" s="2861"/>
      <c r="AS31" s="3880" t="s">
        <v>1480</v>
      </c>
      <c r="AT31" s="2173"/>
      <c r="AU31" s="2173"/>
      <c r="AV31" s="3874" t="s">
        <v>1474</v>
      </c>
      <c r="AW31" s="3901" t="e">
        <f>#REF!</f>
        <v>#REF!</v>
      </c>
      <c r="AX31" s="3878"/>
      <c r="AY31" s="3902"/>
      <c r="AZ31" s="3903"/>
      <c r="BA31" s="3903"/>
      <c r="BB31" s="2164"/>
      <c r="BC31" s="3904"/>
      <c r="BD31" s="2071"/>
    </row>
    <row r="32" spans="2:64" ht="15">
      <c r="B32" s="3280"/>
      <c r="C32" s="3290"/>
      <c r="D32" s="3280"/>
      <c r="E32" s="3280"/>
      <c r="F32" s="4942" t="s">
        <v>1481</v>
      </c>
      <c r="G32" s="4942"/>
      <c r="H32" s="4942"/>
      <c r="I32" s="4942"/>
      <c r="J32" s="3885" t="s">
        <v>1371</v>
      </c>
      <c r="K32" s="3893">
        <f>BK20</f>
        <v>1.2530619904019067</v>
      </c>
      <c r="L32" s="3893">
        <f>BK21</f>
        <v>1.2195794580608568</v>
      </c>
      <c r="M32" s="3893">
        <f>BK22</f>
        <v>1.1695842470499183</v>
      </c>
      <c r="N32" s="3893">
        <f>BK23</f>
        <v>1.1284317627308116</v>
      </c>
      <c r="O32" s="3893">
        <f>BK24</f>
        <v>1.0896229040771783</v>
      </c>
      <c r="P32" s="3280"/>
      <c r="Q32" s="3280"/>
      <c r="R32" s="3280"/>
      <c r="S32" s="3280"/>
      <c r="T32" s="3280"/>
      <c r="U32" s="3280"/>
      <c r="V32" s="3293"/>
      <c r="W32" s="3280"/>
      <c r="AR32" s="2861"/>
      <c r="AS32" s="3905" t="s">
        <v>1356</v>
      </c>
      <c r="AT32" s="3906"/>
      <c r="AU32" s="3906"/>
      <c r="AV32" s="3907" t="s">
        <v>1474</v>
      </c>
      <c r="AW32" s="3908" t="e">
        <f>#REF!</f>
        <v>#REF!</v>
      </c>
      <c r="AX32" s="3909"/>
      <c r="AY32" s="3910"/>
      <c r="AZ32" s="3911"/>
      <c r="BA32" s="3911"/>
      <c r="BB32" s="3910"/>
      <c r="BC32" s="3912"/>
      <c r="BD32" s="2071"/>
    </row>
    <row r="33" spans="2:62">
      <c r="B33" s="3280"/>
      <c r="C33" s="3290"/>
      <c r="D33" s="3280"/>
      <c r="E33" s="3280"/>
      <c r="F33" s="4942" t="s">
        <v>1482</v>
      </c>
      <c r="G33" s="4942"/>
      <c r="H33" s="4942"/>
      <c r="I33" s="4942"/>
      <c r="J33" s="3885" t="s">
        <v>1371</v>
      </c>
      <c r="K33" s="3893">
        <f>BL20</f>
        <v>1.2174121521127212</v>
      </c>
      <c r="L33" s="3893">
        <f>BL21</f>
        <v>1.1840746204936641</v>
      </c>
      <c r="M33" s="3893">
        <f>BL22</f>
        <v>1.1343804225139076</v>
      </c>
      <c r="N33" s="3893">
        <f>BL23</f>
        <v>1.0935514650056193</v>
      </c>
      <c r="O33" s="3893">
        <f>BL24</f>
        <v>1.0551102155245695</v>
      </c>
      <c r="P33" s="3280"/>
      <c r="Q33" s="3280"/>
      <c r="R33" s="3280"/>
      <c r="S33" s="3280"/>
      <c r="T33" s="3280"/>
      <c r="U33" s="3280"/>
      <c r="V33" s="3314"/>
      <c r="W33" s="3280"/>
      <c r="AR33" s="3913"/>
      <c r="AS33" s="3914"/>
      <c r="AT33" s="3915"/>
      <c r="AU33" s="3915"/>
      <c r="AV33" s="4"/>
      <c r="AW33" s="4"/>
      <c r="AX33" s="4"/>
      <c r="AY33" s="4"/>
      <c r="AZ33" s="3916"/>
      <c r="BA33" s="3916"/>
      <c r="BB33" s="4"/>
      <c r="BC33" s="4"/>
      <c r="BD33" s="2071"/>
    </row>
    <row r="34" spans="2:62" ht="5.0999999999999996" customHeight="1">
      <c r="B34" s="3280"/>
      <c r="C34" s="3290"/>
      <c r="D34" s="3280"/>
      <c r="E34" s="3280"/>
      <c r="F34" s="4899"/>
      <c r="G34" s="4899"/>
      <c r="H34" s="4899"/>
      <c r="I34" s="4899"/>
      <c r="J34" s="3313"/>
      <c r="K34" s="3280"/>
      <c r="L34" s="3280"/>
      <c r="M34" s="3280"/>
      <c r="N34" s="3280"/>
      <c r="O34" s="3280"/>
      <c r="P34" s="3280"/>
      <c r="Q34" s="3280"/>
      <c r="R34" s="3280"/>
      <c r="S34" s="3280"/>
      <c r="T34" s="3280"/>
      <c r="U34" s="3280"/>
      <c r="V34" s="3293"/>
      <c r="W34" s="3280"/>
      <c r="AR34" s="2861"/>
      <c r="BD34" s="2071"/>
    </row>
    <row r="35" spans="2:62" ht="20.100000000000001" customHeight="1">
      <c r="B35" s="3280"/>
      <c r="C35" s="3290"/>
      <c r="D35" s="3280"/>
      <c r="E35" s="3280"/>
      <c r="F35" s="4943" t="s">
        <v>1479</v>
      </c>
      <c r="G35" s="4943"/>
      <c r="H35" s="4943"/>
      <c r="I35" s="4943"/>
      <c r="J35" s="3885" t="s">
        <v>1</v>
      </c>
      <c r="K35" s="4944">
        <f>BI48</f>
        <v>45.737000000000002</v>
      </c>
      <c r="L35" s="4944"/>
      <c r="M35" s="4944"/>
      <c r="N35" s="4944"/>
      <c r="O35" s="4944"/>
      <c r="P35" s="3280"/>
      <c r="Q35" s="3280"/>
      <c r="R35" s="3280"/>
      <c r="S35" s="3280"/>
      <c r="T35" s="3280"/>
      <c r="U35" s="3280"/>
      <c r="V35" s="3293"/>
      <c r="W35" s="3280"/>
      <c r="AR35" s="2861"/>
      <c r="BD35" s="2071"/>
      <c r="BI35" s="2144"/>
    </row>
    <row r="36" spans="2:62" ht="20.100000000000001" customHeight="1">
      <c r="B36" s="3280"/>
      <c r="C36" s="3290"/>
      <c r="D36" s="3280"/>
      <c r="E36" s="3280"/>
      <c r="F36" s="4943" t="s">
        <v>1480</v>
      </c>
      <c r="G36" s="4943"/>
      <c r="H36" s="4943"/>
      <c r="I36" s="4943"/>
      <c r="J36" s="3885" t="s">
        <v>1371</v>
      </c>
      <c r="K36" s="4945">
        <f>MAX(K29:O29)</f>
        <v>1.1691327046126441</v>
      </c>
      <c r="L36" s="4945"/>
      <c r="M36" s="4945"/>
      <c r="N36" s="4945"/>
      <c r="O36" s="4945"/>
      <c r="P36" s="3325"/>
      <c r="Q36" s="3325"/>
      <c r="R36" s="3325"/>
      <c r="S36" s="3325"/>
      <c r="T36" s="3325"/>
      <c r="U36" s="3280"/>
      <c r="V36" s="3293"/>
      <c r="W36" s="3280"/>
      <c r="AR36" s="2861"/>
      <c r="AS36" s="2123"/>
      <c r="AT36" s="3918"/>
      <c r="AU36" s="3918"/>
      <c r="AV36" s="4"/>
      <c r="AW36" s="4"/>
      <c r="AX36" s="4"/>
      <c r="AY36" s="3919"/>
      <c r="AZ36" s="3918"/>
      <c r="BA36" s="3918"/>
      <c r="BB36" s="4"/>
      <c r="BC36" s="3919"/>
      <c r="BD36" s="2071"/>
    </row>
    <row r="37" spans="2:62" ht="20.100000000000001" customHeight="1">
      <c r="B37" s="3280"/>
      <c r="C37" s="3290"/>
      <c r="D37" s="3280"/>
      <c r="E37" s="3280"/>
      <c r="F37" s="4943" t="s">
        <v>1356</v>
      </c>
      <c r="G37" s="4943"/>
      <c r="H37" s="4943"/>
      <c r="I37" s="4943"/>
      <c r="J37" s="3885" t="s">
        <v>1371</v>
      </c>
      <c r="K37" s="4944">
        <f>K36*(1+K35/100)</f>
        <v>1.7038589297213291</v>
      </c>
      <c r="L37" s="4944"/>
      <c r="M37" s="4944"/>
      <c r="N37" s="4944"/>
      <c r="O37" s="4944"/>
      <c r="P37" s="3313"/>
      <c r="Q37" s="3313"/>
      <c r="R37" s="3313"/>
      <c r="S37" s="3313"/>
      <c r="T37" s="3313"/>
      <c r="U37" s="3313"/>
      <c r="V37" s="3293"/>
      <c r="W37" s="3280"/>
      <c r="AR37" s="2861"/>
      <c r="AS37" s="2123"/>
      <c r="AT37" s="3918"/>
      <c r="AU37" s="3918"/>
      <c r="AV37" s="4"/>
      <c r="AW37" s="4"/>
      <c r="AX37" s="4"/>
      <c r="AY37" s="3919"/>
      <c r="AZ37" s="3918"/>
      <c r="BA37" s="3918"/>
      <c r="BB37" s="4"/>
      <c r="BC37" s="3919"/>
      <c r="BD37" s="2071"/>
    </row>
    <row r="38" spans="2:62" ht="8.25" hidden="1" customHeight="1">
      <c r="B38" s="3280"/>
      <c r="C38" s="3290"/>
      <c r="D38" s="3280"/>
      <c r="E38" s="3280"/>
      <c r="F38" s="3280"/>
      <c r="G38" s="4897"/>
      <c r="H38" s="4897"/>
      <c r="I38" s="4897"/>
      <c r="J38" s="3313"/>
      <c r="K38" s="3539"/>
      <c r="L38" s="3539"/>
      <c r="M38" s="3539"/>
      <c r="N38" s="3539"/>
      <c r="O38" s="3539"/>
      <c r="P38" s="3540"/>
      <c r="Q38" s="3540"/>
      <c r="R38" s="3540"/>
      <c r="S38" s="3540"/>
      <c r="T38" s="3313"/>
      <c r="U38" s="3313"/>
      <c r="V38" s="3293"/>
      <c r="W38" s="3280"/>
      <c r="AR38" s="2861"/>
      <c r="AS38" s="2123"/>
      <c r="AT38" s="3918"/>
      <c r="AU38" s="3918"/>
      <c r="AV38" s="4"/>
      <c r="AW38" s="4"/>
      <c r="AX38" s="4"/>
      <c r="AY38" s="3919"/>
      <c r="AZ38" s="3918"/>
      <c r="BA38" s="3918"/>
      <c r="BB38" s="4"/>
      <c r="BC38" s="3919"/>
      <c r="BD38" s="2071"/>
    </row>
    <row r="39" spans="2:62" ht="9.75" customHeight="1">
      <c r="B39" s="3280"/>
      <c r="C39" s="3290"/>
      <c r="D39" s="3280"/>
      <c r="E39" s="3280"/>
      <c r="F39" s="3280"/>
      <c r="G39" s="4897"/>
      <c r="H39" s="4897"/>
      <c r="I39" s="4897"/>
      <c r="J39" s="3313"/>
      <c r="K39" s="3539"/>
      <c r="L39" s="3539"/>
      <c r="M39" s="3539"/>
      <c r="N39" s="3539"/>
      <c r="O39" s="3539"/>
      <c r="P39" s="3540"/>
      <c r="Q39" s="3540"/>
      <c r="R39" s="3540"/>
      <c r="S39" s="3540"/>
      <c r="T39" s="3313"/>
      <c r="U39" s="3313"/>
      <c r="V39" s="3293"/>
      <c r="W39" s="3280"/>
      <c r="AR39" s="2861"/>
      <c r="AS39" s="2123"/>
      <c r="AT39" s="3918"/>
      <c r="AU39" s="3918"/>
      <c r="AV39" s="4"/>
      <c r="AW39" s="4"/>
      <c r="AX39" s="4"/>
      <c r="AY39" s="3919"/>
      <c r="AZ39" s="3918"/>
      <c r="BA39" s="3918"/>
      <c r="BB39" s="4"/>
      <c r="BC39" s="3919"/>
      <c r="BD39" s="2071"/>
    </row>
    <row r="40" spans="2:62" ht="20.100000000000001" customHeight="1">
      <c r="B40" s="3280"/>
      <c r="C40" s="3290"/>
      <c r="D40" s="3280"/>
      <c r="E40" s="3280"/>
      <c r="F40" s="3280"/>
      <c r="G40" s="4897"/>
      <c r="H40" s="4897"/>
      <c r="I40" s="4897"/>
      <c r="J40" s="3313"/>
      <c r="K40" s="3546"/>
      <c r="L40" s="3546"/>
      <c r="M40" s="3546"/>
      <c r="N40" s="3546"/>
      <c r="O40" s="3546"/>
      <c r="P40" s="3540"/>
      <c r="Q40" s="3540"/>
      <c r="R40" s="3540"/>
      <c r="S40" s="3540"/>
      <c r="T40" s="3313"/>
      <c r="U40" s="3313"/>
      <c r="V40" s="3293"/>
      <c r="W40" s="3280"/>
      <c r="AR40" s="2861"/>
      <c r="AS40" s="2123"/>
      <c r="AT40" s="3918"/>
      <c r="AU40" s="3918"/>
      <c r="AV40" s="4"/>
      <c r="AW40" s="4"/>
      <c r="AX40" s="4"/>
      <c r="AY40" s="3919"/>
      <c r="AZ40" s="3918"/>
      <c r="BA40" s="3918"/>
      <c r="BB40" s="4"/>
      <c r="BC40" s="3919"/>
      <c r="BD40" s="2071"/>
    </row>
    <row r="41" spans="2:62" ht="20.100000000000001" customHeight="1">
      <c r="B41" s="3280"/>
      <c r="C41" s="3290"/>
      <c r="D41" s="3280"/>
      <c r="E41" s="3280"/>
      <c r="F41" s="3280"/>
      <c r="G41" s="3282"/>
      <c r="H41" s="3282"/>
      <c r="I41" s="3282"/>
      <c r="J41" s="3313"/>
      <c r="K41" s="3546"/>
      <c r="L41" s="3546"/>
      <c r="M41" s="3546"/>
      <c r="N41" s="3546"/>
      <c r="O41" s="3546"/>
      <c r="P41" s="3540"/>
      <c r="Q41" s="3540"/>
      <c r="R41" s="3540"/>
      <c r="S41" s="3540"/>
      <c r="T41" s="3280"/>
      <c r="U41" s="3280"/>
      <c r="V41" s="3293"/>
      <c r="W41" s="3280"/>
      <c r="AR41" s="2861"/>
      <c r="AS41" s="2123"/>
      <c r="AT41" s="3918"/>
      <c r="AU41" s="3918"/>
      <c r="AV41" s="4"/>
      <c r="AX41" s="4"/>
      <c r="AY41" s="3919"/>
      <c r="AZ41" s="3918"/>
      <c r="BA41" s="3918"/>
      <c r="BC41" s="3919"/>
      <c r="BD41" s="2071"/>
      <c r="BF41" s="4076">
        <v>0.98</v>
      </c>
      <c r="BG41" s="4077"/>
      <c r="BH41" s="4076">
        <v>1</v>
      </c>
    </row>
    <row r="42" spans="2:62" ht="20.100000000000001" customHeight="1">
      <c r="B42" s="3280"/>
      <c r="C42" s="3290"/>
      <c r="D42" s="3280"/>
      <c r="E42" s="3280"/>
      <c r="F42" s="3280"/>
      <c r="G42" s="4897"/>
      <c r="H42" s="4897"/>
      <c r="I42" s="4897"/>
      <c r="J42" s="3313"/>
      <c r="K42" s="3555"/>
      <c r="L42" s="3555"/>
      <c r="M42" s="3555"/>
      <c r="N42" s="3555"/>
      <c r="O42" s="3555"/>
      <c r="P42" s="3280"/>
      <c r="Q42" s="3280"/>
      <c r="R42" s="3280"/>
      <c r="S42" s="3280"/>
      <c r="T42" s="3280"/>
      <c r="U42" s="3280"/>
      <c r="V42" s="3331"/>
      <c r="W42" s="3280"/>
      <c r="AR42" s="2861"/>
      <c r="AS42" s="2123"/>
      <c r="AT42" s="3918"/>
      <c r="AU42" s="3918"/>
      <c r="AW42" s="4"/>
      <c r="AX42" s="4"/>
      <c r="AY42" s="3919"/>
      <c r="AZ42" s="3918"/>
      <c r="BA42" s="3918"/>
      <c r="BB42" s="4"/>
      <c r="BC42" s="3919"/>
      <c r="BD42" s="2071"/>
      <c r="BF42" s="281" t="s">
        <v>1483</v>
      </c>
      <c r="BG42" s="281" t="s">
        <v>1484</v>
      </c>
      <c r="BH42" s="281" t="s">
        <v>1483</v>
      </c>
      <c r="BI42" s="281" t="s">
        <v>1484</v>
      </c>
    </row>
    <row r="43" spans="2:62" ht="20.100000000000001" customHeight="1">
      <c r="B43" s="3334"/>
      <c r="C43" s="3332"/>
      <c r="D43" s="3280"/>
      <c r="E43" s="3280"/>
      <c r="F43" s="3280"/>
      <c r="G43" s="4897"/>
      <c r="H43" s="4897"/>
      <c r="I43" s="4897"/>
      <c r="J43" s="3313"/>
      <c r="K43" s="3555"/>
      <c r="L43" s="3555"/>
      <c r="M43" s="3555"/>
      <c r="N43" s="3555"/>
      <c r="O43" s="3555"/>
      <c r="P43" s="3280"/>
      <c r="Q43" s="3280"/>
      <c r="R43" s="3280"/>
      <c r="S43" s="3280"/>
      <c r="T43" s="3280"/>
      <c r="U43" s="3280"/>
      <c r="V43" s="3337"/>
      <c r="W43" s="3334"/>
      <c r="AR43" s="2861"/>
      <c r="AS43" s="2123"/>
      <c r="AT43" s="3918"/>
      <c r="AU43" s="3918"/>
      <c r="AV43" s="4"/>
      <c r="AW43" s="4"/>
      <c r="AX43" s="4"/>
      <c r="AY43" s="3919"/>
      <c r="AZ43" s="3921"/>
      <c r="BA43" s="3921"/>
      <c r="BB43" s="3921"/>
      <c r="BC43" s="3919"/>
      <c r="BD43" s="2071"/>
      <c r="BF43" s="3879">
        <f>L62</f>
        <v>28.3</v>
      </c>
      <c r="BG43" s="3922">
        <v>0</v>
      </c>
      <c r="BH43" s="3879">
        <f>L61</f>
        <v>29.4</v>
      </c>
      <c r="BI43" s="3923">
        <f>BG43</f>
        <v>0</v>
      </c>
    </row>
    <row r="44" spans="2:62" ht="20.100000000000001" customHeight="1">
      <c r="B44" s="3334"/>
      <c r="C44" s="3332"/>
      <c r="D44" s="3280"/>
      <c r="E44" s="3280"/>
      <c r="F44" s="3280"/>
      <c r="G44" s="3282"/>
      <c r="H44" s="3282"/>
      <c r="I44" s="3282"/>
      <c r="J44" s="3313"/>
      <c r="K44" s="3301"/>
      <c r="L44" s="3301"/>
      <c r="M44" s="3301"/>
      <c r="N44" s="3301"/>
      <c r="O44" s="3301"/>
      <c r="P44" s="3301"/>
      <c r="Q44" s="3301"/>
      <c r="R44" s="3301"/>
      <c r="S44" s="3301"/>
      <c r="T44" s="3301"/>
      <c r="U44" s="3280"/>
      <c r="V44" s="3337"/>
      <c r="W44" s="3334"/>
      <c r="AR44" s="2861"/>
      <c r="AS44" s="2123"/>
      <c r="AT44" s="3918"/>
      <c r="AU44" s="3918"/>
      <c r="AV44" s="4"/>
      <c r="AW44" s="4"/>
      <c r="AX44" s="4"/>
      <c r="AY44" s="3919"/>
      <c r="AZ44" s="3918"/>
      <c r="BA44" s="3918"/>
      <c r="BB44" s="4"/>
      <c r="BC44" s="3919"/>
      <c r="BD44" s="2071"/>
      <c r="BF44" s="3879">
        <f>BF43</f>
        <v>28.3</v>
      </c>
      <c r="BG44" s="3866">
        <f>K36*BF41</f>
        <v>1.1457500505203912</v>
      </c>
      <c r="BH44" s="3879">
        <f>BH43</f>
        <v>29.4</v>
      </c>
      <c r="BI44" s="3924">
        <f>J61</f>
        <v>1.1691327046126441</v>
      </c>
    </row>
    <row r="45" spans="2:62" ht="20.100000000000001" customHeight="1">
      <c r="B45" s="3280"/>
      <c r="C45" s="3290"/>
      <c r="D45" s="3280"/>
      <c r="E45" s="3280"/>
      <c r="F45" s="3280"/>
      <c r="G45" s="4897"/>
      <c r="H45" s="4897"/>
      <c r="I45" s="4897"/>
      <c r="J45" s="3313"/>
      <c r="K45" s="3555"/>
      <c r="L45" s="3555"/>
      <c r="M45" s="3555"/>
      <c r="N45" s="3555"/>
      <c r="O45" s="3555"/>
      <c r="P45" s="3555"/>
      <c r="Q45" s="3555"/>
      <c r="R45" s="3555"/>
      <c r="S45" s="3555"/>
      <c r="T45" s="3555"/>
      <c r="U45" s="3280"/>
      <c r="V45" s="3331"/>
      <c r="W45" s="3280"/>
      <c r="AR45" s="2861"/>
      <c r="AS45" s="2123"/>
      <c r="AT45" s="3918"/>
      <c r="AU45" s="3918"/>
      <c r="AV45" s="4"/>
      <c r="AW45" s="4"/>
      <c r="AX45" s="4"/>
      <c r="AY45" s="3919"/>
      <c r="AZ45" s="3918"/>
      <c r="BA45" s="3918"/>
      <c r="BB45" s="4"/>
      <c r="BC45" s="3919"/>
      <c r="BD45" s="2071"/>
      <c r="BF45" s="3925">
        <v>0</v>
      </c>
      <c r="BG45" s="3866">
        <f>BG44</f>
        <v>1.1457500505203912</v>
      </c>
      <c r="BH45" s="3925">
        <v>0</v>
      </c>
      <c r="BI45" s="3924">
        <f>BI44</f>
        <v>1.1691327046126441</v>
      </c>
    </row>
    <row r="46" spans="2:62" ht="20.100000000000001" customHeight="1">
      <c r="B46" s="3280"/>
      <c r="C46" s="3290"/>
      <c r="D46" s="3280"/>
      <c r="E46" s="3280"/>
      <c r="F46" s="3280"/>
      <c r="G46" s="3280"/>
      <c r="H46" s="3280"/>
      <c r="I46" s="3280"/>
      <c r="J46" s="3280"/>
      <c r="K46" s="3280"/>
      <c r="L46" s="3280"/>
      <c r="M46" s="3280"/>
      <c r="N46" s="3280"/>
      <c r="O46" s="3280"/>
      <c r="P46" s="3280"/>
      <c r="Q46" s="3280"/>
      <c r="R46" s="3280"/>
      <c r="S46" s="3280"/>
      <c r="T46" s="3280"/>
      <c r="U46" s="3280"/>
      <c r="V46" s="3331"/>
      <c r="W46" s="3280"/>
      <c r="AR46" s="2861"/>
      <c r="AS46" s="2123"/>
      <c r="AT46" s="3918"/>
      <c r="AU46" s="3918"/>
      <c r="AV46" s="4"/>
      <c r="AW46" s="4"/>
      <c r="AX46" s="4"/>
      <c r="AY46" s="3919"/>
      <c r="AZ46" s="3918"/>
      <c r="BA46" s="3918"/>
      <c r="BB46" s="4"/>
      <c r="BC46" s="3919"/>
      <c r="BD46" s="2071"/>
    </row>
    <row r="47" spans="2:62" ht="20.100000000000001" customHeight="1">
      <c r="B47" s="3280"/>
      <c r="C47" s="3290"/>
      <c r="D47" s="3280"/>
      <c r="E47" s="3280"/>
      <c r="F47" s="3280"/>
      <c r="G47" s="3280"/>
      <c r="H47" s="3280"/>
      <c r="I47" s="3280"/>
      <c r="J47" s="3280"/>
      <c r="K47" s="3280"/>
      <c r="L47" s="3280"/>
      <c r="M47" s="3280"/>
      <c r="N47" s="3280"/>
      <c r="O47" s="3280"/>
      <c r="P47" s="3280"/>
      <c r="Q47" s="3280"/>
      <c r="R47" s="3280"/>
      <c r="S47" s="3280"/>
      <c r="T47" s="3280"/>
      <c r="U47" s="3280"/>
      <c r="V47" s="3329"/>
      <c r="W47" s="3280"/>
      <c r="AR47" s="2861"/>
      <c r="AS47" s="2123"/>
      <c r="AT47" s="3918"/>
      <c r="AU47" s="3918"/>
      <c r="AV47" s="4"/>
      <c r="AW47" s="4"/>
      <c r="AX47" s="4"/>
      <c r="AY47" s="3919"/>
      <c r="AZ47" s="3918"/>
      <c r="BA47" s="3918"/>
      <c r="BB47" s="4"/>
      <c r="BC47" s="3919"/>
      <c r="BD47" s="2071"/>
    </row>
    <row r="48" spans="2:62" ht="20.100000000000001" customHeight="1">
      <c r="B48" s="3280"/>
      <c r="C48" s="3290"/>
      <c r="D48" s="3280"/>
      <c r="E48" s="3280"/>
      <c r="F48" s="3280"/>
      <c r="G48" s="3280"/>
      <c r="H48" s="3280"/>
      <c r="I48" s="3280"/>
      <c r="J48" s="3280"/>
      <c r="K48" s="3280"/>
      <c r="L48" s="3280"/>
      <c r="M48" s="3280"/>
      <c r="N48" s="3280"/>
      <c r="O48" s="3280"/>
      <c r="P48" s="3280"/>
      <c r="Q48" s="3280"/>
      <c r="R48" s="3280"/>
      <c r="S48" s="3280"/>
      <c r="T48" s="3280"/>
      <c r="U48" s="3280"/>
      <c r="V48" s="3329"/>
      <c r="W48" s="3280"/>
      <c r="AR48" s="2861"/>
      <c r="AS48" s="2123"/>
      <c r="AT48" s="3918"/>
      <c r="AU48" s="3918"/>
      <c r="AV48" s="4"/>
      <c r="AW48" s="4"/>
      <c r="AX48" s="4"/>
      <c r="AY48" s="3919"/>
      <c r="AZ48" s="3918"/>
      <c r="BA48" s="3918"/>
      <c r="BB48" s="4"/>
      <c r="BC48" s="3919"/>
      <c r="BD48" s="2071"/>
      <c r="BI48" s="281">
        <f>'Standard Proctor'!AA40</f>
        <v>45.737000000000002</v>
      </c>
      <c r="BJ48" s="281" t="e">
        <f>#REF!</f>
        <v>#REF!</v>
      </c>
    </row>
    <row r="49" spans="2:62" ht="20.100000000000001" customHeight="1">
      <c r="B49" s="3280"/>
      <c r="C49" s="3290"/>
      <c r="D49" s="3280"/>
      <c r="E49" s="3280"/>
      <c r="F49" s="3280"/>
      <c r="G49" s="3280"/>
      <c r="H49" s="3280"/>
      <c r="I49" s="3280"/>
      <c r="J49" s="3280"/>
      <c r="K49" s="3280"/>
      <c r="L49" s="3280"/>
      <c r="M49" s="3280"/>
      <c r="N49" s="3280"/>
      <c r="O49" s="3280"/>
      <c r="P49" s="3280"/>
      <c r="Q49" s="3280"/>
      <c r="R49" s="3280"/>
      <c r="S49" s="3280"/>
      <c r="T49" s="3280"/>
      <c r="U49" s="3280"/>
      <c r="V49" s="3329"/>
      <c r="W49" s="3280"/>
      <c r="AR49" s="2861"/>
      <c r="AS49" s="2123"/>
      <c r="AT49" s="3918"/>
      <c r="AU49" s="3918"/>
      <c r="AV49" s="4"/>
      <c r="AW49" s="4"/>
      <c r="AX49" s="4"/>
      <c r="AY49" s="3926"/>
      <c r="BB49" s="4"/>
      <c r="BC49" s="3919"/>
      <c r="BD49" s="2071"/>
      <c r="BI49" s="281">
        <f>BI48</f>
        <v>45.737000000000002</v>
      </c>
      <c r="BJ49" s="2117">
        <f>MAX(K29:O29)</f>
        <v>1.1691327046126441</v>
      </c>
    </row>
    <row r="50" spans="2:62" ht="20.100000000000001" customHeight="1">
      <c r="B50" s="3280"/>
      <c r="C50" s="3290"/>
      <c r="D50" s="3280"/>
      <c r="E50" s="3280"/>
      <c r="F50" s="3280"/>
      <c r="G50" s="3280"/>
      <c r="H50" s="3280"/>
      <c r="I50" s="3280"/>
      <c r="J50" s="3280"/>
      <c r="K50" s="3280"/>
      <c r="L50" s="3280"/>
      <c r="M50" s="3280"/>
      <c r="N50" s="3280"/>
      <c r="O50" s="3280"/>
      <c r="P50" s="3280"/>
      <c r="Q50" s="3280"/>
      <c r="R50" s="3280"/>
      <c r="S50" s="3280"/>
      <c r="T50" s="3280"/>
      <c r="U50" s="3280"/>
      <c r="V50" s="3329"/>
      <c r="W50" s="3280"/>
      <c r="AR50" s="2861"/>
      <c r="AS50" s="2123"/>
      <c r="AT50" s="3918"/>
      <c r="AU50" s="3918"/>
      <c r="AV50" s="4"/>
      <c r="AW50" s="4"/>
      <c r="AX50" s="4"/>
      <c r="AY50" s="3919"/>
      <c r="AZ50" s="3918"/>
      <c r="BA50" s="3918"/>
      <c r="BB50" s="4"/>
      <c r="BC50" s="3919"/>
      <c r="BD50" s="2071"/>
      <c r="BF50" s="4" t="s">
        <v>1483</v>
      </c>
      <c r="BG50" s="4" t="s">
        <v>1466</v>
      </c>
      <c r="BI50" s="281">
        <v>60</v>
      </c>
      <c r="BJ50" s="2117">
        <f>BJ49</f>
        <v>1.1691327046126441</v>
      </c>
    </row>
    <row r="51" spans="2:62" ht="20.100000000000001" customHeight="1">
      <c r="B51" s="3280"/>
      <c r="C51" s="3290"/>
      <c r="D51" s="3280"/>
      <c r="E51" s="3280"/>
      <c r="F51" s="3280"/>
      <c r="G51" s="3280"/>
      <c r="H51" s="3280"/>
      <c r="I51" s="3280"/>
      <c r="J51" s="3280"/>
      <c r="K51" s="3280"/>
      <c r="L51" s="3280"/>
      <c r="M51" s="3280"/>
      <c r="N51" s="3280"/>
      <c r="O51" s="3280"/>
      <c r="P51" s="3280"/>
      <c r="Q51" s="3280"/>
      <c r="R51" s="3280"/>
      <c r="S51" s="3280"/>
      <c r="T51" s="3280"/>
      <c r="U51" s="3280"/>
      <c r="V51" s="3329"/>
      <c r="W51" s="3280"/>
      <c r="AR51" s="2861"/>
      <c r="BD51" s="2071"/>
      <c r="BF51" s="3927">
        <f>L58</f>
        <v>29.913859116107183</v>
      </c>
      <c r="BG51" s="3924">
        <f>J58</f>
        <v>1.1762101714473572</v>
      </c>
    </row>
    <row r="52" spans="2:62" ht="20.100000000000001" customHeight="1">
      <c r="B52" s="3280"/>
      <c r="C52" s="3290"/>
      <c r="D52" s="3280"/>
      <c r="E52" s="3280"/>
      <c r="F52" s="3280"/>
      <c r="G52" s="3280"/>
      <c r="H52" s="3280"/>
      <c r="I52" s="3280"/>
      <c r="J52" s="3280"/>
      <c r="K52" s="3280"/>
      <c r="L52" s="3280"/>
      <c r="M52" s="3280"/>
      <c r="N52" s="3280"/>
      <c r="O52" s="3280"/>
      <c r="P52" s="3280"/>
      <c r="Q52" s="3280"/>
      <c r="R52" s="3280"/>
      <c r="S52" s="3280"/>
      <c r="T52" s="3280"/>
      <c r="U52" s="3280"/>
      <c r="V52" s="3329"/>
      <c r="W52" s="3280"/>
      <c r="AR52" s="2861"/>
      <c r="BD52" s="2071"/>
      <c r="BF52" s="3927">
        <f>L59</f>
        <v>28.667448319602713</v>
      </c>
      <c r="BG52" s="3924">
        <f>J59</f>
        <v>1.1559244110320792</v>
      </c>
    </row>
    <row r="53" spans="2:62" ht="20.100000000000001" customHeight="1">
      <c r="B53" s="3280"/>
      <c r="C53" s="3290"/>
      <c r="D53" s="3280"/>
      <c r="E53" s="3280"/>
      <c r="F53" s="3280"/>
      <c r="G53" s="3280"/>
      <c r="H53" s="3280"/>
      <c r="I53" s="3280"/>
      <c r="J53" s="3280"/>
      <c r="K53" s="3280"/>
      <c r="L53" s="3280"/>
      <c r="M53" s="3280"/>
      <c r="N53" s="3280"/>
      <c r="O53" s="3280"/>
      <c r="P53" s="3280"/>
      <c r="Q53" s="3280"/>
      <c r="R53" s="3280"/>
      <c r="S53" s="3280"/>
      <c r="T53" s="3280"/>
      <c r="U53" s="3280"/>
      <c r="V53" s="3329"/>
      <c r="W53" s="3280"/>
      <c r="AR53" s="2861"/>
      <c r="BD53" s="2071"/>
      <c r="BF53" s="3927">
        <f>L60</f>
        <v>27.421037523098246</v>
      </c>
      <c r="BG53" s="3924">
        <f>J60</f>
        <v>1.1242537102945034</v>
      </c>
      <c r="BJ53" s="2117"/>
    </row>
    <row r="54" spans="2:62" ht="20.100000000000001" customHeight="1">
      <c r="B54" s="3280"/>
      <c r="C54" s="3290"/>
      <c r="D54" s="3280"/>
      <c r="E54" s="3280"/>
      <c r="F54" s="3280"/>
      <c r="G54" s="3280"/>
      <c r="H54" s="3280"/>
      <c r="I54" s="3280"/>
      <c r="J54" s="3280"/>
      <c r="K54" s="3280"/>
      <c r="L54" s="3280"/>
      <c r="M54" s="3280"/>
      <c r="N54" s="3280"/>
      <c r="O54" s="3280"/>
      <c r="P54" s="3280"/>
      <c r="Q54" s="3280"/>
      <c r="R54" s="3280"/>
      <c r="S54" s="3280"/>
      <c r="T54" s="3280"/>
      <c r="U54" s="3280"/>
      <c r="V54" s="3329"/>
      <c r="W54" s="3280"/>
      <c r="AR54" s="2861"/>
      <c r="AY54" s="2091"/>
      <c r="AZ54" s="2091"/>
      <c r="BA54" s="2091"/>
      <c r="BB54" s="2091"/>
      <c r="BC54" s="2091"/>
      <c r="BD54" s="2071"/>
      <c r="BF54" s="3928"/>
      <c r="BG54" s="3929"/>
    </row>
    <row r="55" spans="2:62">
      <c r="B55" s="3280"/>
      <c r="C55" s="3290"/>
      <c r="D55" s="3280"/>
      <c r="E55" s="3280"/>
      <c r="F55" s="3280"/>
      <c r="G55" s="3280"/>
      <c r="H55" s="3282"/>
      <c r="I55" s="3282"/>
      <c r="J55" s="3282"/>
      <c r="K55" s="3282"/>
      <c r="L55" s="3313"/>
      <c r="M55" s="3555"/>
      <c r="N55" s="3280"/>
      <c r="O55" s="3280"/>
      <c r="P55" s="3280"/>
      <c r="Q55" s="3280"/>
      <c r="R55" s="3280"/>
      <c r="S55" s="3280"/>
      <c r="T55" s="3280"/>
      <c r="U55" s="3280"/>
      <c r="V55" s="3329"/>
      <c r="W55" s="3280"/>
      <c r="AR55" s="2861"/>
      <c r="AS55" s="2122"/>
      <c r="AT55" s="2102"/>
      <c r="AU55" s="2102"/>
      <c r="AV55" s="2102"/>
      <c r="AW55" s="2102"/>
      <c r="AX55" s="2102"/>
      <c r="AY55" s="3918"/>
      <c r="AZ55" s="3918"/>
      <c r="BA55" s="3918"/>
      <c r="BB55" s="2144"/>
      <c r="BC55" s="2144"/>
      <c r="BD55" s="2071"/>
      <c r="BF55" s="3930"/>
      <c r="BG55" s="3929"/>
    </row>
    <row r="56" spans="2:62" ht="20.100000000000001" customHeight="1">
      <c r="B56" s="3280"/>
      <c r="C56" s="3290"/>
      <c r="D56" s="3280"/>
      <c r="E56" s="296" t="s">
        <v>1485</v>
      </c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3280"/>
      <c r="Q56" s="3280"/>
      <c r="R56" s="3280"/>
      <c r="S56" s="3280"/>
      <c r="T56" s="3280"/>
      <c r="U56" s="3280"/>
      <c r="V56" s="3951"/>
      <c r="W56" s="3280"/>
      <c r="AR56" s="2861"/>
      <c r="AS56" s="2122"/>
      <c r="AT56" s="2102"/>
      <c r="AU56" s="2102"/>
      <c r="AV56" s="2102"/>
      <c r="AW56" s="2102"/>
      <c r="AX56" s="2102"/>
      <c r="AY56" s="3918"/>
      <c r="AZ56" s="3918"/>
      <c r="BA56" s="3918"/>
      <c r="BB56" s="2144"/>
      <c r="BC56" s="2144"/>
      <c r="BD56" s="2071"/>
    </row>
    <row r="57" spans="2:62" ht="15">
      <c r="B57" s="3280"/>
      <c r="C57" s="3290"/>
      <c r="D57" s="3280"/>
      <c r="E57" s="394"/>
      <c r="F57" s="1274"/>
      <c r="G57" s="1274"/>
      <c r="H57" s="1275"/>
      <c r="I57" s="4949" t="s">
        <v>1488</v>
      </c>
      <c r="J57" s="4950"/>
      <c r="K57" s="4951"/>
      <c r="L57" s="4949" t="s">
        <v>1487</v>
      </c>
      <c r="M57" s="4950"/>
      <c r="N57" s="4950"/>
      <c r="O57" s="4951"/>
      <c r="P57" s="3280"/>
      <c r="Q57" s="3280"/>
      <c r="R57" s="3280"/>
      <c r="S57" s="3280"/>
      <c r="T57" s="3280"/>
      <c r="U57" s="3280"/>
      <c r="V57" s="3951"/>
      <c r="W57" s="3280"/>
      <c r="AR57" s="2861"/>
      <c r="AS57" s="2102"/>
      <c r="AT57" s="2102"/>
      <c r="AU57" s="2102"/>
      <c r="AV57" s="2102"/>
      <c r="AW57" s="2102"/>
      <c r="AX57" s="2102"/>
      <c r="AY57" s="3918"/>
      <c r="AZ57" s="3918"/>
      <c r="BA57" s="3918"/>
      <c r="BB57" s="2144"/>
      <c r="BC57" s="2144"/>
      <c r="BD57" s="2071"/>
      <c r="BF57" s="281">
        <v>20</v>
      </c>
      <c r="BG57" s="281" t="e">
        <f>AW31*0.95</f>
        <v>#REF!</v>
      </c>
    </row>
    <row r="58" spans="2:62" ht="15.75">
      <c r="B58" s="3280"/>
      <c r="C58" s="3373"/>
      <c r="D58" s="3279"/>
      <c r="E58" s="3959" t="s">
        <v>1489</v>
      </c>
      <c r="F58" s="3960"/>
      <c r="G58" s="3960"/>
      <c r="H58" s="3961"/>
      <c r="I58" s="3962"/>
      <c r="J58" s="3963">
        <f>'56X'!E30</f>
        <v>1.1762101714473572</v>
      </c>
      <c r="K58" s="3939"/>
      <c r="L58" s="4952">
        <f>MAX('56X'!F67:F68)</f>
        <v>29.913859116107183</v>
      </c>
      <c r="M58" s="4953"/>
      <c r="N58" s="4953"/>
      <c r="O58" s="4954"/>
      <c r="P58" s="3081"/>
      <c r="Q58" s="3279"/>
      <c r="R58" s="3279"/>
      <c r="S58" s="3279"/>
      <c r="T58" s="3279"/>
      <c r="U58" s="3279"/>
      <c r="V58" s="3621"/>
      <c r="W58" s="3280"/>
      <c r="AR58" s="2861"/>
      <c r="BD58" s="2071"/>
      <c r="BF58" s="281">
        <v>4</v>
      </c>
      <c r="BG58" s="3931" t="e">
        <f>BG57</f>
        <v>#REF!</v>
      </c>
    </row>
    <row r="59" spans="2:62">
      <c r="B59" s="3280"/>
      <c r="C59" s="3373"/>
      <c r="D59" s="3279"/>
      <c r="E59" s="3965" t="s">
        <v>1490</v>
      </c>
      <c r="F59" s="3966"/>
      <c r="G59" s="3966"/>
      <c r="H59" s="3967"/>
      <c r="I59" s="3968"/>
      <c r="J59" s="3969">
        <f>'25X'!E30</f>
        <v>1.1559244110320792</v>
      </c>
      <c r="K59" s="3947"/>
      <c r="L59" s="4955">
        <f>MAX('25X'!F67:F68)</f>
        <v>28.667448319602713</v>
      </c>
      <c r="M59" s="4956"/>
      <c r="N59" s="4956"/>
      <c r="O59" s="4957"/>
      <c r="P59" s="3081"/>
      <c r="Q59" s="3279"/>
      <c r="R59" s="3279"/>
      <c r="S59" s="3279"/>
      <c r="T59" s="3279"/>
      <c r="U59" s="3279"/>
      <c r="V59" s="3621"/>
      <c r="W59" s="3280"/>
      <c r="AR59" s="2861"/>
      <c r="BD59" s="2071"/>
      <c r="BF59" s="281">
        <f>BF58</f>
        <v>4</v>
      </c>
      <c r="BG59" s="2167">
        <v>0.9</v>
      </c>
      <c r="BH59" s="3932"/>
    </row>
    <row r="60" spans="2:62">
      <c r="B60" s="3280"/>
      <c r="C60" s="3373"/>
      <c r="D60" s="3279"/>
      <c r="E60" s="3965" t="s">
        <v>1491</v>
      </c>
      <c r="F60" s="3966"/>
      <c r="G60" s="3966"/>
      <c r="H60" s="3967"/>
      <c r="I60" s="3968"/>
      <c r="J60" s="3969">
        <f>'10x'!E30</f>
        <v>1.1242537102945034</v>
      </c>
      <c r="K60" s="3947"/>
      <c r="L60" s="4955">
        <f>MAX('10x'!F67:F68)</f>
        <v>27.421037523098246</v>
      </c>
      <c r="M60" s="4956"/>
      <c r="N60" s="4956"/>
      <c r="O60" s="4957"/>
      <c r="P60" s="3081"/>
      <c r="Q60" s="3279"/>
      <c r="R60" s="3279"/>
      <c r="S60" s="3279"/>
      <c r="T60" s="3279"/>
      <c r="U60" s="3279"/>
      <c r="V60" s="3621"/>
      <c r="W60" s="3280"/>
      <c r="AR60" s="3869"/>
      <c r="AS60" s="2125" t="s">
        <v>1485</v>
      </c>
      <c r="BD60" s="2071"/>
    </row>
    <row r="61" spans="2:62" ht="15">
      <c r="B61" s="3280"/>
      <c r="C61" s="3373"/>
      <c r="D61" s="3279"/>
      <c r="E61" s="3965" t="s">
        <v>1492</v>
      </c>
      <c r="F61" s="3966"/>
      <c r="G61" s="3966"/>
      <c r="H61" s="3967"/>
      <c r="I61" s="3968"/>
      <c r="J61" s="3969">
        <f>'Standard Proctor'!J51</f>
        <v>1.1691327046126441</v>
      </c>
      <c r="K61" s="3947"/>
      <c r="L61" s="4958">
        <v>29.4</v>
      </c>
      <c r="M61" s="4959"/>
      <c r="N61" s="4959"/>
      <c r="O61" s="4960"/>
      <c r="P61" s="3081"/>
      <c r="Q61" s="3279"/>
      <c r="R61" s="3279"/>
      <c r="S61" s="3279"/>
      <c r="T61" s="3279"/>
      <c r="U61" s="3279"/>
      <c r="V61" s="3621"/>
      <c r="W61" s="3280"/>
      <c r="AR61" s="2861"/>
      <c r="AS61" s="3934"/>
      <c r="AT61" s="191"/>
      <c r="AU61" s="191"/>
      <c r="AV61" s="191"/>
      <c r="AW61" s="3934" t="s">
        <v>1486</v>
      </c>
      <c r="AX61" s="191"/>
      <c r="AY61" s="192"/>
      <c r="AZ61" s="191" t="s">
        <v>1487</v>
      </c>
      <c r="BA61" s="191"/>
      <c r="BB61" s="191"/>
      <c r="BC61" s="192"/>
      <c r="BD61" s="2071"/>
    </row>
    <row r="62" spans="2:62">
      <c r="B62" s="3280"/>
      <c r="C62" s="3373"/>
      <c r="D62" s="3279"/>
      <c r="E62" s="3970" t="s">
        <v>1493</v>
      </c>
      <c r="F62" s="3971"/>
      <c r="G62" s="3971"/>
      <c r="H62" s="3972"/>
      <c r="I62" s="3973"/>
      <c r="J62" s="3974">
        <f>+K36*BF41</f>
        <v>1.1457500505203912</v>
      </c>
      <c r="K62" s="3964"/>
      <c r="L62" s="4946">
        <v>28.3</v>
      </c>
      <c r="M62" s="4947"/>
      <c r="N62" s="4947"/>
      <c r="O62" s="4948"/>
      <c r="P62" s="3081"/>
      <c r="Q62" s="3279"/>
      <c r="R62" s="3279"/>
      <c r="S62" s="3279"/>
      <c r="T62" s="3279"/>
      <c r="U62" s="3279"/>
      <c r="V62" s="3621"/>
      <c r="W62" s="3280"/>
      <c r="AR62" s="2861"/>
      <c r="AS62" s="3935"/>
      <c r="AT62" s="3936"/>
      <c r="AU62" s="3936"/>
      <c r="AV62" s="3937"/>
      <c r="AW62" s="3935"/>
      <c r="AX62" s="3938"/>
      <c r="AY62" s="3939"/>
      <c r="AZ62" s="3940"/>
      <c r="BA62" s="3940"/>
      <c r="BB62" s="3941"/>
      <c r="BC62" s="3942"/>
      <c r="BD62" s="2071"/>
      <c r="BH62" s="3920"/>
    </row>
    <row r="63" spans="2:62">
      <c r="B63" s="3280"/>
      <c r="C63" s="3380"/>
      <c r="D63" s="3383"/>
      <c r="E63" s="287"/>
      <c r="F63" s="287"/>
      <c r="G63" s="287"/>
      <c r="H63" s="287"/>
      <c r="I63" s="287"/>
      <c r="J63" s="287"/>
      <c r="K63" s="287"/>
      <c r="L63" s="287"/>
      <c r="M63" s="287"/>
      <c r="N63" s="287"/>
      <c r="O63" s="287"/>
      <c r="P63" s="3386"/>
      <c r="Q63" s="3383"/>
      <c r="R63" s="3383"/>
      <c r="S63" s="3383"/>
      <c r="T63" s="3383"/>
      <c r="U63" s="3383"/>
      <c r="V63" s="3637"/>
      <c r="W63" s="3280"/>
      <c r="AR63" s="2861"/>
      <c r="AS63" s="3943"/>
      <c r="AT63" s="3944"/>
      <c r="AU63" s="3944"/>
      <c r="AV63" s="3945"/>
      <c r="AW63" s="3943"/>
      <c r="AX63" s="3946"/>
      <c r="AY63" s="3947"/>
      <c r="AZ63" s="3948"/>
      <c r="BA63" s="3948"/>
      <c r="BB63" s="3949"/>
      <c r="BC63" s="3950"/>
      <c r="BD63" s="2071"/>
    </row>
    <row r="64" spans="2:62" s="193" customFormat="1" ht="17.25" customHeight="1">
      <c r="B64" s="3280"/>
      <c r="C64" s="3279"/>
      <c r="D64" s="3279"/>
      <c r="E64" s="3279"/>
      <c r="F64" s="281"/>
      <c r="G64" s="281"/>
      <c r="H64" s="281"/>
      <c r="I64" s="281"/>
      <c r="J64" s="281"/>
      <c r="K64" s="281"/>
      <c r="L64" s="281"/>
      <c r="M64" s="281"/>
      <c r="N64" s="281"/>
      <c r="O64" s="281"/>
      <c r="P64" s="3081"/>
      <c r="Q64" s="3279"/>
      <c r="R64" s="3279"/>
      <c r="S64" s="3279"/>
      <c r="T64" s="3279"/>
      <c r="U64" s="3279"/>
      <c r="V64" s="3279"/>
      <c r="W64" s="3280"/>
      <c r="AR64" s="2864"/>
      <c r="AS64" s="3943"/>
      <c r="AT64" s="3944"/>
      <c r="AU64" s="3944"/>
      <c r="AV64" s="3945"/>
      <c r="AW64" s="3943"/>
      <c r="AX64" s="3946"/>
      <c r="AY64" s="3947"/>
      <c r="AZ64" s="3948"/>
      <c r="BA64" s="3948"/>
      <c r="BB64" s="3949"/>
      <c r="BC64" s="3950"/>
      <c r="BD64" s="2198"/>
      <c r="BF64" s="3952"/>
      <c r="BG64" s="3953"/>
      <c r="BH64" s="3952"/>
      <c r="BI64" s="3953"/>
    </row>
    <row r="65" spans="2:61" s="193" customFormat="1" ht="17.25" customHeight="1">
      <c r="B65" s="3280"/>
      <c r="C65" s="3279"/>
      <c r="D65" s="3279"/>
      <c r="E65" s="281"/>
      <c r="F65" s="281"/>
      <c r="G65" s="281"/>
      <c r="H65" s="281"/>
      <c r="I65" s="281"/>
      <c r="J65" s="281"/>
      <c r="K65" s="281"/>
      <c r="L65" s="281"/>
      <c r="M65" s="281"/>
      <c r="N65" s="281"/>
      <c r="O65" s="281"/>
      <c r="P65" s="3081"/>
      <c r="Q65" s="3279"/>
      <c r="R65" s="3279"/>
      <c r="S65" s="3279"/>
      <c r="T65" s="3279"/>
      <c r="U65" s="3279"/>
      <c r="V65" s="3279"/>
      <c r="W65" s="3280"/>
      <c r="AR65" s="2864"/>
      <c r="AS65" s="3954"/>
      <c r="AT65" s="3955"/>
      <c r="AU65" s="3955"/>
      <c r="AV65" s="3945"/>
      <c r="AW65" s="3943"/>
      <c r="AX65" s="3946"/>
      <c r="AY65" s="3947"/>
      <c r="AZ65" s="3956"/>
      <c r="BA65" s="3948"/>
      <c r="BB65" s="3957"/>
      <c r="BC65" s="3950"/>
      <c r="BD65" s="2198"/>
      <c r="BF65" s="3958"/>
      <c r="BG65" s="3953"/>
      <c r="BH65" s="3958"/>
      <c r="BI65" s="3953"/>
    </row>
    <row r="66" spans="2:61" s="193" customFormat="1" ht="17.25" customHeight="1">
      <c r="B66" s="3279"/>
      <c r="C66" s="3279"/>
      <c r="D66" s="3279"/>
      <c r="E66" s="3279"/>
      <c r="F66" s="3279"/>
      <c r="G66" s="3279"/>
      <c r="H66" s="3279"/>
      <c r="I66" s="3279"/>
      <c r="J66" s="3279"/>
      <c r="K66" s="3279"/>
      <c r="L66" s="3279"/>
      <c r="M66" s="3279"/>
      <c r="N66" s="3081"/>
      <c r="O66" s="3081"/>
      <c r="P66" s="3081"/>
      <c r="Q66" s="3279"/>
      <c r="R66" s="3279"/>
      <c r="S66" s="3279"/>
      <c r="T66" s="3279"/>
      <c r="U66" s="3279"/>
      <c r="V66" s="3279"/>
      <c r="W66" s="3279"/>
      <c r="X66" s="316">
        <f>L58</f>
        <v>29.913859116107183</v>
      </c>
      <c r="AR66" s="2864"/>
      <c r="AS66" s="4078"/>
      <c r="AT66" s="4079"/>
      <c r="AU66" s="4079"/>
      <c r="AV66" s="4079"/>
      <c r="AW66" s="4080"/>
      <c r="AX66" s="4081"/>
      <c r="AY66" s="4082"/>
      <c r="AZ66" s="4083"/>
      <c r="BA66" s="4079"/>
      <c r="BB66" s="4084"/>
      <c r="BC66" s="4082"/>
      <c r="BD66" s="2198"/>
      <c r="BF66" s="316">
        <f>J58</f>
        <v>1.1762101714473572</v>
      </c>
    </row>
    <row r="67" spans="2:61" s="193" customFormat="1" ht="17.25" customHeight="1">
      <c r="B67" s="3279"/>
      <c r="C67" s="3279"/>
      <c r="D67" s="3279"/>
      <c r="E67" s="3279"/>
      <c r="F67" s="3279"/>
      <c r="G67" s="3279"/>
      <c r="H67" s="3279"/>
      <c r="I67" s="3279"/>
      <c r="J67" s="3279"/>
      <c r="K67" s="3279"/>
      <c r="L67" s="3279"/>
      <c r="M67" s="3279"/>
      <c r="N67" s="3081"/>
      <c r="O67" s="3081"/>
      <c r="P67" s="3081"/>
      <c r="Q67" s="3279"/>
      <c r="R67" s="3279"/>
      <c r="S67" s="3279"/>
      <c r="T67" s="3279"/>
      <c r="U67" s="3279"/>
      <c r="V67" s="3279"/>
      <c r="W67" s="3279"/>
      <c r="X67" s="316">
        <f>L59</f>
        <v>28.667448319602713</v>
      </c>
      <c r="AR67" s="296"/>
      <c r="AS67" s="4085"/>
      <c r="AT67" s="4085"/>
      <c r="AU67" s="4085"/>
      <c r="AV67" s="4085"/>
      <c r="AW67" s="4085"/>
      <c r="AX67" s="4085"/>
      <c r="AY67" s="199"/>
      <c r="AZ67" s="1310"/>
      <c r="BA67" s="1310"/>
      <c r="BC67" s="1310"/>
      <c r="BD67" s="1310"/>
      <c r="BF67" s="316">
        <f>J59</f>
        <v>1.1559244110320792</v>
      </c>
    </row>
    <row r="68" spans="2:61" s="193" customFormat="1" ht="17.25" customHeight="1">
      <c r="B68" s="3279"/>
      <c r="C68" s="3279"/>
      <c r="D68" s="3279"/>
      <c r="E68" s="3279"/>
      <c r="F68" s="3279"/>
      <c r="G68" s="3279"/>
      <c r="H68" s="3279"/>
      <c r="I68" s="3279"/>
      <c r="J68" s="3279"/>
      <c r="K68" s="3279"/>
      <c r="L68" s="3279"/>
      <c r="M68" s="3279"/>
      <c r="N68" s="3081"/>
      <c r="O68" s="3081"/>
      <c r="P68" s="3081"/>
      <c r="Q68" s="3279"/>
      <c r="R68" s="3279"/>
      <c r="S68" s="3279"/>
      <c r="T68" s="3279"/>
      <c r="U68" s="3279"/>
      <c r="V68" s="3279"/>
      <c r="W68" s="3279"/>
      <c r="X68" s="316">
        <f>L60</f>
        <v>27.421037523098246</v>
      </c>
      <c r="AV68" s="1310"/>
      <c r="AW68" s="1310"/>
      <c r="AX68" s="1310"/>
      <c r="BC68" s="4086"/>
      <c r="BD68" s="4086"/>
      <c r="BF68" s="316">
        <f>J60</f>
        <v>1.1242537102945034</v>
      </c>
      <c r="BG68" s="4087"/>
      <c r="BH68" s="4088"/>
      <c r="BI68" s="4087"/>
    </row>
    <row r="69" spans="2:61" s="193" customFormat="1" ht="17.25" customHeight="1">
      <c r="B69" s="3279"/>
      <c r="C69" s="3279"/>
      <c r="D69" s="3279"/>
      <c r="E69" s="3279"/>
      <c r="F69" s="281"/>
      <c r="G69" s="3279"/>
      <c r="H69" s="3279"/>
      <c r="I69" s="3279"/>
      <c r="J69" s="3279"/>
      <c r="K69" s="3279"/>
      <c r="L69" s="3279"/>
      <c r="M69" s="3279"/>
      <c r="N69" s="3081"/>
      <c r="O69" s="3081"/>
      <c r="P69" s="3081"/>
      <c r="Q69" s="3279"/>
      <c r="R69" s="3279"/>
      <c r="S69" s="3279"/>
      <c r="T69" s="3279"/>
      <c r="U69" s="3279"/>
      <c r="V69" s="3279"/>
      <c r="W69" s="3279"/>
      <c r="X69" s="316">
        <f>L61</f>
        <v>29.4</v>
      </c>
      <c r="AS69" s="832"/>
      <c r="AT69" s="832"/>
      <c r="AU69" s="832"/>
      <c r="AV69" s="832"/>
      <c r="AW69" s="832"/>
      <c r="AX69" s="832"/>
      <c r="BF69" s="316">
        <f>J61</f>
        <v>1.1691327046126441</v>
      </c>
      <c r="BG69" s="4087"/>
      <c r="BH69" s="4089"/>
      <c r="BI69" s="4087"/>
    </row>
    <row r="70" spans="2:61" s="193" customFormat="1" ht="17.25" customHeight="1">
      <c r="B70" s="3279"/>
      <c r="C70" s="3279"/>
      <c r="D70" s="3279"/>
      <c r="E70" s="3279"/>
      <c r="F70" s="3279"/>
      <c r="G70" s="3279"/>
      <c r="H70" s="3279"/>
      <c r="I70" s="3279"/>
      <c r="J70" s="3279"/>
      <c r="K70" s="3279"/>
      <c r="L70" s="3279"/>
      <c r="M70" s="3279"/>
      <c r="N70" s="3081"/>
      <c r="O70" s="3081"/>
      <c r="P70" s="3081"/>
      <c r="Q70" s="3279"/>
      <c r="R70" s="3279"/>
      <c r="S70" s="3279"/>
      <c r="T70" s="3279"/>
      <c r="U70" s="3279"/>
      <c r="V70" s="3279"/>
      <c r="W70" s="3279"/>
      <c r="X70" s="316">
        <f>L62</f>
        <v>28.3</v>
      </c>
      <c r="AY70" s="839"/>
      <c r="BF70" s="316">
        <f>J62</f>
        <v>1.1457500505203912</v>
      </c>
    </row>
    <row r="71" spans="2:61">
      <c r="B71" s="3279"/>
      <c r="C71" s="3279"/>
      <c r="D71" s="3279"/>
      <c r="E71" s="3279"/>
      <c r="F71" s="3279"/>
      <c r="G71" s="3279"/>
      <c r="H71" s="3279"/>
      <c r="I71" s="3279"/>
      <c r="J71" s="3279"/>
      <c r="K71" s="3279"/>
      <c r="L71" s="3279"/>
      <c r="M71" s="3279"/>
      <c r="N71" s="3081"/>
      <c r="O71" s="3081"/>
      <c r="P71" s="3081"/>
      <c r="Q71" s="3279"/>
      <c r="R71" s="3279"/>
      <c r="S71" s="3279"/>
      <c r="T71" s="3279"/>
      <c r="U71" s="3279"/>
      <c r="V71" s="3279"/>
      <c r="W71" s="3279"/>
      <c r="BH71" s="3920"/>
    </row>
    <row r="72" spans="2:61">
      <c r="B72" s="3279"/>
      <c r="C72" s="3279"/>
      <c r="D72" s="3279"/>
      <c r="E72" s="3279"/>
      <c r="F72" s="3279"/>
      <c r="G72" s="3279"/>
      <c r="H72" s="3279"/>
      <c r="I72" s="3279"/>
      <c r="J72" s="3279"/>
      <c r="K72" s="3279"/>
      <c r="L72" s="3279"/>
      <c r="M72" s="3279"/>
      <c r="N72" s="3081"/>
      <c r="O72" s="3081"/>
      <c r="P72" s="3081"/>
      <c r="Q72" s="3279"/>
      <c r="R72" s="3279"/>
      <c r="S72" s="3279"/>
      <c r="T72" s="3279"/>
      <c r="U72" s="3279"/>
      <c r="V72" s="3279"/>
      <c r="W72" s="3279"/>
      <c r="BH72" s="4090"/>
      <c r="BI72" s="4091"/>
    </row>
    <row r="73" spans="2:61">
      <c r="B73" s="3279"/>
      <c r="C73" s="3279"/>
      <c r="D73" s="3279"/>
      <c r="E73" s="3279"/>
      <c r="F73" s="3279"/>
      <c r="G73" s="3279"/>
      <c r="H73" s="3279"/>
      <c r="I73" s="3279"/>
      <c r="J73" s="3279"/>
      <c r="K73" s="3279"/>
      <c r="L73" s="3279"/>
      <c r="M73" s="3279"/>
      <c r="N73" s="3081"/>
      <c r="O73" s="3081"/>
      <c r="P73" s="3081"/>
      <c r="Q73" s="3279"/>
      <c r="R73" s="3279"/>
      <c r="S73" s="3279"/>
      <c r="T73" s="3279"/>
      <c r="U73" s="3279"/>
      <c r="V73" s="3279"/>
      <c r="W73" s="3279"/>
      <c r="BH73" s="4092"/>
      <c r="BI73" s="4091"/>
    </row>
    <row r="74" spans="2:61">
      <c r="B74" s="3279"/>
      <c r="C74" s="3279"/>
      <c r="D74" s="3279"/>
      <c r="E74" s="3279"/>
      <c r="F74" s="3279"/>
      <c r="G74" s="3279"/>
      <c r="H74" s="3279"/>
      <c r="I74" s="3279"/>
      <c r="J74" s="3279"/>
      <c r="K74" s="3279"/>
      <c r="L74" s="3279"/>
      <c r="M74" s="3279"/>
      <c r="N74" s="3081"/>
      <c r="O74" s="3081"/>
      <c r="P74" s="3081"/>
      <c r="Q74" s="3279"/>
      <c r="R74" s="3279"/>
      <c r="S74" s="3279"/>
      <c r="T74" s="3279"/>
      <c r="U74" s="3279"/>
      <c r="V74" s="3279"/>
      <c r="W74" s="3279"/>
    </row>
    <row r="75" spans="2:61">
      <c r="B75" s="3279"/>
      <c r="C75" s="3279"/>
      <c r="D75" s="3279"/>
      <c r="E75" s="3279"/>
      <c r="F75" s="3279"/>
      <c r="G75" s="3279"/>
      <c r="H75" s="3279"/>
      <c r="I75" s="3279"/>
      <c r="J75" s="3279"/>
      <c r="K75" s="3279"/>
      <c r="L75" s="3279"/>
      <c r="M75" s="3279"/>
      <c r="N75" s="3081"/>
      <c r="O75" s="3081"/>
      <c r="P75" s="3081"/>
      <c r="Q75" s="3279"/>
      <c r="R75" s="3279"/>
      <c r="S75" s="3279"/>
      <c r="T75" s="3279"/>
      <c r="U75" s="3279"/>
      <c r="V75" s="3279"/>
      <c r="W75" s="3279"/>
    </row>
    <row r="76" spans="2:61">
      <c r="B76" s="3279"/>
      <c r="C76" s="3279"/>
      <c r="D76" s="3279"/>
      <c r="E76" s="3279"/>
      <c r="F76" s="3279"/>
      <c r="G76" s="3279"/>
      <c r="H76" s="3279"/>
      <c r="I76" s="3279"/>
      <c r="J76" s="3279"/>
      <c r="K76" s="3279"/>
      <c r="L76" s="3279"/>
      <c r="M76" s="3279"/>
      <c r="N76" s="3081"/>
      <c r="O76" s="3081"/>
      <c r="P76" s="3081"/>
      <c r="Q76" s="3279"/>
      <c r="R76" s="3279"/>
      <c r="S76" s="3279"/>
      <c r="T76" s="3279"/>
      <c r="U76" s="3279"/>
      <c r="V76" s="3279"/>
      <c r="W76" s="3279"/>
      <c r="BH76" s="4092"/>
      <c r="BI76" s="4091"/>
    </row>
    <row r="77" spans="2:61">
      <c r="B77" s="3279"/>
      <c r="C77" s="3279"/>
      <c r="D77" s="3279"/>
      <c r="E77" s="3279"/>
      <c r="F77" s="3279"/>
      <c r="G77" s="3279"/>
      <c r="H77" s="3279"/>
      <c r="I77" s="3279"/>
      <c r="J77" s="3279"/>
      <c r="K77" s="3279"/>
      <c r="L77" s="3279"/>
      <c r="M77" s="3279"/>
      <c r="N77" s="3081"/>
      <c r="O77" s="3081"/>
      <c r="P77" s="3081"/>
      <c r="Q77" s="3279"/>
      <c r="R77" s="3279"/>
      <c r="S77" s="3279"/>
      <c r="T77" s="3279"/>
      <c r="U77" s="3279"/>
      <c r="V77" s="3279"/>
      <c r="W77" s="3279"/>
      <c r="BH77" s="4090"/>
      <c r="BI77" s="4091"/>
    </row>
    <row r="78" spans="2:61" ht="9" customHeight="1">
      <c r="B78" s="3279"/>
      <c r="C78" s="3279"/>
      <c r="D78" s="3279"/>
      <c r="E78" s="3279"/>
      <c r="F78" s="3279"/>
      <c r="G78" s="3279"/>
      <c r="H78" s="3279"/>
      <c r="I78" s="3279"/>
      <c r="J78" s="3279"/>
      <c r="K78" s="3279"/>
      <c r="L78" s="3279"/>
      <c r="M78" s="3279"/>
      <c r="N78" s="3081"/>
      <c r="O78" s="3081"/>
      <c r="P78" s="3081"/>
      <c r="Q78" s="3279"/>
      <c r="R78" s="3279"/>
      <c r="S78" s="3279"/>
      <c r="T78" s="3279"/>
      <c r="U78" s="3279"/>
      <c r="V78" s="3279"/>
      <c r="W78" s="3279"/>
    </row>
    <row r="79" spans="2:61">
      <c r="B79" s="3279"/>
      <c r="C79" s="3279"/>
      <c r="D79" s="3279"/>
      <c r="E79" s="3279"/>
      <c r="F79" s="3279"/>
      <c r="G79" s="3279"/>
      <c r="H79" s="3279"/>
      <c r="I79" s="3279"/>
      <c r="J79" s="3279"/>
      <c r="K79" s="3279"/>
      <c r="L79" s="3279"/>
      <c r="M79" s="3279"/>
      <c r="N79" s="3081"/>
      <c r="O79" s="3081"/>
      <c r="P79" s="3081"/>
      <c r="Q79" s="3279"/>
      <c r="R79" s="3279"/>
      <c r="S79" s="3279"/>
      <c r="T79" s="3279"/>
      <c r="U79" s="3279"/>
      <c r="V79" s="3279"/>
      <c r="W79" s="3279"/>
    </row>
    <row r="80" spans="2:61">
      <c r="B80" s="3279"/>
      <c r="C80" s="3279"/>
      <c r="D80" s="3279"/>
      <c r="E80" s="3279"/>
      <c r="F80" s="3279"/>
      <c r="G80" s="3279"/>
      <c r="H80" s="3279"/>
      <c r="I80" s="3279"/>
      <c r="J80" s="3279"/>
      <c r="K80" s="3279"/>
      <c r="L80" s="3279"/>
      <c r="M80" s="3279"/>
      <c r="N80" s="3081"/>
      <c r="O80" s="3081"/>
      <c r="P80" s="3081"/>
      <c r="Q80" s="3279"/>
      <c r="R80" s="3279"/>
      <c r="S80" s="3279"/>
      <c r="T80" s="3279"/>
      <c r="U80" s="3279"/>
      <c r="V80" s="3279"/>
      <c r="W80" s="3279"/>
    </row>
    <row r="81" spans="2:23">
      <c r="B81" s="3279"/>
      <c r="C81" s="3279"/>
      <c r="D81" s="3279"/>
      <c r="E81" s="3279"/>
      <c r="F81" s="3279"/>
      <c r="G81" s="3279"/>
      <c r="H81" s="3279"/>
      <c r="I81" s="3279"/>
      <c r="J81" s="3279"/>
      <c r="K81" s="3279"/>
      <c r="L81" s="3279"/>
      <c r="M81" s="3279"/>
      <c r="N81" s="3081"/>
      <c r="O81" s="3081"/>
      <c r="P81" s="3081"/>
      <c r="Q81" s="3279"/>
      <c r="R81" s="3279"/>
      <c r="S81" s="3279"/>
      <c r="T81" s="3279"/>
      <c r="U81" s="3279"/>
      <c r="V81" s="3279"/>
      <c r="W81" s="3279"/>
    </row>
    <row r="82" spans="2:23">
      <c r="B82" s="3279"/>
      <c r="C82" s="3279"/>
      <c r="D82" s="3279"/>
      <c r="E82" s="3279"/>
      <c r="F82" s="3279"/>
      <c r="G82" s="3279"/>
      <c r="H82" s="3279"/>
      <c r="I82" s="3279"/>
      <c r="J82" s="3279"/>
      <c r="K82" s="3279"/>
      <c r="L82" s="3279"/>
      <c r="M82" s="3279"/>
      <c r="N82" s="3081"/>
      <c r="O82" s="3081"/>
      <c r="P82" s="3081"/>
      <c r="Q82" s="3279"/>
      <c r="R82" s="3279"/>
      <c r="S82" s="3279"/>
      <c r="T82" s="3279"/>
      <c r="U82" s="3279"/>
      <c r="V82" s="3279"/>
      <c r="W82" s="3279"/>
    </row>
    <row r="83" spans="2:23">
      <c r="B83" s="3279"/>
      <c r="C83" s="3279"/>
      <c r="D83" s="3279"/>
      <c r="E83" s="3279"/>
      <c r="F83" s="3279"/>
      <c r="G83" s="3279"/>
      <c r="H83" s="3279"/>
      <c r="I83" s="3279"/>
      <c r="J83" s="3279"/>
      <c r="K83" s="3279"/>
      <c r="L83" s="3279"/>
      <c r="M83" s="3279"/>
      <c r="N83" s="3081"/>
      <c r="O83" s="3081"/>
      <c r="P83" s="3081"/>
      <c r="Q83" s="3279"/>
      <c r="R83" s="3279"/>
      <c r="S83" s="3279"/>
      <c r="T83" s="3279"/>
      <c r="U83" s="3279"/>
      <c r="V83" s="3279"/>
      <c r="W83" s="3279"/>
    </row>
    <row r="84" spans="2:23">
      <c r="B84" s="3279"/>
      <c r="C84" s="3279"/>
      <c r="D84" s="3279"/>
      <c r="E84" s="3279"/>
      <c r="F84" s="3279"/>
      <c r="G84" s="3279"/>
      <c r="H84" s="3279"/>
      <c r="I84" s="3279"/>
      <c r="J84" s="3279"/>
      <c r="K84" s="3279"/>
      <c r="L84" s="3279"/>
      <c r="M84" s="3279"/>
      <c r="N84" s="3081"/>
      <c r="O84" s="3081"/>
      <c r="P84" s="3081"/>
      <c r="Q84" s="3279"/>
      <c r="R84" s="3279"/>
      <c r="S84" s="3279"/>
      <c r="T84" s="3279"/>
      <c r="U84" s="3279"/>
      <c r="V84" s="3279"/>
      <c r="W84" s="3279"/>
    </row>
    <row r="85" spans="2:23">
      <c r="B85" s="3279"/>
      <c r="C85" s="3279"/>
      <c r="D85" s="3279"/>
      <c r="E85" s="3279"/>
      <c r="F85" s="3279"/>
      <c r="G85" s="3279"/>
      <c r="H85" s="3279"/>
      <c r="I85" s="3279"/>
      <c r="J85" s="3279"/>
      <c r="K85" s="3279"/>
      <c r="L85" s="3279"/>
      <c r="M85" s="3279"/>
      <c r="N85" s="3081"/>
      <c r="O85" s="3081"/>
      <c r="P85" s="3081"/>
      <c r="Q85" s="3279"/>
      <c r="R85" s="3279"/>
      <c r="S85" s="3279"/>
      <c r="T85" s="3279"/>
      <c r="U85" s="3279"/>
      <c r="V85" s="3279"/>
      <c r="W85" s="3279"/>
    </row>
    <row r="86" spans="2:23">
      <c r="B86" s="3279"/>
      <c r="C86" s="3279"/>
      <c r="D86" s="3279"/>
      <c r="E86" s="3279"/>
      <c r="F86" s="3279"/>
      <c r="G86" s="3279"/>
      <c r="H86" s="3279"/>
      <c r="I86" s="3279"/>
      <c r="J86" s="3279"/>
      <c r="K86" s="3279"/>
      <c r="L86" s="3279"/>
      <c r="M86" s="3279"/>
      <c r="N86" s="3081"/>
      <c r="O86" s="3081"/>
      <c r="P86" s="3081"/>
      <c r="Q86" s="3279"/>
      <c r="R86" s="3279"/>
      <c r="S86" s="3279"/>
      <c r="T86" s="3279"/>
      <c r="U86" s="3279"/>
      <c r="V86" s="3279"/>
      <c r="W86" s="3279"/>
    </row>
    <row r="87" spans="2:23">
      <c r="B87" s="3279"/>
      <c r="C87" s="3279"/>
      <c r="D87" s="3279"/>
      <c r="E87" s="3279"/>
      <c r="F87" s="3279"/>
      <c r="G87" s="3279"/>
      <c r="H87" s="3279"/>
      <c r="I87" s="3279"/>
      <c r="J87" s="3279"/>
      <c r="K87" s="3279"/>
      <c r="L87" s="3279"/>
      <c r="M87" s="3279"/>
      <c r="N87" s="3081"/>
      <c r="O87" s="3081"/>
      <c r="P87" s="3081"/>
      <c r="Q87" s="3279"/>
      <c r="R87" s="3279"/>
      <c r="S87" s="3279"/>
      <c r="T87" s="3279"/>
      <c r="U87" s="3279"/>
      <c r="V87" s="3279"/>
      <c r="W87" s="3279"/>
    </row>
    <row r="88" spans="2:23">
      <c r="B88" s="3279"/>
      <c r="C88" s="3279"/>
      <c r="D88" s="3279"/>
      <c r="E88" s="3279"/>
      <c r="F88" s="3279"/>
      <c r="G88" s="3279"/>
      <c r="H88" s="3279"/>
      <c r="I88" s="3279"/>
      <c r="J88" s="3279"/>
      <c r="K88" s="3279"/>
      <c r="L88" s="3279"/>
      <c r="M88" s="3279"/>
      <c r="N88" s="3081"/>
      <c r="O88" s="3081"/>
      <c r="P88" s="3081"/>
      <c r="Q88" s="3279"/>
      <c r="R88" s="3279"/>
      <c r="S88" s="3279"/>
      <c r="T88" s="3279"/>
      <c r="U88" s="3279"/>
      <c r="V88" s="3279"/>
      <c r="W88" s="3279"/>
    </row>
    <row r="89" spans="2:23">
      <c r="B89" s="3279"/>
      <c r="C89" s="3279"/>
      <c r="D89" s="3279"/>
      <c r="E89" s="3279"/>
      <c r="F89" s="3279"/>
      <c r="G89" s="3279"/>
      <c r="H89" s="3279"/>
      <c r="I89" s="3279"/>
      <c r="J89" s="3279"/>
      <c r="K89" s="3279"/>
      <c r="L89" s="3279"/>
      <c r="M89" s="3279"/>
      <c r="N89" s="3081"/>
      <c r="O89" s="3081"/>
      <c r="P89" s="3081"/>
      <c r="Q89" s="3279"/>
      <c r="R89" s="3279"/>
      <c r="S89" s="3279"/>
      <c r="T89" s="3279"/>
      <c r="U89" s="3279"/>
      <c r="V89" s="3279"/>
      <c r="W89" s="3279"/>
    </row>
    <row r="90" spans="2:23">
      <c r="B90" s="3279"/>
      <c r="C90" s="3279"/>
      <c r="D90" s="3279"/>
      <c r="E90" s="3279"/>
      <c r="F90" s="3279"/>
      <c r="G90" s="3279"/>
      <c r="H90" s="3279"/>
      <c r="I90" s="3279"/>
      <c r="J90" s="3279"/>
      <c r="K90" s="3279"/>
      <c r="L90" s="3279"/>
      <c r="M90" s="3279"/>
      <c r="N90" s="3081"/>
      <c r="O90" s="3081"/>
      <c r="P90" s="3081"/>
      <c r="Q90" s="3279"/>
      <c r="R90" s="3279"/>
      <c r="S90" s="3279"/>
      <c r="T90" s="3279"/>
      <c r="U90" s="3279"/>
      <c r="V90" s="3279"/>
      <c r="W90" s="3279"/>
    </row>
    <row r="91" spans="2:23">
      <c r="B91" s="3279"/>
      <c r="C91" s="3279"/>
      <c r="D91" s="3279"/>
      <c r="E91" s="3279"/>
      <c r="F91" s="3279"/>
      <c r="G91" s="3279"/>
      <c r="H91" s="3279"/>
      <c r="I91" s="3279"/>
      <c r="J91" s="3279"/>
      <c r="K91" s="3279"/>
      <c r="L91" s="3279"/>
      <c r="M91" s="3279"/>
      <c r="N91" s="3081"/>
      <c r="O91" s="3081"/>
      <c r="P91" s="3081"/>
      <c r="Q91" s="3279"/>
      <c r="R91" s="3279"/>
      <c r="S91" s="3279"/>
      <c r="T91" s="3279"/>
      <c r="U91" s="3279"/>
      <c r="V91" s="3279"/>
      <c r="W91" s="3279"/>
    </row>
    <row r="92" spans="2:23">
      <c r="B92" s="3279"/>
      <c r="C92" s="3279"/>
      <c r="D92" s="3279"/>
      <c r="E92" s="3279"/>
      <c r="F92" s="3279"/>
      <c r="G92" s="3279"/>
      <c r="H92" s="3279"/>
      <c r="I92" s="3279"/>
      <c r="J92" s="3279"/>
      <c r="K92" s="3279"/>
      <c r="L92" s="3279"/>
      <c r="M92" s="3279"/>
      <c r="N92" s="3081"/>
      <c r="O92" s="3081"/>
      <c r="P92" s="3081"/>
      <c r="Q92" s="3279"/>
      <c r="R92" s="3279"/>
      <c r="S92" s="3279"/>
      <c r="T92" s="3279"/>
      <c r="U92" s="3279"/>
      <c r="V92" s="3279"/>
      <c r="W92" s="3279"/>
    </row>
    <row r="93" spans="2:23">
      <c r="B93" s="3279"/>
      <c r="C93" s="3279"/>
      <c r="D93" s="3279"/>
      <c r="E93" s="3279"/>
      <c r="F93" s="3279"/>
      <c r="G93" s="3279"/>
      <c r="H93" s="3279"/>
      <c r="I93" s="3279"/>
      <c r="J93" s="3279"/>
      <c r="K93" s="3279"/>
      <c r="L93" s="3279"/>
      <c r="M93" s="3279"/>
      <c r="N93" s="3081"/>
      <c r="O93" s="3081"/>
      <c r="P93" s="3081"/>
      <c r="Q93" s="3279"/>
      <c r="R93" s="3279"/>
      <c r="S93" s="3279"/>
      <c r="T93" s="3279"/>
      <c r="U93" s="3279"/>
      <c r="V93" s="3279"/>
      <c r="W93" s="3279"/>
    </row>
    <row r="94" spans="2:23">
      <c r="B94" s="3279"/>
      <c r="C94" s="3279"/>
      <c r="D94" s="3279"/>
      <c r="E94" s="3279"/>
      <c r="F94" s="3279"/>
      <c r="G94" s="3279"/>
      <c r="H94" s="3279"/>
      <c r="I94" s="3279"/>
      <c r="J94" s="3279"/>
      <c r="K94" s="3279"/>
      <c r="L94" s="3279"/>
      <c r="M94" s="3279"/>
      <c r="N94" s="3081"/>
      <c r="O94" s="3081"/>
      <c r="P94" s="3081"/>
      <c r="Q94" s="3279"/>
      <c r="R94" s="3279"/>
      <c r="S94" s="3279"/>
      <c r="T94" s="3279"/>
      <c r="U94" s="3279"/>
      <c r="V94" s="3279"/>
      <c r="W94" s="3279"/>
    </row>
    <row r="95" spans="2:23">
      <c r="B95" s="3279"/>
      <c r="C95" s="3279"/>
      <c r="D95" s="3279"/>
      <c r="E95" s="3279"/>
      <c r="F95" s="3279"/>
      <c r="G95" s="3279"/>
      <c r="H95" s="3279"/>
      <c r="I95" s="3279"/>
      <c r="J95" s="3279"/>
      <c r="K95" s="3279"/>
      <c r="L95" s="3279"/>
      <c r="M95" s="3279"/>
      <c r="N95" s="3081"/>
      <c r="O95" s="3081"/>
      <c r="P95" s="3081"/>
      <c r="Q95" s="3279"/>
      <c r="R95" s="3279"/>
      <c r="S95" s="3279"/>
      <c r="T95" s="3279"/>
      <c r="U95" s="3279"/>
      <c r="V95" s="3279"/>
      <c r="W95" s="3279"/>
    </row>
    <row r="96" spans="2:23">
      <c r="B96" s="3279"/>
      <c r="C96" s="3279"/>
      <c r="D96" s="3279"/>
      <c r="E96" s="3279"/>
      <c r="F96" s="3279"/>
      <c r="G96" s="3279"/>
      <c r="H96" s="3279"/>
      <c r="I96" s="3279"/>
      <c r="J96" s="3279"/>
      <c r="K96" s="3279"/>
      <c r="L96" s="3279"/>
      <c r="M96" s="3279"/>
      <c r="N96" s="3081"/>
      <c r="O96" s="3081"/>
      <c r="P96" s="3081"/>
      <c r="Q96" s="3279"/>
      <c r="R96" s="3279"/>
      <c r="S96" s="3279"/>
      <c r="T96" s="3279"/>
      <c r="U96" s="3279"/>
      <c r="V96" s="3279"/>
      <c r="W96" s="3279"/>
    </row>
    <row r="97" spans="2:23">
      <c r="B97" s="3279"/>
      <c r="C97" s="3279"/>
      <c r="D97" s="3279"/>
      <c r="E97" s="3279"/>
      <c r="F97" s="3279"/>
      <c r="G97" s="3279"/>
      <c r="H97" s="3279"/>
      <c r="I97" s="3279"/>
      <c r="J97" s="3279"/>
      <c r="K97" s="3279"/>
      <c r="L97" s="3279"/>
      <c r="M97" s="3279"/>
      <c r="N97" s="3081"/>
      <c r="O97" s="3081"/>
      <c r="P97" s="3081"/>
      <c r="Q97" s="3279"/>
      <c r="R97" s="3279"/>
      <c r="S97" s="3279"/>
      <c r="T97" s="3279"/>
      <c r="U97" s="3279"/>
      <c r="V97" s="3279"/>
      <c r="W97" s="3279"/>
    </row>
    <row r="98" spans="2:23">
      <c r="B98" s="3279"/>
      <c r="C98" s="3279"/>
      <c r="D98" s="3279"/>
      <c r="E98" s="3279"/>
      <c r="F98" s="3279"/>
      <c r="G98" s="3279"/>
      <c r="H98" s="3279"/>
      <c r="I98" s="3279"/>
      <c r="J98" s="3279"/>
      <c r="K98" s="3279"/>
      <c r="L98" s="3279"/>
      <c r="M98" s="3279"/>
      <c r="N98" s="3081"/>
      <c r="O98" s="3081"/>
      <c r="P98" s="3081"/>
      <c r="Q98" s="3279"/>
      <c r="R98" s="3279"/>
      <c r="S98" s="3279"/>
      <c r="T98" s="3279"/>
      <c r="U98" s="3279"/>
      <c r="V98" s="3279"/>
      <c r="W98" s="3279"/>
    </row>
    <row r="99" spans="2:23">
      <c r="B99" s="3279"/>
      <c r="C99" s="3279"/>
      <c r="D99" s="3279"/>
      <c r="E99" s="3279"/>
      <c r="F99" s="3279"/>
      <c r="G99" s="3279"/>
      <c r="H99" s="3279"/>
      <c r="I99" s="3279"/>
      <c r="J99" s="3279"/>
      <c r="K99" s="3279"/>
      <c r="L99" s="3279"/>
      <c r="M99" s="3279"/>
      <c r="N99" s="3081"/>
      <c r="O99" s="3081"/>
      <c r="P99" s="3081"/>
      <c r="Q99" s="3279"/>
      <c r="R99" s="3279"/>
      <c r="S99" s="3279"/>
      <c r="T99" s="3279"/>
      <c r="U99" s="3279"/>
      <c r="V99" s="3279"/>
      <c r="W99" s="3279"/>
    </row>
    <row r="100" spans="2:23">
      <c r="B100" s="3279"/>
      <c r="C100" s="3279"/>
      <c r="D100" s="3279"/>
      <c r="E100" s="3279"/>
      <c r="F100" s="3279"/>
      <c r="G100" s="3279"/>
      <c r="H100" s="3279"/>
      <c r="I100" s="3279"/>
      <c r="J100" s="3279"/>
      <c r="K100" s="3279"/>
      <c r="L100" s="3279"/>
      <c r="M100" s="3279"/>
      <c r="N100" s="3081"/>
      <c r="O100" s="3081"/>
      <c r="P100" s="3081"/>
      <c r="Q100" s="3279"/>
      <c r="R100" s="3279"/>
      <c r="S100" s="3279"/>
      <c r="T100" s="3279"/>
      <c r="U100" s="3279"/>
      <c r="V100" s="3279"/>
      <c r="W100" s="3279"/>
    </row>
    <row r="101" spans="2:23">
      <c r="B101" s="3279"/>
      <c r="C101" s="3279"/>
      <c r="D101" s="3279"/>
      <c r="E101" s="3279"/>
      <c r="F101" s="3279"/>
      <c r="G101" s="3279"/>
      <c r="H101" s="3279"/>
      <c r="I101" s="3279"/>
      <c r="J101" s="3279"/>
      <c r="K101" s="3279"/>
      <c r="L101" s="3279"/>
      <c r="M101" s="3279"/>
      <c r="N101" s="3081"/>
      <c r="O101" s="3081"/>
      <c r="P101" s="3081"/>
      <c r="Q101" s="3279"/>
      <c r="R101" s="3279"/>
      <c r="S101" s="3279"/>
      <c r="T101" s="3279"/>
      <c r="U101" s="3279"/>
      <c r="V101" s="3279"/>
      <c r="W101" s="3279"/>
    </row>
    <row r="102" spans="2:23">
      <c r="B102" s="3279"/>
      <c r="C102" s="3279"/>
      <c r="D102" s="3279"/>
      <c r="E102" s="3279"/>
      <c r="F102" s="3279"/>
      <c r="G102" s="3279"/>
      <c r="H102" s="3279"/>
      <c r="I102" s="3279"/>
      <c r="J102" s="3279"/>
      <c r="K102" s="3279"/>
      <c r="L102" s="3279"/>
      <c r="M102" s="3279"/>
      <c r="N102" s="3081"/>
      <c r="O102" s="3081"/>
      <c r="P102" s="3081"/>
      <c r="Q102" s="3279"/>
      <c r="R102" s="3279"/>
      <c r="S102" s="3279"/>
      <c r="T102" s="3279"/>
      <c r="U102" s="3279"/>
      <c r="V102" s="3279"/>
      <c r="W102" s="3279"/>
    </row>
    <row r="103" spans="2:23">
      <c r="B103" s="3279"/>
      <c r="C103" s="3279"/>
      <c r="D103" s="3279"/>
      <c r="E103" s="3279"/>
      <c r="F103" s="3279"/>
      <c r="G103" s="3279"/>
      <c r="H103" s="3279"/>
      <c r="I103" s="3279"/>
      <c r="J103" s="3279"/>
      <c r="K103" s="3279"/>
      <c r="L103" s="3279"/>
      <c r="M103" s="3279"/>
      <c r="N103" s="3081"/>
      <c r="O103" s="3081"/>
      <c r="P103" s="3081"/>
      <c r="Q103" s="3279"/>
      <c r="R103" s="3279"/>
      <c r="S103" s="3279"/>
      <c r="T103" s="3279"/>
      <c r="U103" s="3279"/>
      <c r="V103" s="3279"/>
      <c r="W103" s="3279"/>
    </row>
    <row r="104" spans="2:23">
      <c r="B104" s="3279"/>
      <c r="C104" s="3279"/>
      <c r="D104" s="3279"/>
      <c r="E104" s="3279"/>
      <c r="F104" s="3279"/>
      <c r="G104" s="3279"/>
      <c r="H104" s="3279"/>
      <c r="I104" s="3279"/>
      <c r="J104" s="3279"/>
      <c r="K104" s="3279"/>
      <c r="L104" s="3279"/>
      <c r="M104" s="3279"/>
      <c r="N104" s="3081"/>
      <c r="O104" s="3081"/>
      <c r="P104" s="3081"/>
      <c r="Q104" s="3279"/>
      <c r="R104" s="3279"/>
      <c r="S104" s="3279"/>
      <c r="T104" s="3279"/>
      <c r="U104" s="3279"/>
      <c r="V104" s="3279"/>
      <c r="W104" s="3279"/>
    </row>
    <row r="105" spans="2:23">
      <c r="B105" s="3279"/>
      <c r="W105" s="3279"/>
    </row>
    <row r="106" spans="2:23">
      <c r="B106" s="3279"/>
      <c r="W106" s="3279"/>
    </row>
    <row r="107" spans="2:23">
      <c r="B107" s="3279"/>
      <c r="W107" s="3279"/>
    </row>
    <row r="108" spans="2:23">
      <c r="B108" s="3279"/>
      <c r="W108" s="3279"/>
    </row>
    <row r="109" spans="2:23">
      <c r="B109" s="3279"/>
      <c r="W109" s="3279"/>
    </row>
    <row r="110" spans="2:23">
      <c r="B110" s="3279"/>
      <c r="W110" s="3279"/>
    </row>
    <row r="111" spans="2:23">
      <c r="B111" s="3279"/>
      <c r="W111" s="3279"/>
    </row>
    <row r="112" spans="2:23">
      <c r="B112" s="3279"/>
      <c r="W112" s="3279"/>
    </row>
  </sheetData>
  <mergeCells count="47">
    <mergeCell ref="G3:T3"/>
    <mergeCell ref="G4:T4"/>
    <mergeCell ref="G5:T5"/>
    <mergeCell ref="G6:T6"/>
    <mergeCell ref="G7:T7"/>
    <mergeCell ref="E23:G23"/>
    <mergeCell ref="E24:G24"/>
    <mergeCell ref="E25:G25"/>
    <mergeCell ref="L23:N23"/>
    <mergeCell ref="L24:N24"/>
    <mergeCell ref="L25:N25"/>
    <mergeCell ref="L62:O62"/>
    <mergeCell ref="I57:K57"/>
    <mergeCell ref="L57:O57"/>
    <mergeCell ref="L58:O58"/>
    <mergeCell ref="L59:O59"/>
    <mergeCell ref="L60:O60"/>
    <mergeCell ref="L61:O61"/>
    <mergeCell ref="G45:I45"/>
    <mergeCell ref="F35:I35"/>
    <mergeCell ref="K35:O35"/>
    <mergeCell ref="F36:I36"/>
    <mergeCell ref="K36:O36"/>
    <mergeCell ref="F37:I37"/>
    <mergeCell ref="K37:O37"/>
    <mergeCell ref="G38:I38"/>
    <mergeCell ref="G39:I39"/>
    <mergeCell ref="G40:I40"/>
    <mergeCell ref="G42:I42"/>
    <mergeCell ref="G43:I43"/>
    <mergeCell ref="F34:I34"/>
    <mergeCell ref="F27:I27"/>
    <mergeCell ref="F28:I28"/>
    <mergeCell ref="F29:I29"/>
    <mergeCell ref="F30:I30"/>
    <mergeCell ref="F31:I31"/>
    <mergeCell ref="F32:I32"/>
    <mergeCell ref="F33:I33"/>
    <mergeCell ref="D9:T9"/>
    <mergeCell ref="D10:T10"/>
    <mergeCell ref="E22:G22"/>
    <mergeCell ref="L22:N22"/>
    <mergeCell ref="Q13:T13"/>
    <mergeCell ref="Q14:T14"/>
    <mergeCell ref="Q15:T15"/>
    <mergeCell ref="Q16:T16"/>
    <mergeCell ref="Q17:T17"/>
  </mergeCells>
  <pageMargins left="0.19685039370078741" right="0.19685039370078741" top="0.19685039370078741" bottom="0.19685039370078741" header="0.11811023622047245" footer="0.11811023622047245"/>
  <pageSetup paperSize="9" scale="82" fitToHeight="0" orientation="portrait" r:id="rId1"/>
  <headerFooter scaleWithDoc="0">
    <oddFooter>&amp;R&amp;"Aptos,Regular"&amp;8Page &amp;P of &amp;N</oddFooter>
  </headerFooter>
  <colBreaks count="1" manualBreakCount="1">
    <brk id="56" max="1048575" man="1"/>
  </colBreaks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B7BF6-674B-4243-8378-F709D061CCB2}">
  <sheetPr>
    <tabColor theme="6" tint="-0.499984740745262"/>
    <pageSetUpPr fitToPage="1"/>
  </sheetPr>
  <dimension ref="B2:AB69"/>
  <sheetViews>
    <sheetView showGridLines="0" view="pageBreakPreview" topLeftCell="A4" zoomScaleNormal="90" zoomScaleSheetLayoutView="100" workbookViewId="0">
      <selection activeCell="C13" sqref="C13"/>
    </sheetView>
  </sheetViews>
  <sheetFormatPr defaultColWidth="7" defaultRowHeight="13.5"/>
  <cols>
    <col min="1" max="1" width="7" style="3279"/>
    <col min="2" max="2" width="0.875" style="3279" customWidth="1"/>
    <col min="3" max="3" width="13.25" style="3279" customWidth="1"/>
    <col min="4" max="4" width="5" style="3279" customWidth="1"/>
    <col min="5" max="5" width="1.5" style="3279" customWidth="1"/>
    <col min="6" max="12" width="7.25" style="3279" customWidth="1"/>
    <col min="13" max="15" width="7.25" style="3081" customWidth="1"/>
    <col min="16" max="16" width="8.5" style="3279" customWidth="1"/>
    <col min="17" max="17" width="1.625" style="3279" customWidth="1"/>
    <col min="18" max="18" width="8" style="3279" customWidth="1"/>
    <col min="19" max="20" width="7.25" style="3279" customWidth="1"/>
    <col min="21" max="21" width="0.875" style="3279" customWidth="1"/>
    <col min="22" max="23" width="7" style="3279"/>
    <col min="24" max="24" width="8.875" style="3279" bestFit="1" customWidth="1"/>
    <col min="25" max="25" width="8.125" style="3279" bestFit="1" customWidth="1"/>
    <col min="26" max="26" width="8.125" style="3279" customWidth="1"/>
    <col min="27" max="31" width="7" style="3279"/>
    <col min="32" max="32" width="28.875" style="3279" bestFit="1" customWidth="1"/>
    <col min="33" max="210" width="7" style="3279"/>
    <col min="211" max="211" width="1.25" style="3279" customWidth="1"/>
    <col min="212" max="213" width="7.875" style="3279" customWidth="1"/>
    <col min="214" max="214" width="1" style="3279" customWidth="1"/>
    <col min="215" max="215" width="9.75" style="3279" customWidth="1"/>
    <col min="216" max="216" width="1" style="3279" customWidth="1"/>
    <col min="217" max="221" width="7.875" style="3279" customWidth="1"/>
    <col min="222" max="222" width="13.875" style="3279" customWidth="1"/>
    <col min="223" max="223" width="13.5" style="3279" customWidth="1"/>
    <col min="224" max="224" width="6.75" style="3279" customWidth="1"/>
    <col min="225" max="225" width="8.875" style="3279" customWidth="1"/>
    <col min="226" max="227" width="7.875" style="3279" customWidth="1"/>
    <col min="228" max="228" width="1.25" style="3279" customWidth="1"/>
    <col min="229" max="229" width="7.875" style="3279" customWidth="1"/>
    <col min="230" max="230" width="9.5" style="3279" bestFit="1" customWidth="1"/>
    <col min="231" max="231" width="9.125" style="3279" bestFit="1" customWidth="1"/>
    <col min="232" max="232" width="9.5" style="3279" customWidth="1"/>
    <col min="233" max="233" width="9.125" style="3279" customWidth="1"/>
    <col min="234" max="234" width="9.5" style="3279" customWidth="1"/>
    <col min="235" max="235" width="9.125" style="3279" customWidth="1"/>
    <col min="236" max="466" width="7" style="3279"/>
    <col min="467" max="467" width="1.25" style="3279" customWidth="1"/>
    <col min="468" max="469" width="7.875" style="3279" customWidth="1"/>
    <col min="470" max="470" width="1" style="3279" customWidth="1"/>
    <col min="471" max="471" width="9.75" style="3279" customWidth="1"/>
    <col min="472" max="472" width="1" style="3279" customWidth="1"/>
    <col min="473" max="477" width="7.875" style="3279" customWidth="1"/>
    <col min="478" max="478" width="13.875" style="3279" customWidth="1"/>
    <col min="479" max="479" width="13.5" style="3279" customWidth="1"/>
    <col min="480" max="480" width="6.75" style="3279" customWidth="1"/>
    <col min="481" max="481" width="8.875" style="3279" customWidth="1"/>
    <col min="482" max="483" width="7.875" style="3279" customWidth="1"/>
    <col min="484" max="484" width="1.25" style="3279" customWidth="1"/>
    <col min="485" max="485" width="7.875" style="3279" customWidth="1"/>
    <col min="486" max="486" width="9.5" style="3279" bestFit="1" customWidth="1"/>
    <col min="487" max="487" width="9.125" style="3279" bestFit="1" customWidth="1"/>
    <col min="488" max="488" width="9.5" style="3279" customWidth="1"/>
    <col min="489" max="489" width="9.125" style="3279" customWidth="1"/>
    <col min="490" max="490" width="9.5" style="3279" customWidth="1"/>
    <col min="491" max="491" width="9.125" style="3279" customWidth="1"/>
    <col min="492" max="722" width="7" style="3279"/>
    <col min="723" max="723" width="1.25" style="3279" customWidth="1"/>
    <col min="724" max="725" width="7.875" style="3279" customWidth="1"/>
    <col min="726" max="726" width="1" style="3279" customWidth="1"/>
    <col min="727" max="727" width="9.75" style="3279" customWidth="1"/>
    <col min="728" max="728" width="1" style="3279" customWidth="1"/>
    <col min="729" max="733" width="7.875" style="3279" customWidth="1"/>
    <col min="734" max="734" width="13.875" style="3279" customWidth="1"/>
    <col min="735" max="735" width="13.5" style="3279" customWidth="1"/>
    <col min="736" max="736" width="6.75" style="3279" customWidth="1"/>
    <col min="737" max="737" width="8.875" style="3279" customWidth="1"/>
    <col min="738" max="739" width="7.875" style="3279" customWidth="1"/>
    <col min="740" max="740" width="1.25" style="3279" customWidth="1"/>
    <col min="741" max="741" width="7.875" style="3279" customWidth="1"/>
    <col min="742" max="742" width="9.5" style="3279" bestFit="1" customWidth="1"/>
    <col min="743" max="743" width="9.125" style="3279" bestFit="1" customWidth="1"/>
    <col min="744" max="744" width="9.5" style="3279" customWidth="1"/>
    <col min="745" max="745" width="9.125" style="3279" customWidth="1"/>
    <col min="746" max="746" width="9.5" style="3279" customWidth="1"/>
    <col min="747" max="747" width="9.125" style="3279" customWidth="1"/>
    <col min="748" max="978" width="7" style="3279"/>
    <col min="979" max="979" width="1.25" style="3279" customWidth="1"/>
    <col min="980" max="981" width="7.875" style="3279" customWidth="1"/>
    <col min="982" max="982" width="1" style="3279" customWidth="1"/>
    <col min="983" max="983" width="9.75" style="3279" customWidth="1"/>
    <col min="984" max="984" width="1" style="3279" customWidth="1"/>
    <col min="985" max="989" width="7.875" style="3279" customWidth="1"/>
    <col min="990" max="990" width="13.875" style="3279" customWidth="1"/>
    <col min="991" max="991" width="13.5" style="3279" customWidth="1"/>
    <col min="992" max="992" width="6.75" style="3279" customWidth="1"/>
    <col min="993" max="993" width="8.875" style="3279" customWidth="1"/>
    <col min="994" max="995" width="7.875" style="3279" customWidth="1"/>
    <col min="996" max="996" width="1.25" style="3279" customWidth="1"/>
    <col min="997" max="997" width="7.875" style="3279" customWidth="1"/>
    <col min="998" max="998" width="9.5" style="3279" bestFit="1" customWidth="1"/>
    <col min="999" max="999" width="9.125" style="3279" bestFit="1" customWidth="1"/>
    <col min="1000" max="1000" width="9.5" style="3279" customWidth="1"/>
    <col min="1001" max="1001" width="9.125" style="3279" customWidth="1"/>
    <col min="1002" max="1002" width="9.5" style="3279" customWidth="1"/>
    <col min="1003" max="1003" width="9.125" style="3279" customWidth="1"/>
    <col min="1004" max="1234" width="7" style="3279"/>
    <col min="1235" max="1235" width="1.25" style="3279" customWidth="1"/>
    <col min="1236" max="1237" width="7.875" style="3279" customWidth="1"/>
    <col min="1238" max="1238" width="1" style="3279" customWidth="1"/>
    <col min="1239" max="1239" width="9.75" style="3279" customWidth="1"/>
    <col min="1240" max="1240" width="1" style="3279" customWidth="1"/>
    <col min="1241" max="1245" width="7.875" style="3279" customWidth="1"/>
    <col min="1246" max="1246" width="13.875" style="3279" customWidth="1"/>
    <col min="1247" max="1247" width="13.5" style="3279" customWidth="1"/>
    <col min="1248" max="1248" width="6.75" style="3279" customWidth="1"/>
    <col min="1249" max="1249" width="8.875" style="3279" customWidth="1"/>
    <col min="1250" max="1251" width="7.875" style="3279" customWidth="1"/>
    <col min="1252" max="1252" width="1.25" style="3279" customWidth="1"/>
    <col min="1253" max="1253" width="7.875" style="3279" customWidth="1"/>
    <col min="1254" max="1254" width="9.5" style="3279" bestFit="1" customWidth="1"/>
    <col min="1255" max="1255" width="9.125" style="3279" bestFit="1" customWidth="1"/>
    <col min="1256" max="1256" width="9.5" style="3279" customWidth="1"/>
    <col min="1257" max="1257" width="9.125" style="3279" customWidth="1"/>
    <col min="1258" max="1258" width="9.5" style="3279" customWidth="1"/>
    <col min="1259" max="1259" width="9.125" style="3279" customWidth="1"/>
    <col min="1260" max="1490" width="7" style="3279"/>
    <col min="1491" max="1491" width="1.25" style="3279" customWidth="1"/>
    <col min="1492" max="1493" width="7.875" style="3279" customWidth="1"/>
    <col min="1494" max="1494" width="1" style="3279" customWidth="1"/>
    <col min="1495" max="1495" width="9.75" style="3279" customWidth="1"/>
    <col min="1496" max="1496" width="1" style="3279" customWidth="1"/>
    <col min="1497" max="1501" width="7.875" style="3279" customWidth="1"/>
    <col min="1502" max="1502" width="13.875" style="3279" customWidth="1"/>
    <col min="1503" max="1503" width="13.5" style="3279" customWidth="1"/>
    <col min="1504" max="1504" width="6.75" style="3279" customWidth="1"/>
    <col min="1505" max="1505" width="8.875" style="3279" customWidth="1"/>
    <col min="1506" max="1507" width="7.875" style="3279" customWidth="1"/>
    <col min="1508" max="1508" width="1.25" style="3279" customWidth="1"/>
    <col min="1509" max="1509" width="7.875" style="3279" customWidth="1"/>
    <col min="1510" max="1510" width="9.5" style="3279" bestFit="1" customWidth="1"/>
    <col min="1511" max="1511" width="9.125" style="3279" bestFit="1" customWidth="1"/>
    <col min="1512" max="1512" width="9.5" style="3279" customWidth="1"/>
    <col min="1513" max="1513" width="9.125" style="3279" customWidth="1"/>
    <col min="1514" max="1514" width="9.5" style="3279" customWidth="1"/>
    <col min="1515" max="1515" width="9.125" style="3279" customWidth="1"/>
    <col min="1516" max="1746" width="7" style="3279"/>
    <col min="1747" max="1747" width="1.25" style="3279" customWidth="1"/>
    <col min="1748" max="1749" width="7.875" style="3279" customWidth="1"/>
    <col min="1750" max="1750" width="1" style="3279" customWidth="1"/>
    <col min="1751" max="1751" width="9.75" style="3279" customWidth="1"/>
    <col min="1752" max="1752" width="1" style="3279" customWidth="1"/>
    <col min="1753" max="1757" width="7.875" style="3279" customWidth="1"/>
    <col min="1758" max="1758" width="13.875" style="3279" customWidth="1"/>
    <col min="1759" max="1759" width="13.5" style="3279" customWidth="1"/>
    <col min="1760" max="1760" width="6.75" style="3279" customWidth="1"/>
    <col min="1761" max="1761" width="8.875" style="3279" customWidth="1"/>
    <col min="1762" max="1763" width="7.875" style="3279" customWidth="1"/>
    <col min="1764" max="1764" width="1.25" style="3279" customWidth="1"/>
    <col min="1765" max="1765" width="7.875" style="3279" customWidth="1"/>
    <col min="1766" max="1766" width="9.5" style="3279" bestFit="1" customWidth="1"/>
    <col min="1767" max="1767" width="9.125" style="3279" bestFit="1" customWidth="1"/>
    <col min="1768" max="1768" width="9.5" style="3279" customWidth="1"/>
    <col min="1769" max="1769" width="9.125" style="3279" customWidth="1"/>
    <col min="1770" max="1770" width="9.5" style="3279" customWidth="1"/>
    <col min="1771" max="1771" width="9.125" style="3279" customWidth="1"/>
    <col min="1772" max="2002" width="7" style="3279"/>
    <col min="2003" max="2003" width="1.25" style="3279" customWidth="1"/>
    <col min="2004" max="2005" width="7.875" style="3279" customWidth="1"/>
    <col min="2006" max="2006" width="1" style="3279" customWidth="1"/>
    <col min="2007" max="2007" width="9.75" style="3279" customWidth="1"/>
    <col min="2008" max="2008" width="1" style="3279" customWidth="1"/>
    <col min="2009" max="2013" width="7.875" style="3279" customWidth="1"/>
    <col min="2014" max="2014" width="13.875" style="3279" customWidth="1"/>
    <col min="2015" max="2015" width="13.5" style="3279" customWidth="1"/>
    <col min="2016" max="2016" width="6.75" style="3279" customWidth="1"/>
    <col min="2017" max="2017" width="8.875" style="3279" customWidth="1"/>
    <col min="2018" max="2019" width="7.875" style="3279" customWidth="1"/>
    <col min="2020" max="2020" width="1.25" style="3279" customWidth="1"/>
    <col min="2021" max="2021" width="7.875" style="3279" customWidth="1"/>
    <col min="2022" max="2022" width="9.5" style="3279" bestFit="1" customWidth="1"/>
    <col min="2023" max="2023" width="9.125" style="3279" bestFit="1" customWidth="1"/>
    <col min="2024" max="2024" width="9.5" style="3279" customWidth="1"/>
    <col min="2025" max="2025" width="9.125" style="3279" customWidth="1"/>
    <col min="2026" max="2026" width="9.5" style="3279" customWidth="1"/>
    <col min="2027" max="2027" width="9.125" style="3279" customWidth="1"/>
    <col min="2028" max="2258" width="7" style="3279"/>
    <col min="2259" max="2259" width="1.25" style="3279" customWidth="1"/>
    <col min="2260" max="2261" width="7.875" style="3279" customWidth="1"/>
    <col min="2262" max="2262" width="1" style="3279" customWidth="1"/>
    <col min="2263" max="2263" width="9.75" style="3279" customWidth="1"/>
    <col min="2264" max="2264" width="1" style="3279" customWidth="1"/>
    <col min="2265" max="2269" width="7.875" style="3279" customWidth="1"/>
    <col min="2270" max="2270" width="13.875" style="3279" customWidth="1"/>
    <col min="2271" max="2271" width="13.5" style="3279" customWidth="1"/>
    <col min="2272" max="2272" width="6.75" style="3279" customWidth="1"/>
    <col min="2273" max="2273" width="8.875" style="3279" customWidth="1"/>
    <col min="2274" max="2275" width="7.875" style="3279" customWidth="1"/>
    <col min="2276" max="2276" width="1.25" style="3279" customWidth="1"/>
    <col min="2277" max="2277" width="7.875" style="3279" customWidth="1"/>
    <col min="2278" max="2278" width="9.5" style="3279" bestFit="1" customWidth="1"/>
    <col min="2279" max="2279" width="9.125" style="3279" bestFit="1" customWidth="1"/>
    <col min="2280" max="2280" width="9.5" style="3279" customWidth="1"/>
    <col min="2281" max="2281" width="9.125" style="3279" customWidth="1"/>
    <col min="2282" max="2282" width="9.5" style="3279" customWidth="1"/>
    <col min="2283" max="2283" width="9.125" style="3279" customWidth="1"/>
    <col min="2284" max="2514" width="7" style="3279"/>
    <col min="2515" max="2515" width="1.25" style="3279" customWidth="1"/>
    <col min="2516" max="2517" width="7.875" style="3279" customWidth="1"/>
    <col min="2518" max="2518" width="1" style="3279" customWidth="1"/>
    <col min="2519" max="2519" width="9.75" style="3279" customWidth="1"/>
    <col min="2520" max="2520" width="1" style="3279" customWidth="1"/>
    <col min="2521" max="2525" width="7.875" style="3279" customWidth="1"/>
    <col min="2526" max="2526" width="13.875" style="3279" customWidth="1"/>
    <col min="2527" max="2527" width="13.5" style="3279" customWidth="1"/>
    <col min="2528" max="2528" width="6.75" style="3279" customWidth="1"/>
    <col min="2529" max="2529" width="8.875" style="3279" customWidth="1"/>
    <col min="2530" max="2531" width="7.875" style="3279" customWidth="1"/>
    <col min="2532" max="2532" width="1.25" style="3279" customWidth="1"/>
    <col min="2533" max="2533" width="7.875" style="3279" customWidth="1"/>
    <col min="2534" max="2534" width="9.5" style="3279" bestFit="1" customWidth="1"/>
    <col min="2535" max="2535" width="9.125" style="3279" bestFit="1" customWidth="1"/>
    <col min="2536" max="2536" width="9.5" style="3279" customWidth="1"/>
    <col min="2537" max="2537" width="9.125" style="3279" customWidth="1"/>
    <col min="2538" max="2538" width="9.5" style="3279" customWidth="1"/>
    <col min="2539" max="2539" width="9.125" style="3279" customWidth="1"/>
    <col min="2540" max="2770" width="7" style="3279"/>
    <col min="2771" max="2771" width="1.25" style="3279" customWidth="1"/>
    <col min="2772" max="2773" width="7.875" style="3279" customWidth="1"/>
    <col min="2774" max="2774" width="1" style="3279" customWidth="1"/>
    <col min="2775" max="2775" width="9.75" style="3279" customWidth="1"/>
    <col min="2776" max="2776" width="1" style="3279" customWidth="1"/>
    <col min="2777" max="2781" width="7.875" style="3279" customWidth="1"/>
    <col min="2782" max="2782" width="13.875" style="3279" customWidth="1"/>
    <col min="2783" max="2783" width="13.5" style="3279" customWidth="1"/>
    <col min="2784" max="2784" width="6.75" style="3279" customWidth="1"/>
    <col min="2785" max="2785" width="8.875" style="3279" customWidth="1"/>
    <col min="2786" max="2787" width="7.875" style="3279" customWidth="1"/>
    <col min="2788" max="2788" width="1.25" style="3279" customWidth="1"/>
    <col min="2789" max="2789" width="7.875" style="3279" customWidth="1"/>
    <col min="2790" max="2790" width="9.5" style="3279" bestFit="1" customWidth="1"/>
    <col min="2791" max="2791" width="9.125" style="3279" bestFit="1" customWidth="1"/>
    <col min="2792" max="2792" width="9.5" style="3279" customWidth="1"/>
    <col min="2793" max="2793" width="9.125" style="3279" customWidth="1"/>
    <col min="2794" max="2794" width="9.5" style="3279" customWidth="1"/>
    <col min="2795" max="2795" width="9.125" style="3279" customWidth="1"/>
    <col min="2796" max="3026" width="7" style="3279"/>
    <col min="3027" max="3027" width="1.25" style="3279" customWidth="1"/>
    <col min="3028" max="3029" width="7.875" style="3279" customWidth="1"/>
    <col min="3030" max="3030" width="1" style="3279" customWidth="1"/>
    <col min="3031" max="3031" width="9.75" style="3279" customWidth="1"/>
    <col min="3032" max="3032" width="1" style="3279" customWidth="1"/>
    <col min="3033" max="3037" width="7.875" style="3279" customWidth="1"/>
    <col min="3038" max="3038" width="13.875" style="3279" customWidth="1"/>
    <col min="3039" max="3039" width="13.5" style="3279" customWidth="1"/>
    <col min="3040" max="3040" width="6.75" style="3279" customWidth="1"/>
    <col min="3041" max="3041" width="8.875" style="3279" customWidth="1"/>
    <col min="3042" max="3043" width="7.875" style="3279" customWidth="1"/>
    <col min="3044" max="3044" width="1.25" style="3279" customWidth="1"/>
    <col min="3045" max="3045" width="7.875" style="3279" customWidth="1"/>
    <col min="3046" max="3046" width="9.5" style="3279" bestFit="1" customWidth="1"/>
    <col min="3047" max="3047" width="9.125" style="3279" bestFit="1" customWidth="1"/>
    <col min="3048" max="3048" width="9.5" style="3279" customWidth="1"/>
    <col min="3049" max="3049" width="9.125" style="3279" customWidth="1"/>
    <col min="3050" max="3050" width="9.5" style="3279" customWidth="1"/>
    <col min="3051" max="3051" width="9.125" style="3279" customWidth="1"/>
    <col min="3052" max="3282" width="7" style="3279"/>
    <col min="3283" max="3283" width="1.25" style="3279" customWidth="1"/>
    <col min="3284" max="3285" width="7.875" style="3279" customWidth="1"/>
    <col min="3286" max="3286" width="1" style="3279" customWidth="1"/>
    <col min="3287" max="3287" width="9.75" style="3279" customWidth="1"/>
    <col min="3288" max="3288" width="1" style="3279" customWidth="1"/>
    <col min="3289" max="3293" width="7.875" style="3279" customWidth="1"/>
    <col min="3294" max="3294" width="13.875" style="3279" customWidth="1"/>
    <col min="3295" max="3295" width="13.5" style="3279" customWidth="1"/>
    <col min="3296" max="3296" width="6.75" style="3279" customWidth="1"/>
    <col min="3297" max="3297" width="8.875" style="3279" customWidth="1"/>
    <col min="3298" max="3299" width="7.875" style="3279" customWidth="1"/>
    <col min="3300" max="3300" width="1.25" style="3279" customWidth="1"/>
    <col min="3301" max="3301" width="7.875" style="3279" customWidth="1"/>
    <col min="3302" max="3302" width="9.5" style="3279" bestFit="1" customWidth="1"/>
    <col min="3303" max="3303" width="9.125" style="3279" bestFit="1" customWidth="1"/>
    <col min="3304" max="3304" width="9.5" style="3279" customWidth="1"/>
    <col min="3305" max="3305" width="9.125" style="3279" customWidth="1"/>
    <col min="3306" max="3306" width="9.5" style="3279" customWidth="1"/>
    <col min="3307" max="3307" width="9.125" style="3279" customWidth="1"/>
    <col min="3308" max="3538" width="7" style="3279"/>
    <col min="3539" max="3539" width="1.25" style="3279" customWidth="1"/>
    <col min="3540" max="3541" width="7.875" style="3279" customWidth="1"/>
    <col min="3542" max="3542" width="1" style="3279" customWidth="1"/>
    <col min="3543" max="3543" width="9.75" style="3279" customWidth="1"/>
    <col min="3544" max="3544" width="1" style="3279" customWidth="1"/>
    <col min="3545" max="3549" width="7.875" style="3279" customWidth="1"/>
    <col min="3550" max="3550" width="13.875" style="3279" customWidth="1"/>
    <col min="3551" max="3551" width="13.5" style="3279" customWidth="1"/>
    <col min="3552" max="3552" width="6.75" style="3279" customWidth="1"/>
    <col min="3553" max="3553" width="8.875" style="3279" customWidth="1"/>
    <col min="3554" max="3555" width="7.875" style="3279" customWidth="1"/>
    <col min="3556" max="3556" width="1.25" style="3279" customWidth="1"/>
    <col min="3557" max="3557" width="7.875" style="3279" customWidth="1"/>
    <col min="3558" max="3558" width="9.5" style="3279" bestFit="1" customWidth="1"/>
    <col min="3559" max="3559" width="9.125" style="3279" bestFit="1" customWidth="1"/>
    <col min="3560" max="3560" width="9.5" style="3279" customWidth="1"/>
    <col min="3561" max="3561" width="9.125" style="3279" customWidth="1"/>
    <col min="3562" max="3562" width="9.5" style="3279" customWidth="1"/>
    <col min="3563" max="3563" width="9.125" style="3279" customWidth="1"/>
    <col min="3564" max="3794" width="7" style="3279"/>
    <col min="3795" max="3795" width="1.25" style="3279" customWidth="1"/>
    <col min="3796" max="3797" width="7.875" style="3279" customWidth="1"/>
    <col min="3798" max="3798" width="1" style="3279" customWidth="1"/>
    <col min="3799" max="3799" width="9.75" style="3279" customWidth="1"/>
    <col min="3800" max="3800" width="1" style="3279" customWidth="1"/>
    <col min="3801" max="3805" width="7.875" style="3279" customWidth="1"/>
    <col min="3806" max="3806" width="13.875" style="3279" customWidth="1"/>
    <col min="3807" max="3807" width="13.5" style="3279" customWidth="1"/>
    <col min="3808" max="3808" width="6.75" style="3279" customWidth="1"/>
    <col min="3809" max="3809" width="8.875" style="3279" customWidth="1"/>
    <col min="3810" max="3811" width="7.875" style="3279" customWidth="1"/>
    <col min="3812" max="3812" width="1.25" style="3279" customWidth="1"/>
    <col min="3813" max="3813" width="7.875" style="3279" customWidth="1"/>
    <col min="3814" max="3814" width="9.5" style="3279" bestFit="1" customWidth="1"/>
    <col min="3815" max="3815" width="9.125" style="3279" bestFit="1" customWidth="1"/>
    <col min="3816" max="3816" width="9.5" style="3279" customWidth="1"/>
    <col min="3817" max="3817" width="9.125" style="3279" customWidth="1"/>
    <col min="3818" max="3818" width="9.5" style="3279" customWidth="1"/>
    <col min="3819" max="3819" width="9.125" style="3279" customWidth="1"/>
    <col min="3820" max="4050" width="7" style="3279"/>
    <col min="4051" max="4051" width="1.25" style="3279" customWidth="1"/>
    <col min="4052" max="4053" width="7.875" style="3279" customWidth="1"/>
    <col min="4054" max="4054" width="1" style="3279" customWidth="1"/>
    <col min="4055" max="4055" width="9.75" style="3279" customWidth="1"/>
    <col min="4056" max="4056" width="1" style="3279" customWidth="1"/>
    <col min="4057" max="4061" width="7.875" style="3279" customWidth="1"/>
    <col min="4062" max="4062" width="13.875" style="3279" customWidth="1"/>
    <col min="4063" max="4063" width="13.5" style="3279" customWidth="1"/>
    <col min="4064" max="4064" width="6.75" style="3279" customWidth="1"/>
    <col min="4065" max="4065" width="8.875" style="3279" customWidth="1"/>
    <col min="4066" max="4067" width="7.875" style="3279" customWidth="1"/>
    <col min="4068" max="4068" width="1.25" style="3279" customWidth="1"/>
    <col min="4069" max="4069" width="7.875" style="3279" customWidth="1"/>
    <col min="4070" max="4070" width="9.5" style="3279" bestFit="1" customWidth="1"/>
    <col min="4071" max="4071" width="9.125" style="3279" bestFit="1" customWidth="1"/>
    <col min="4072" max="4072" width="9.5" style="3279" customWidth="1"/>
    <col min="4073" max="4073" width="9.125" style="3279" customWidth="1"/>
    <col min="4074" max="4074" width="9.5" style="3279" customWidth="1"/>
    <col min="4075" max="4075" width="9.125" style="3279" customWidth="1"/>
    <col min="4076" max="4306" width="7" style="3279"/>
    <col min="4307" max="4307" width="1.25" style="3279" customWidth="1"/>
    <col min="4308" max="4309" width="7.875" style="3279" customWidth="1"/>
    <col min="4310" max="4310" width="1" style="3279" customWidth="1"/>
    <col min="4311" max="4311" width="9.75" style="3279" customWidth="1"/>
    <col min="4312" max="4312" width="1" style="3279" customWidth="1"/>
    <col min="4313" max="4317" width="7.875" style="3279" customWidth="1"/>
    <col min="4318" max="4318" width="13.875" style="3279" customWidth="1"/>
    <col min="4319" max="4319" width="13.5" style="3279" customWidth="1"/>
    <col min="4320" max="4320" width="6.75" style="3279" customWidth="1"/>
    <col min="4321" max="4321" width="8.875" style="3279" customWidth="1"/>
    <col min="4322" max="4323" width="7.875" style="3279" customWidth="1"/>
    <col min="4324" max="4324" width="1.25" style="3279" customWidth="1"/>
    <col min="4325" max="4325" width="7.875" style="3279" customWidth="1"/>
    <col min="4326" max="4326" width="9.5" style="3279" bestFit="1" customWidth="1"/>
    <col min="4327" max="4327" width="9.125" style="3279" bestFit="1" customWidth="1"/>
    <col min="4328" max="4328" width="9.5" style="3279" customWidth="1"/>
    <col min="4329" max="4329" width="9.125" style="3279" customWidth="1"/>
    <col min="4330" max="4330" width="9.5" style="3279" customWidth="1"/>
    <col min="4331" max="4331" width="9.125" style="3279" customWidth="1"/>
    <col min="4332" max="4562" width="7" style="3279"/>
    <col min="4563" max="4563" width="1.25" style="3279" customWidth="1"/>
    <col min="4564" max="4565" width="7.875" style="3279" customWidth="1"/>
    <col min="4566" max="4566" width="1" style="3279" customWidth="1"/>
    <col min="4567" max="4567" width="9.75" style="3279" customWidth="1"/>
    <col min="4568" max="4568" width="1" style="3279" customWidth="1"/>
    <col min="4569" max="4573" width="7.875" style="3279" customWidth="1"/>
    <col min="4574" max="4574" width="13.875" style="3279" customWidth="1"/>
    <col min="4575" max="4575" width="13.5" style="3279" customWidth="1"/>
    <col min="4576" max="4576" width="6.75" style="3279" customWidth="1"/>
    <col min="4577" max="4577" width="8.875" style="3279" customWidth="1"/>
    <col min="4578" max="4579" width="7.875" style="3279" customWidth="1"/>
    <col min="4580" max="4580" width="1.25" style="3279" customWidth="1"/>
    <col min="4581" max="4581" width="7.875" style="3279" customWidth="1"/>
    <col min="4582" max="4582" width="9.5" style="3279" bestFit="1" customWidth="1"/>
    <col min="4583" max="4583" width="9.125" style="3279" bestFit="1" customWidth="1"/>
    <col min="4584" max="4584" width="9.5" style="3279" customWidth="1"/>
    <col min="4585" max="4585" width="9.125" style="3279" customWidth="1"/>
    <col min="4586" max="4586" width="9.5" style="3279" customWidth="1"/>
    <col min="4587" max="4587" width="9.125" style="3279" customWidth="1"/>
    <col min="4588" max="4818" width="7" style="3279"/>
    <col min="4819" max="4819" width="1.25" style="3279" customWidth="1"/>
    <col min="4820" max="4821" width="7.875" style="3279" customWidth="1"/>
    <col min="4822" max="4822" width="1" style="3279" customWidth="1"/>
    <col min="4823" max="4823" width="9.75" style="3279" customWidth="1"/>
    <col min="4824" max="4824" width="1" style="3279" customWidth="1"/>
    <col min="4825" max="4829" width="7.875" style="3279" customWidth="1"/>
    <col min="4830" max="4830" width="13.875" style="3279" customWidth="1"/>
    <col min="4831" max="4831" width="13.5" style="3279" customWidth="1"/>
    <col min="4832" max="4832" width="6.75" style="3279" customWidth="1"/>
    <col min="4833" max="4833" width="8.875" style="3279" customWidth="1"/>
    <col min="4834" max="4835" width="7.875" style="3279" customWidth="1"/>
    <col min="4836" max="4836" width="1.25" style="3279" customWidth="1"/>
    <col min="4837" max="4837" width="7.875" style="3279" customWidth="1"/>
    <col min="4838" max="4838" width="9.5" style="3279" bestFit="1" customWidth="1"/>
    <col min="4839" max="4839" width="9.125" style="3279" bestFit="1" customWidth="1"/>
    <col min="4840" max="4840" width="9.5" style="3279" customWidth="1"/>
    <col min="4841" max="4841" width="9.125" style="3279" customWidth="1"/>
    <col min="4842" max="4842" width="9.5" style="3279" customWidth="1"/>
    <col min="4843" max="4843" width="9.125" style="3279" customWidth="1"/>
    <col min="4844" max="5074" width="7" style="3279"/>
    <col min="5075" max="5075" width="1.25" style="3279" customWidth="1"/>
    <col min="5076" max="5077" width="7.875" style="3279" customWidth="1"/>
    <col min="5078" max="5078" width="1" style="3279" customWidth="1"/>
    <col min="5079" max="5079" width="9.75" style="3279" customWidth="1"/>
    <col min="5080" max="5080" width="1" style="3279" customWidth="1"/>
    <col min="5081" max="5085" width="7.875" style="3279" customWidth="1"/>
    <col min="5086" max="5086" width="13.875" style="3279" customWidth="1"/>
    <col min="5087" max="5087" width="13.5" style="3279" customWidth="1"/>
    <col min="5088" max="5088" width="6.75" style="3279" customWidth="1"/>
    <col min="5089" max="5089" width="8.875" style="3279" customWidth="1"/>
    <col min="5090" max="5091" width="7.875" style="3279" customWidth="1"/>
    <col min="5092" max="5092" width="1.25" style="3279" customWidth="1"/>
    <col min="5093" max="5093" width="7.875" style="3279" customWidth="1"/>
    <col min="5094" max="5094" width="9.5" style="3279" bestFit="1" customWidth="1"/>
    <col min="5095" max="5095" width="9.125" style="3279" bestFit="1" customWidth="1"/>
    <col min="5096" max="5096" width="9.5" style="3279" customWidth="1"/>
    <col min="5097" max="5097" width="9.125" style="3279" customWidth="1"/>
    <col min="5098" max="5098" width="9.5" style="3279" customWidth="1"/>
    <col min="5099" max="5099" width="9.125" style="3279" customWidth="1"/>
    <col min="5100" max="5330" width="7" style="3279"/>
    <col min="5331" max="5331" width="1.25" style="3279" customWidth="1"/>
    <col min="5332" max="5333" width="7.875" style="3279" customWidth="1"/>
    <col min="5334" max="5334" width="1" style="3279" customWidth="1"/>
    <col min="5335" max="5335" width="9.75" style="3279" customWidth="1"/>
    <col min="5336" max="5336" width="1" style="3279" customWidth="1"/>
    <col min="5337" max="5341" width="7.875" style="3279" customWidth="1"/>
    <col min="5342" max="5342" width="13.875" style="3279" customWidth="1"/>
    <col min="5343" max="5343" width="13.5" style="3279" customWidth="1"/>
    <col min="5344" max="5344" width="6.75" style="3279" customWidth="1"/>
    <col min="5345" max="5345" width="8.875" style="3279" customWidth="1"/>
    <col min="5346" max="5347" width="7.875" style="3279" customWidth="1"/>
    <col min="5348" max="5348" width="1.25" style="3279" customWidth="1"/>
    <col min="5349" max="5349" width="7.875" style="3279" customWidth="1"/>
    <col min="5350" max="5350" width="9.5" style="3279" bestFit="1" customWidth="1"/>
    <col min="5351" max="5351" width="9.125" style="3279" bestFit="1" customWidth="1"/>
    <col min="5352" max="5352" width="9.5" style="3279" customWidth="1"/>
    <col min="5353" max="5353" width="9.125" style="3279" customWidth="1"/>
    <col min="5354" max="5354" width="9.5" style="3279" customWidth="1"/>
    <col min="5355" max="5355" width="9.125" style="3279" customWidth="1"/>
    <col min="5356" max="5586" width="7" style="3279"/>
    <col min="5587" max="5587" width="1.25" style="3279" customWidth="1"/>
    <col min="5588" max="5589" width="7.875" style="3279" customWidth="1"/>
    <col min="5590" max="5590" width="1" style="3279" customWidth="1"/>
    <col min="5591" max="5591" width="9.75" style="3279" customWidth="1"/>
    <col min="5592" max="5592" width="1" style="3279" customWidth="1"/>
    <col min="5593" max="5597" width="7.875" style="3279" customWidth="1"/>
    <col min="5598" max="5598" width="13.875" style="3279" customWidth="1"/>
    <col min="5599" max="5599" width="13.5" style="3279" customWidth="1"/>
    <col min="5600" max="5600" width="6.75" style="3279" customWidth="1"/>
    <col min="5601" max="5601" width="8.875" style="3279" customWidth="1"/>
    <col min="5602" max="5603" width="7.875" style="3279" customWidth="1"/>
    <col min="5604" max="5604" width="1.25" style="3279" customWidth="1"/>
    <col min="5605" max="5605" width="7.875" style="3279" customWidth="1"/>
    <col min="5606" max="5606" width="9.5" style="3279" bestFit="1" customWidth="1"/>
    <col min="5607" max="5607" width="9.125" style="3279" bestFit="1" customWidth="1"/>
    <col min="5608" max="5608" width="9.5" style="3279" customWidth="1"/>
    <col min="5609" max="5609" width="9.125" style="3279" customWidth="1"/>
    <col min="5610" max="5610" width="9.5" style="3279" customWidth="1"/>
    <col min="5611" max="5611" width="9.125" style="3279" customWidth="1"/>
    <col min="5612" max="5842" width="7" style="3279"/>
    <col min="5843" max="5843" width="1.25" style="3279" customWidth="1"/>
    <col min="5844" max="5845" width="7.875" style="3279" customWidth="1"/>
    <col min="5846" max="5846" width="1" style="3279" customWidth="1"/>
    <col min="5847" max="5847" width="9.75" style="3279" customWidth="1"/>
    <col min="5848" max="5848" width="1" style="3279" customWidth="1"/>
    <col min="5849" max="5853" width="7.875" style="3279" customWidth="1"/>
    <col min="5854" max="5854" width="13.875" style="3279" customWidth="1"/>
    <col min="5855" max="5855" width="13.5" style="3279" customWidth="1"/>
    <col min="5856" max="5856" width="6.75" style="3279" customWidth="1"/>
    <col min="5857" max="5857" width="8.875" style="3279" customWidth="1"/>
    <col min="5858" max="5859" width="7.875" style="3279" customWidth="1"/>
    <col min="5860" max="5860" width="1.25" style="3279" customWidth="1"/>
    <col min="5861" max="5861" width="7.875" style="3279" customWidth="1"/>
    <col min="5862" max="5862" width="9.5" style="3279" bestFit="1" customWidth="1"/>
    <col min="5863" max="5863" width="9.125" style="3279" bestFit="1" customWidth="1"/>
    <col min="5864" max="5864" width="9.5" style="3279" customWidth="1"/>
    <col min="5865" max="5865" width="9.125" style="3279" customWidth="1"/>
    <col min="5866" max="5866" width="9.5" style="3279" customWidth="1"/>
    <col min="5867" max="5867" width="9.125" style="3279" customWidth="1"/>
    <col min="5868" max="6098" width="7" style="3279"/>
    <col min="6099" max="6099" width="1.25" style="3279" customWidth="1"/>
    <col min="6100" max="6101" width="7.875" style="3279" customWidth="1"/>
    <col min="6102" max="6102" width="1" style="3279" customWidth="1"/>
    <col min="6103" max="6103" width="9.75" style="3279" customWidth="1"/>
    <col min="6104" max="6104" width="1" style="3279" customWidth="1"/>
    <col min="6105" max="6109" width="7.875" style="3279" customWidth="1"/>
    <col min="6110" max="6110" width="13.875" style="3279" customWidth="1"/>
    <col min="6111" max="6111" width="13.5" style="3279" customWidth="1"/>
    <col min="6112" max="6112" width="6.75" style="3279" customWidth="1"/>
    <col min="6113" max="6113" width="8.875" style="3279" customWidth="1"/>
    <col min="6114" max="6115" width="7.875" style="3279" customWidth="1"/>
    <col min="6116" max="6116" width="1.25" style="3279" customWidth="1"/>
    <col min="6117" max="6117" width="7.875" style="3279" customWidth="1"/>
    <col min="6118" max="6118" width="9.5" style="3279" bestFit="1" customWidth="1"/>
    <col min="6119" max="6119" width="9.125" style="3279" bestFit="1" customWidth="1"/>
    <col min="6120" max="6120" width="9.5" style="3279" customWidth="1"/>
    <col min="6121" max="6121" width="9.125" style="3279" customWidth="1"/>
    <col min="6122" max="6122" width="9.5" style="3279" customWidth="1"/>
    <col min="6123" max="6123" width="9.125" style="3279" customWidth="1"/>
    <col min="6124" max="6354" width="7" style="3279"/>
    <col min="6355" max="6355" width="1.25" style="3279" customWidth="1"/>
    <col min="6356" max="6357" width="7.875" style="3279" customWidth="1"/>
    <col min="6358" max="6358" width="1" style="3279" customWidth="1"/>
    <col min="6359" max="6359" width="9.75" style="3279" customWidth="1"/>
    <col min="6360" max="6360" width="1" style="3279" customWidth="1"/>
    <col min="6361" max="6365" width="7.875" style="3279" customWidth="1"/>
    <col min="6366" max="6366" width="13.875" style="3279" customWidth="1"/>
    <col min="6367" max="6367" width="13.5" style="3279" customWidth="1"/>
    <col min="6368" max="6368" width="6.75" style="3279" customWidth="1"/>
    <col min="6369" max="6369" width="8.875" style="3279" customWidth="1"/>
    <col min="6370" max="6371" width="7.875" style="3279" customWidth="1"/>
    <col min="6372" max="6372" width="1.25" style="3279" customWidth="1"/>
    <col min="6373" max="6373" width="7.875" style="3279" customWidth="1"/>
    <col min="6374" max="6374" width="9.5" style="3279" bestFit="1" customWidth="1"/>
    <col min="6375" max="6375" width="9.125" style="3279" bestFit="1" customWidth="1"/>
    <col min="6376" max="6376" width="9.5" style="3279" customWidth="1"/>
    <col min="6377" max="6377" width="9.125" style="3279" customWidth="1"/>
    <col min="6378" max="6378" width="9.5" style="3279" customWidth="1"/>
    <col min="6379" max="6379" width="9.125" style="3279" customWidth="1"/>
    <col min="6380" max="6610" width="7" style="3279"/>
    <col min="6611" max="6611" width="1.25" style="3279" customWidth="1"/>
    <col min="6612" max="6613" width="7.875" style="3279" customWidth="1"/>
    <col min="6614" max="6614" width="1" style="3279" customWidth="1"/>
    <col min="6615" max="6615" width="9.75" style="3279" customWidth="1"/>
    <col min="6616" max="6616" width="1" style="3279" customWidth="1"/>
    <col min="6617" max="6621" width="7.875" style="3279" customWidth="1"/>
    <col min="6622" max="6622" width="13.875" style="3279" customWidth="1"/>
    <col min="6623" max="6623" width="13.5" style="3279" customWidth="1"/>
    <col min="6624" max="6624" width="6.75" style="3279" customWidth="1"/>
    <col min="6625" max="6625" width="8.875" style="3279" customWidth="1"/>
    <col min="6626" max="6627" width="7.875" style="3279" customWidth="1"/>
    <col min="6628" max="6628" width="1.25" style="3279" customWidth="1"/>
    <col min="6629" max="6629" width="7.875" style="3279" customWidth="1"/>
    <col min="6630" max="6630" width="9.5" style="3279" bestFit="1" customWidth="1"/>
    <col min="6631" max="6631" width="9.125" style="3279" bestFit="1" customWidth="1"/>
    <col min="6632" max="6632" width="9.5" style="3279" customWidth="1"/>
    <col min="6633" max="6633" width="9.125" style="3279" customWidth="1"/>
    <col min="6634" max="6634" width="9.5" style="3279" customWidth="1"/>
    <col min="6635" max="6635" width="9.125" style="3279" customWidth="1"/>
    <col min="6636" max="6866" width="7" style="3279"/>
    <col min="6867" max="6867" width="1.25" style="3279" customWidth="1"/>
    <col min="6868" max="6869" width="7.875" style="3279" customWidth="1"/>
    <col min="6870" max="6870" width="1" style="3279" customWidth="1"/>
    <col min="6871" max="6871" width="9.75" style="3279" customWidth="1"/>
    <col min="6872" max="6872" width="1" style="3279" customWidth="1"/>
    <col min="6873" max="6877" width="7.875" style="3279" customWidth="1"/>
    <col min="6878" max="6878" width="13.875" style="3279" customWidth="1"/>
    <col min="6879" max="6879" width="13.5" style="3279" customWidth="1"/>
    <col min="6880" max="6880" width="6.75" style="3279" customWidth="1"/>
    <col min="6881" max="6881" width="8.875" style="3279" customWidth="1"/>
    <col min="6882" max="6883" width="7.875" style="3279" customWidth="1"/>
    <col min="6884" max="6884" width="1.25" style="3279" customWidth="1"/>
    <col min="6885" max="6885" width="7.875" style="3279" customWidth="1"/>
    <col min="6886" max="6886" width="9.5" style="3279" bestFit="1" customWidth="1"/>
    <col min="6887" max="6887" width="9.125" style="3279" bestFit="1" customWidth="1"/>
    <col min="6888" max="6888" width="9.5" style="3279" customWidth="1"/>
    <col min="6889" max="6889" width="9.125" style="3279" customWidth="1"/>
    <col min="6890" max="6890" width="9.5" style="3279" customWidth="1"/>
    <col min="6891" max="6891" width="9.125" style="3279" customWidth="1"/>
    <col min="6892" max="7122" width="7" style="3279"/>
    <col min="7123" max="7123" width="1.25" style="3279" customWidth="1"/>
    <col min="7124" max="7125" width="7.875" style="3279" customWidth="1"/>
    <col min="7126" max="7126" width="1" style="3279" customWidth="1"/>
    <col min="7127" max="7127" width="9.75" style="3279" customWidth="1"/>
    <col min="7128" max="7128" width="1" style="3279" customWidth="1"/>
    <col min="7129" max="7133" width="7.875" style="3279" customWidth="1"/>
    <col min="7134" max="7134" width="13.875" style="3279" customWidth="1"/>
    <col min="7135" max="7135" width="13.5" style="3279" customWidth="1"/>
    <col min="7136" max="7136" width="6.75" style="3279" customWidth="1"/>
    <col min="7137" max="7137" width="8.875" style="3279" customWidth="1"/>
    <col min="7138" max="7139" width="7.875" style="3279" customWidth="1"/>
    <col min="7140" max="7140" width="1.25" style="3279" customWidth="1"/>
    <col min="7141" max="7141" width="7.875" style="3279" customWidth="1"/>
    <col min="7142" max="7142" width="9.5" style="3279" bestFit="1" customWidth="1"/>
    <col min="7143" max="7143" width="9.125" style="3279" bestFit="1" customWidth="1"/>
    <col min="7144" max="7144" width="9.5" style="3279" customWidth="1"/>
    <col min="7145" max="7145" width="9.125" style="3279" customWidth="1"/>
    <col min="7146" max="7146" width="9.5" style="3279" customWidth="1"/>
    <col min="7147" max="7147" width="9.125" style="3279" customWidth="1"/>
    <col min="7148" max="7378" width="7" style="3279"/>
    <col min="7379" max="7379" width="1.25" style="3279" customWidth="1"/>
    <col min="7380" max="7381" width="7.875" style="3279" customWidth="1"/>
    <col min="7382" max="7382" width="1" style="3279" customWidth="1"/>
    <col min="7383" max="7383" width="9.75" style="3279" customWidth="1"/>
    <col min="7384" max="7384" width="1" style="3279" customWidth="1"/>
    <col min="7385" max="7389" width="7.875" style="3279" customWidth="1"/>
    <col min="7390" max="7390" width="13.875" style="3279" customWidth="1"/>
    <col min="7391" max="7391" width="13.5" style="3279" customWidth="1"/>
    <col min="7392" max="7392" width="6.75" style="3279" customWidth="1"/>
    <col min="7393" max="7393" width="8.875" style="3279" customWidth="1"/>
    <col min="7394" max="7395" width="7.875" style="3279" customWidth="1"/>
    <col min="7396" max="7396" width="1.25" style="3279" customWidth="1"/>
    <col min="7397" max="7397" width="7.875" style="3279" customWidth="1"/>
    <col min="7398" max="7398" width="9.5" style="3279" bestFit="1" customWidth="1"/>
    <col min="7399" max="7399" width="9.125" style="3279" bestFit="1" customWidth="1"/>
    <col min="7400" max="7400" width="9.5" style="3279" customWidth="1"/>
    <col min="7401" max="7401" width="9.125" style="3279" customWidth="1"/>
    <col min="7402" max="7402" width="9.5" style="3279" customWidth="1"/>
    <col min="7403" max="7403" width="9.125" style="3279" customWidth="1"/>
    <col min="7404" max="7634" width="7" style="3279"/>
    <col min="7635" max="7635" width="1.25" style="3279" customWidth="1"/>
    <col min="7636" max="7637" width="7.875" style="3279" customWidth="1"/>
    <col min="7638" max="7638" width="1" style="3279" customWidth="1"/>
    <col min="7639" max="7639" width="9.75" style="3279" customWidth="1"/>
    <col min="7640" max="7640" width="1" style="3279" customWidth="1"/>
    <col min="7641" max="7645" width="7.875" style="3279" customWidth="1"/>
    <col min="7646" max="7646" width="13.875" style="3279" customWidth="1"/>
    <col min="7647" max="7647" width="13.5" style="3279" customWidth="1"/>
    <col min="7648" max="7648" width="6.75" style="3279" customWidth="1"/>
    <col min="7649" max="7649" width="8.875" style="3279" customWidth="1"/>
    <col min="7650" max="7651" width="7.875" style="3279" customWidth="1"/>
    <col min="7652" max="7652" width="1.25" style="3279" customWidth="1"/>
    <col min="7653" max="7653" width="7.875" style="3279" customWidth="1"/>
    <col min="7654" max="7654" width="9.5" style="3279" bestFit="1" customWidth="1"/>
    <col min="7655" max="7655" width="9.125" style="3279" bestFit="1" customWidth="1"/>
    <col min="7656" max="7656" width="9.5" style="3279" customWidth="1"/>
    <col min="7657" max="7657" width="9.125" style="3279" customWidth="1"/>
    <col min="7658" max="7658" width="9.5" style="3279" customWidth="1"/>
    <col min="7659" max="7659" width="9.125" style="3279" customWidth="1"/>
    <col min="7660" max="7890" width="7" style="3279"/>
    <col min="7891" max="7891" width="1.25" style="3279" customWidth="1"/>
    <col min="7892" max="7893" width="7.875" style="3279" customWidth="1"/>
    <col min="7894" max="7894" width="1" style="3279" customWidth="1"/>
    <col min="7895" max="7895" width="9.75" style="3279" customWidth="1"/>
    <col min="7896" max="7896" width="1" style="3279" customWidth="1"/>
    <col min="7897" max="7901" width="7.875" style="3279" customWidth="1"/>
    <col min="7902" max="7902" width="13.875" style="3279" customWidth="1"/>
    <col min="7903" max="7903" width="13.5" style="3279" customWidth="1"/>
    <col min="7904" max="7904" width="6.75" style="3279" customWidth="1"/>
    <col min="7905" max="7905" width="8.875" style="3279" customWidth="1"/>
    <col min="7906" max="7907" width="7.875" style="3279" customWidth="1"/>
    <col min="7908" max="7908" width="1.25" style="3279" customWidth="1"/>
    <col min="7909" max="7909" width="7.875" style="3279" customWidth="1"/>
    <col min="7910" max="7910" width="9.5" style="3279" bestFit="1" customWidth="1"/>
    <col min="7911" max="7911" width="9.125" style="3279" bestFit="1" customWidth="1"/>
    <col min="7912" max="7912" width="9.5" style="3279" customWidth="1"/>
    <col min="7913" max="7913" width="9.125" style="3279" customWidth="1"/>
    <col min="7914" max="7914" width="9.5" style="3279" customWidth="1"/>
    <col min="7915" max="7915" width="9.125" style="3279" customWidth="1"/>
    <col min="7916" max="8146" width="7" style="3279"/>
    <col min="8147" max="8147" width="1.25" style="3279" customWidth="1"/>
    <col min="8148" max="8149" width="7.875" style="3279" customWidth="1"/>
    <col min="8150" max="8150" width="1" style="3279" customWidth="1"/>
    <col min="8151" max="8151" width="9.75" style="3279" customWidth="1"/>
    <col min="8152" max="8152" width="1" style="3279" customWidth="1"/>
    <col min="8153" max="8157" width="7.875" style="3279" customWidth="1"/>
    <col min="8158" max="8158" width="13.875" style="3279" customWidth="1"/>
    <col min="8159" max="8159" width="13.5" style="3279" customWidth="1"/>
    <col min="8160" max="8160" width="6.75" style="3279" customWidth="1"/>
    <col min="8161" max="8161" width="8.875" style="3279" customWidth="1"/>
    <col min="8162" max="8163" width="7.875" style="3279" customWidth="1"/>
    <col min="8164" max="8164" width="1.25" style="3279" customWidth="1"/>
    <col min="8165" max="8165" width="7.875" style="3279" customWidth="1"/>
    <col min="8166" max="8166" width="9.5" style="3279" bestFit="1" customWidth="1"/>
    <col min="8167" max="8167" width="9.125" style="3279" bestFit="1" customWidth="1"/>
    <col min="8168" max="8168" width="9.5" style="3279" customWidth="1"/>
    <col min="8169" max="8169" width="9.125" style="3279" customWidth="1"/>
    <col min="8170" max="8170" width="9.5" style="3279" customWidth="1"/>
    <col min="8171" max="8171" width="9.125" style="3279" customWidth="1"/>
    <col min="8172" max="8402" width="7" style="3279"/>
    <col min="8403" max="8403" width="1.25" style="3279" customWidth="1"/>
    <col min="8404" max="8405" width="7.875" style="3279" customWidth="1"/>
    <col min="8406" max="8406" width="1" style="3279" customWidth="1"/>
    <col min="8407" max="8407" width="9.75" style="3279" customWidth="1"/>
    <col min="8408" max="8408" width="1" style="3279" customWidth="1"/>
    <col min="8409" max="8413" width="7.875" style="3279" customWidth="1"/>
    <col min="8414" max="8414" width="13.875" style="3279" customWidth="1"/>
    <col min="8415" max="8415" width="13.5" style="3279" customWidth="1"/>
    <col min="8416" max="8416" width="6.75" style="3279" customWidth="1"/>
    <col min="8417" max="8417" width="8.875" style="3279" customWidth="1"/>
    <col min="8418" max="8419" width="7.875" style="3279" customWidth="1"/>
    <col min="8420" max="8420" width="1.25" style="3279" customWidth="1"/>
    <col min="8421" max="8421" width="7.875" style="3279" customWidth="1"/>
    <col min="8422" max="8422" width="9.5" style="3279" bestFit="1" customWidth="1"/>
    <col min="8423" max="8423" width="9.125" style="3279" bestFit="1" customWidth="1"/>
    <col min="8424" max="8424" width="9.5" style="3279" customWidth="1"/>
    <col min="8425" max="8425" width="9.125" style="3279" customWidth="1"/>
    <col min="8426" max="8426" width="9.5" style="3279" customWidth="1"/>
    <col min="8427" max="8427" width="9.125" style="3279" customWidth="1"/>
    <col min="8428" max="8658" width="7" style="3279"/>
    <col min="8659" max="8659" width="1.25" style="3279" customWidth="1"/>
    <col min="8660" max="8661" width="7.875" style="3279" customWidth="1"/>
    <col min="8662" max="8662" width="1" style="3279" customWidth="1"/>
    <col min="8663" max="8663" width="9.75" style="3279" customWidth="1"/>
    <col min="8664" max="8664" width="1" style="3279" customWidth="1"/>
    <col min="8665" max="8669" width="7.875" style="3279" customWidth="1"/>
    <col min="8670" max="8670" width="13.875" style="3279" customWidth="1"/>
    <col min="8671" max="8671" width="13.5" style="3279" customWidth="1"/>
    <col min="8672" max="8672" width="6.75" style="3279" customWidth="1"/>
    <col min="8673" max="8673" width="8.875" style="3279" customWidth="1"/>
    <col min="8674" max="8675" width="7.875" style="3279" customWidth="1"/>
    <col min="8676" max="8676" width="1.25" style="3279" customWidth="1"/>
    <col min="8677" max="8677" width="7.875" style="3279" customWidth="1"/>
    <col min="8678" max="8678" width="9.5" style="3279" bestFit="1" customWidth="1"/>
    <col min="8679" max="8679" width="9.125" style="3279" bestFit="1" customWidth="1"/>
    <col min="8680" max="8680" width="9.5" style="3279" customWidth="1"/>
    <col min="8681" max="8681" width="9.125" style="3279" customWidth="1"/>
    <col min="8682" max="8682" width="9.5" style="3279" customWidth="1"/>
    <col min="8683" max="8683" width="9.125" style="3279" customWidth="1"/>
    <col min="8684" max="8914" width="7" style="3279"/>
    <col min="8915" max="8915" width="1.25" style="3279" customWidth="1"/>
    <col min="8916" max="8917" width="7.875" style="3279" customWidth="1"/>
    <col min="8918" max="8918" width="1" style="3279" customWidth="1"/>
    <col min="8919" max="8919" width="9.75" style="3279" customWidth="1"/>
    <col min="8920" max="8920" width="1" style="3279" customWidth="1"/>
    <col min="8921" max="8925" width="7.875" style="3279" customWidth="1"/>
    <col min="8926" max="8926" width="13.875" style="3279" customWidth="1"/>
    <col min="8927" max="8927" width="13.5" style="3279" customWidth="1"/>
    <col min="8928" max="8928" width="6.75" style="3279" customWidth="1"/>
    <col min="8929" max="8929" width="8.875" style="3279" customWidth="1"/>
    <col min="8930" max="8931" width="7.875" style="3279" customWidth="1"/>
    <col min="8932" max="8932" width="1.25" style="3279" customWidth="1"/>
    <col min="8933" max="8933" width="7.875" style="3279" customWidth="1"/>
    <col min="8934" max="8934" width="9.5" style="3279" bestFit="1" customWidth="1"/>
    <col min="8935" max="8935" width="9.125" style="3279" bestFit="1" customWidth="1"/>
    <col min="8936" max="8936" width="9.5" style="3279" customWidth="1"/>
    <col min="8937" max="8937" width="9.125" style="3279" customWidth="1"/>
    <col min="8938" max="8938" width="9.5" style="3279" customWidth="1"/>
    <col min="8939" max="8939" width="9.125" style="3279" customWidth="1"/>
    <col min="8940" max="9170" width="7" style="3279"/>
    <col min="9171" max="9171" width="1.25" style="3279" customWidth="1"/>
    <col min="9172" max="9173" width="7.875" style="3279" customWidth="1"/>
    <col min="9174" max="9174" width="1" style="3279" customWidth="1"/>
    <col min="9175" max="9175" width="9.75" style="3279" customWidth="1"/>
    <col min="9176" max="9176" width="1" style="3279" customWidth="1"/>
    <col min="9177" max="9181" width="7.875" style="3279" customWidth="1"/>
    <col min="9182" max="9182" width="13.875" style="3279" customWidth="1"/>
    <col min="9183" max="9183" width="13.5" style="3279" customWidth="1"/>
    <col min="9184" max="9184" width="6.75" style="3279" customWidth="1"/>
    <col min="9185" max="9185" width="8.875" style="3279" customWidth="1"/>
    <col min="9186" max="9187" width="7.875" style="3279" customWidth="1"/>
    <col min="9188" max="9188" width="1.25" style="3279" customWidth="1"/>
    <col min="9189" max="9189" width="7.875" style="3279" customWidth="1"/>
    <col min="9190" max="9190" width="9.5" style="3279" bestFit="1" customWidth="1"/>
    <col min="9191" max="9191" width="9.125" style="3279" bestFit="1" customWidth="1"/>
    <col min="9192" max="9192" width="9.5" style="3279" customWidth="1"/>
    <col min="9193" max="9193" width="9.125" style="3279" customWidth="1"/>
    <col min="9194" max="9194" width="9.5" style="3279" customWidth="1"/>
    <col min="9195" max="9195" width="9.125" style="3279" customWidth="1"/>
    <col min="9196" max="9426" width="7" style="3279"/>
    <col min="9427" max="9427" width="1.25" style="3279" customWidth="1"/>
    <col min="9428" max="9429" width="7.875" style="3279" customWidth="1"/>
    <col min="9430" max="9430" width="1" style="3279" customWidth="1"/>
    <col min="9431" max="9431" width="9.75" style="3279" customWidth="1"/>
    <col min="9432" max="9432" width="1" style="3279" customWidth="1"/>
    <col min="9433" max="9437" width="7.875" style="3279" customWidth="1"/>
    <col min="9438" max="9438" width="13.875" style="3279" customWidth="1"/>
    <col min="9439" max="9439" width="13.5" style="3279" customWidth="1"/>
    <col min="9440" max="9440" width="6.75" style="3279" customWidth="1"/>
    <col min="9441" max="9441" width="8.875" style="3279" customWidth="1"/>
    <col min="9442" max="9443" width="7.875" style="3279" customWidth="1"/>
    <col min="9444" max="9444" width="1.25" style="3279" customWidth="1"/>
    <col min="9445" max="9445" width="7.875" style="3279" customWidth="1"/>
    <col min="9446" max="9446" width="9.5" style="3279" bestFit="1" customWidth="1"/>
    <col min="9447" max="9447" width="9.125" style="3279" bestFit="1" customWidth="1"/>
    <col min="9448" max="9448" width="9.5" style="3279" customWidth="1"/>
    <col min="9449" max="9449" width="9.125" style="3279" customWidth="1"/>
    <col min="9450" max="9450" width="9.5" style="3279" customWidth="1"/>
    <col min="9451" max="9451" width="9.125" style="3279" customWidth="1"/>
    <col min="9452" max="9682" width="7" style="3279"/>
    <col min="9683" max="9683" width="1.25" style="3279" customWidth="1"/>
    <col min="9684" max="9685" width="7.875" style="3279" customWidth="1"/>
    <col min="9686" max="9686" width="1" style="3279" customWidth="1"/>
    <col min="9687" max="9687" width="9.75" style="3279" customWidth="1"/>
    <col min="9688" max="9688" width="1" style="3279" customWidth="1"/>
    <col min="9689" max="9693" width="7.875" style="3279" customWidth="1"/>
    <col min="9694" max="9694" width="13.875" style="3279" customWidth="1"/>
    <col min="9695" max="9695" width="13.5" style="3279" customWidth="1"/>
    <col min="9696" max="9696" width="6.75" style="3279" customWidth="1"/>
    <col min="9697" max="9697" width="8.875" style="3279" customWidth="1"/>
    <col min="9698" max="9699" width="7.875" style="3279" customWidth="1"/>
    <col min="9700" max="9700" width="1.25" style="3279" customWidth="1"/>
    <col min="9701" max="9701" width="7.875" style="3279" customWidth="1"/>
    <col min="9702" max="9702" width="9.5" style="3279" bestFit="1" customWidth="1"/>
    <col min="9703" max="9703" width="9.125" style="3279" bestFit="1" customWidth="1"/>
    <col min="9704" max="9704" width="9.5" style="3279" customWidth="1"/>
    <col min="9705" max="9705" width="9.125" style="3279" customWidth="1"/>
    <col min="9706" max="9706" width="9.5" style="3279" customWidth="1"/>
    <col min="9707" max="9707" width="9.125" style="3279" customWidth="1"/>
    <col min="9708" max="9938" width="7" style="3279"/>
    <col min="9939" max="9939" width="1.25" style="3279" customWidth="1"/>
    <col min="9940" max="9941" width="7.875" style="3279" customWidth="1"/>
    <col min="9942" max="9942" width="1" style="3279" customWidth="1"/>
    <col min="9943" max="9943" width="9.75" style="3279" customWidth="1"/>
    <col min="9944" max="9944" width="1" style="3279" customWidth="1"/>
    <col min="9945" max="9949" width="7.875" style="3279" customWidth="1"/>
    <col min="9950" max="9950" width="13.875" style="3279" customWidth="1"/>
    <col min="9951" max="9951" width="13.5" style="3279" customWidth="1"/>
    <col min="9952" max="9952" width="6.75" style="3279" customWidth="1"/>
    <col min="9953" max="9953" width="8.875" style="3279" customWidth="1"/>
    <col min="9954" max="9955" width="7.875" style="3279" customWidth="1"/>
    <col min="9956" max="9956" width="1.25" style="3279" customWidth="1"/>
    <col min="9957" max="9957" width="7.875" style="3279" customWidth="1"/>
    <col min="9958" max="9958" width="9.5" style="3279" bestFit="1" customWidth="1"/>
    <col min="9959" max="9959" width="9.125" style="3279" bestFit="1" customWidth="1"/>
    <col min="9960" max="9960" width="9.5" style="3279" customWidth="1"/>
    <col min="9961" max="9961" width="9.125" style="3279" customWidth="1"/>
    <col min="9962" max="9962" width="9.5" style="3279" customWidth="1"/>
    <col min="9963" max="9963" width="9.125" style="3279" customWidth="1"/>
    <col min="9964" max="10194" width="7" style="3279"/>
    <col min="10195" max="10195" width="1.25" style="3279" customWidth="1"/>
    <col min="10196" max="10197" width="7.875" style="3279" customWidth="1"/>
    <col min="10198" max="10198" width="1" style="3279" customWidth="1"/>
    <col min="10199" max="10199" width="9.75" style="3279" customWidth="1"/>
    <col min="10200" max="10200" width="1" style="3279" customWidth="1"/>
    <col min="10201" max="10205" width="7.875" style="3279" customWidth="1"/>
    <col min="10206" max="10206" width="13.875" style="3279" customWidth="1"/>
    <col min="10207" max="10207" width="13.5" style="3279" customWidth="1"/>
    <col min="10208" max="10208" width="6.75" style="3279" customWidth="1"/>
    <col min="10209" max="10209" width="8.875" style="3279" customWidth="1"/>
    <col min="10210" max="10211" width="7.875" style="3279" customWidth="1"/>
    <col min="10212" max="10212" width="1.25" style="3279" customWidth="1"/>
    <col min="10213" max="10213" width="7.875" style="3279" customWidth="1"/>
    <col min="10214" max="10214" width="9.5" style="3279" bestFit="1" customWidth="1"/>
    <col min="10215" max="10215" width="9.125" style="3279" bestFit="1" customWidth="1"/>
    <col min="10216" max="10216" width="9.5" style="3279" customWidth="1"/>
    <col min="10217" max="10217" width="9.125" style="3279" customWidth="1"/>
    <col min="10218" max="10218" width="9.5" style="3279" customWidth="1"/>
    <col min="10219" max="10219" width="9.125" style="3279" customWidth="1"/>
    <col min="10220" max="10450" width="7" style="3279"/>
    <col min="10451" max="10451" width="1.25" style="3279" customWidth="1"/>
    <col min="10452" max="10453" width="7.875" style="3279" customWidth="1"/>
    <col min="10454" max="10454" width="1" style="3279" customWidth="1"/>
    <col min="10455" max="10455" width="9.75" style="3279" customWidth="1"/>
    <col min="10456" max="10456" width="1" style="3279" customWidth="1"/>
    <col min="10457" max="10461" width="7.875" style="3279" customWidth="1"/>
    <col min="10462" max="10462" width="13.875" style="3279" customWidth="1"/>
    <col min="10463" max="10463" width="13.5" style="3279" customWidth="1"/>
    <col min="10464" max="10464" width="6.75" style="3279" customWidth="1"/>
    <col min="10465" max="10465" width="8.875" style="3279" customWidth="1"/>
    <col min="10466" max="10467" width="7.875" style="3279" customWidth="1"/>
    <col min="10468" max="10468" width="1.25" style="3279" customWidth="1"/>
    <col min="10469" max="10469" width="7.875" style="3279" customWidth="1"/>
    <col min="10470" max="10470" width="9.5" style="3279" bestFit="1" customWidth="1"/>
    <col min="10471" max="10471" width="9.125" style="3279" bestFit="1" customWidth="1"/>
    <col min="10472" max="10472" width="9.5" style="3279" customWidth="1"/>
    <col min="10473" max="10473" width="9.125" style="3279" customWidth="1"/>
    <col min="10474" max="10474" width="9.5" style="3279" customWidth="1"/>
    <col min="10475" max="10475" width="9.125" style="3279" customWidth="1"/>
    <col min="10476" max="10706" width="7" style="3279"/>
    <col min="10707" max="10707" width="1.25" style="3279" customWidth="1"/>
    <col min="10708" max="10709" width="7.875" style="3279" customWidth="1"/>
    <col min="10710" max="10710" width="1" style="3279" customWidth="1"/>
    <col min="10711" max="10711" width="9.75" style="3279" customWidth="1"/>
    <col min="10712" max="10712" width="1" style="3279" customWidth="1"/>
    <col min="10713" max="10717" width="7.875" style="3279" customWidth="1"/>
    <col min="10718" max="10718" width="13.875" style="3279" customWidth="1"/>
    <col min="10719" max="10719" width="13.5" style="3279" customWidth="1"/>
    <col min="10720" max="10720" width="6.75" style="3279" customWidth="1"/>
    <col min="10721" max="10721" width="8.875" style="3279" customWidth="1"/>
    <col min="10722" max="10723" width="7.875" style="3279" customWidth="1"/>
    <col min="10724" max="10724" width="1.25" style="3279" customWidth="1"/>
    <col min="10725" max="10725" width="7.875" style="3279" customWidth="1"/>
    <col min="10726" max="10726" width="9.5" style="3279" bestFit="1" customWidth="1"/>
    <col min="10727" max="10727" width="9.125" style="3279" bestFit="1" customWidth="1"/>
    <col min="10728" max="10728" width="9.5" style="3279" customWidth="1"/>
    <col min="10729" max="10729" width="9.125" style="3279" customWidth="1"/>
    <col min="10730" max="10730" width="9.5" style="3279" customWidth="1"/>
    <col min="10731" max="10731" width="9.125" style="3279" customWidth="1"/>
    <col min="10732" max="10962" width="7" style="3279"/>
    <col min="10963" max="10963" width="1.25" style="3279" customWidth="1"/>
    <col min="10964" max="10965" width="7.875" style="3279" customWidth="1"/>
    <col min="10966" max="10966" width="1" style="3279" customWidth="1"/>
    <col min="10967" max="10967" width="9.75" style="3279" customWidth="1"/>
    <col min="10968" max="10968" width="1" style="3279" customWidth="1"/>
    <col min="10969" max="10973" width="7.875" style="3279" customWidth="1"/>
    <col min="10974" max="10974" width="13.875" style="3279" customWidth="1"/>
    <col min="10975" max="10975" width="13.5" style="3279" customWidth="1"/>
    <col min="10976" max="10976" width="6.75" style="3279" customWidth="1"/>
    <col min="10977" max="10977" width="8.875" style="3279" customWidth="1"/>
    <col min="10978" max="10979" width="7.875" style="3279" customWidth="1"/>
    <col min="10980" max="10980" width="1.25" style="3279" customWidth="1"/>
    <col min="10981" max="10981" width="7.875" style="3279" customWidth="1"/>
    <col min="10982" max="10982" width="9.5" style="3279" bestFit="1" customWidth="1"/>
    <col min="10983" max="10983" width="9.125" style="3279" bestFit="1" customWidth="1"/>
    <col min="10984" max="10984" width="9.5" style="3279" customWidth="1"/>
    <col min="10985" max="10985" width="9.125" style="3279" customWidth="1"/>
    <col min="10986" max="10986" width="9.5" style="3279" customWidth="1"/>
    <col min="10987" max="10987" width="9.125" style="3279" customWidth="1"/>
    <col min="10988" max="11218" width="7" style="3279"/>
    <col min="11219" max="11219" width="1.25" style="3279" customWidth="1"/>
    <col min="11220" max="11221" width="7.875" style="3279" customWidth="1"/>
    <col min="11222" max="11222" width="1" style="3279" customWidth="1"/>
    <col min="11223" max="11223" width="9.75" style="3279" customWidth="1"/>
    <col min="11224" max="11224" width="1" style="3279" customWidth="1"/>
    <col min="11225" max="11229" width="7.875" style="3279" customWidth="1"/>
    <col min="11230" max="11230" width="13.875" style="3279" customWidth="1"/>
    <col min="11231" max="11231" width="13.5" style="3279" customWidth="1"/>
    <col min="11232" max="11232" width="6.75" style="3279" customWidth="1"/>
    <col min="11233" max="11233" width="8.875" style="3279" customWidth="1"/>
    <col min="11234" max="11235" width="7.875" style="3279" customWidth="1"/>
    <col min="11236" max="11236" width="1.25" style="3279" customWidth="1"/>
    <col min="11237" max="11237" width="7.875" style="3279" customWidth="1"/>
    <col min="11238" max="11238" width="9.5" style="3279" bestFit="1" customWidth="1"/>
    <col min="11239" max="11239" width="9.125" style="3279" bestFit="1" customWidth="1"/>
    <col min="11240" max="11240" width="9.5" style="3279" customWidth="1"/>
    <col min="11241" max="11241" width="9.125" style="3279" customWidth="1"/>
    <col min="11242" max="11242" width="9.5" style="3279" customWidth="1"/>
    <col min="11243" max="11243" width="9.125" style="3279" customWidth="1"/>
    <col min="11244" max="11474" width="7" style="3279"/>
    <col min="11475" max="11475" width="1.25" style="3279" customWidth="1"/>
    <col min="11476" max="11477" width="7.875" style="3279" customWidth="1"/>
    <col min="11478" max="11478" width="1" style="3279" customWidth="1"/>
    <col min="11479" max="11479" width="9.75" style="3279" customWidth="1"/>
    <col min="11480" max="11480" width="1" style="3279" customWidth="1"/>
    <col min="11481" max="11485" width="7.875" style="3279" customWidth="1"/>
    <col min="11486" max="11486" width="13.875" style="3279" customWidth="1"/>
    <col min="11487" max="11487" width="13.5" style="3279" customWidth="1"/>
    <col min="11488" max="11488" width="6.75" style="3279" customWidth="1"/>
    <col min="11489" max="11489" width="8.875" style="3279" customWidth="1"/>
    <col min="11490" max="11491" width="7.875" style="3279" customWidth="1"/>
    <col min="11492" max="11492" width="1.25" style="3279" customWidth="1"/>
    <col min="11493" max="11493" width="7.875" style="3279" customWidth="1"/>
    <col min="11494" max="11494" width="9.5" style="3279" bestFit="1" customWidth="1"/>
    <col min="11495" max="11495" width="9.125" style="3279" bestFit="1" customWidth="1"/>
    <col min="11496" max="11496" width="9.5" style="3279" customWidth="1"/>
    <col min="11497" max="11497" width="9.125" style="3279" customWidth="1"/>
    <col min="11498" max="11498" width="9.5" style="3279" customWidth="1"/>
    <col min="11499" max="11499" width="9.125" style="3279" customWidth="1"/>
    <col min="11500" max="11730" width="7" style="3279"/>
    <col min="11731" max="11731" width="1.25" style="3279" customWidth="1"/>
    <col min="11732" max="11733" width="7.875" style="3279" customWidth="1"/>
    <col min="11734" max="11734" width="1" style="3279" customWidth="1"/>
    <col min="11735" max="11735" width="9.75" style="3279" customWidth="1"/>
    <col min="11736" max="11736" width="1" style="3279" customWidth="1"/>
    <col min="11737" max="11741" width="7.875" style="3279" customWidth="1"/>
    <col min="11742" max="11742" width="13.875" style="3279" customWidth="1"/>
    <col min="11743" max="11743" width="13.5" style="3279" customWidth="1"/>
    <col min="11744" max="11744" width="6.75" style="3279" customWidth="1"/>
    <col min="11745" max="11745" width="8.875" style="3279" customWidth="1"/>
    <col min="11746" max="11747" width="7.875" style="3279" customWidth="1"/>
    <col min="11748" max="11748" width="1.25" style="3279" customWidth="1"/>
    <col min="11749" max="11749" width="7.875" style="3279" customWidth="1"/>
    <col min="11750" max="11750" width="9.5" style="3279" bestFit="1" customWidth="1"/>
    <col min="11751" max="11751" width="9.125" style="3279" bestFit="1" customWidth="1"/>
    <col min="11752" max="11752" width="9.5" style="3279" customWidth="1"/>
    <col min="11753" max="11753" width="9.125" style="3279" customWidth="1"/>
    <col min="11754" max="11754" width="9.5" style="3279" customWidth="1"/>
    <col min="11755" max="11755" width="9.125" style="3279" customWidth="1"/>
    <col min="11756" max="11986" width="7" style="3279"/>
    <col min="11987" max="11987" width="1.25" style="3279" customWidth="1"/>
    <col min="11988" max="11989" width="7.875" style="3279" customWidth="1"/>
    <col min="11990" max="11990" width="1" style="3279" customWidth="1"/>
    <col min="11991" max="11991" width="9.75" style="3279" customWidth="1"/>
    <col min="11992" max="11992" width="1" style="3279" customWidth="1"/>
    <col min="11993" max="11997" width="7.875" style="3279" customWidth="1"/>
    <col min="11998" max="11998" width="13.875" style="3279" customWidth="1"/>
    <col min="11999" max="11999" width="13.5" style="3279" customWidth="1"/>
    <col min="12000" max="12000" width="6.75" style="3279" customWidth="1"/>
    <col min="12001" max="12001" width="8.875" style="3279" customWidth="1"/>
    <col min="12002" max="12003" width="7.875" style="3279" customWidth="1"/>
    <col min="12004" max="12004" width="1.25" style="3279" customWidth="1"/>
    <col min="12005" max="12005" width="7.875" style="3279" customWidth="1"/>
    <col min="12006" max="12006" width="9.5" style="3279" bestFit="1" customWidth="1"/>
    <col min="12007" max="12007" width="9.125" style="3279" bestFit="1" customWidth="1"/>
    <col min="12008" max="12008" width="9.5" style="3279" customWidth="1"/>
    <col min="12009" max="12009" width="9.125" style="3279" customWidth="1"/>
    <col min="12010" max="12010" width="9.5" style="3279" customWidth="1"/>
    <col min="12011" max="12011" width="9.125" style="3279" customWidth="1"/>
    <col min="12012" max="12242" width="7" style="3279"/>
    <col min="12243" max="12243" width="1.25" style="3279" customWidth="1"/>
    <col min="12244" max="12245" width="7.875" style="3279" customWidth="1"/>
    <col min="12246" max="12246" width="1" style="3279" customWidth="1"/>
    <col min="12247" max="12247" width="9.75" style="3279" customWidth="1"/>
    <col min="12248" max="12248" width="1" style="3279" customWidth="1"/>
    <col min="12249" max="12253" width="7.875" style="3279" customWidth="1"/>
    <col min="12254" max="12254" width="13.875" style="3279" customWidth="1"/>
    <col min="12255" max="12255" width="13.5" style="3279" customWidth="1"/>
    <col min="12256" max="12256" width="6.75" style="3279" customWidth="1"/>
    <col min="12257" max="12257" width="8.875" style="3279" customWidth="1"/>
    <col min="12258" max="12259" width="7.875" style="3279" customWidth="1"/>
    <col min="12260" max="12260" width="1.25" style="3279" customWidth="1"/>
    <col min="12261" max="12261" width="7.875" style="3279" customWidth="1"/>
    <col min="12262" max="12262" width="9.5" style="3279" bestFit="1" customWidth="1"/>
    <col min="12263" max="12263" width="9.125" style="3279" bestFit="1" customWidth="1"/>
    <col min="12264" max="12264" width="9.5" style="3279" customWidth="1"/>
    <col min="12265" max="12265" width="9.125" style="3279" customWidth="1"/>
    <col min="12266" max="12266" width="9.5" style="3279" customWidth="1"/>
    <col min="12267" max="12267" width="9.125" style="3279" customWidth="1"/>
    <col min="12268" max="12498" width="7" style="3279"/>
    <col min="12499" max="12499" width="1.25" style="3279" customWidth="1"/>
    <col min="12500" max="12501" width="7.875" style="3279" customWidth="1"/>
    <col min="12502" max="12502" width="1" style="3279" customWidth="1"/>
    <col min="12503" max="12503" width="9.75" style="3279" customWidth="1"/>
    <col min="12504" max="12504" width="1" style="3279" customWidth="1"/>
    <col min="12505" max="12509" width="7.875" style="3279" customWidth="1"/>
    <col min="12510" max="12510" width="13.875" style="3279" customWidth="1"/>
    <col min="12511" max="12511" width="13.5" style="3279" customWidth="1"/>
    <col min="12512" max="12512" width="6.75" style="3279" customWidth="1"/>
    <col min="12513" max="12513" width="8.875" style="3279" customWidth="1"/>
    <col min="12514" max="12515" width="7.875" style="3279" customWidth="1"/>
    <col min="12516" max="12516" width="1.25" style="3279" customWidth="1"/>
    <col min="12517" max="12517" width="7.875" style="3279" customWidth="1"/>
    <col min="12518" max="12518" width="9.5" style="3279" bestFit="1" customWidth="1"/>
    <col min="12519" max="12519" width="9.125" style="3279" bestFit="1" customWidth="1"/>
    <col min="12520" max="12520" width="9.5" style="3279" customWidth="1"/>
    <col min="12521" max="12521" width="9.125" style="3279" customWidth="1"/>
    <col min="12522" max="12522" width="9.5" style="3279" customWidth="1"/>
    <col min="12523" max="12523" width="9.125" style="3279" customWidth="1"/>
    <col min="12524" max="12754" width="7" style="3279"/>
    <col min="12755" max="12755" width="1.25" style="3279" customWidth="1"/>
    <col min="12756" max="12757" width="7.875" style="3279" customWidth="1"/>
    <col min="12758" max="12758" width="1" style="3279" customWidth="1"/>
    <col min="12759" max="12759" width="9.75" style="3279" customWidth="1"/>
    <col min="12760" max="12760" width="1" style="3279" customWidth="1"/>
    <col min="12761" max="12765" width="7.875" style="3279" customWidth="1"/>
    <col min="12766" max="12766" width="13.875" style="3279" customWidth="1"/>
    <col min="12767" max="12767" width="13.5" style="3279" customWidth="1"/>
    <col min="12768" max="12768" width="6.75" style="3279" customWidth="1"/>
    <col min="12769" max="12769" width="8.875" style="3279" customWidth="1"/>
    <col min="12770" max="12771" width="7.875" style="3279" customWidth="1"/>
    <col min="12772" max="12772" width="1.25" style="3279" customWidth="1"/>
    <col min="12773" max="12773" width="7.875" style="3279" customWidth="1"/>
    <col min="12774" max="12774" width="9.5" style="3279" bestFit="1" customWidth="1"/>
    <col min="12775" max="12775" width="9.125" style="3279" bestFit="1" customWidth="1"/>
    <col min="12776" max="12776" width="9.5" style="3279" customWidth="1"/>
    <col min="12777" max="12777" width="9.125" style="3279" customWidth="1"/>
    <col min="12778" max="12778" width="9.5" style="3279" customWidth="1"/>
    <col min="12779" max="12779" width="9.125" style="3279" customWidth="1"/>
    <col min="12780" max="13010" width="7" style="3279"/>
    <col min="13011" max="13011" width="1.25" style="3279" customWidth="1"/>
    <col min="13012" max="13013" width="7.875" style="3279" customWidth="1"/>
    <col min="13014" max="13014" width="1" style="3279" customWidth="1"/>
    <col min="13015" max="13015" width="9.75" style="3279" customWidth="1"/>
    <col min="13016" max="13016" width="1" style="3279" customWidth="1"/>
    <col min="13017" max="13021" width="7.875" style="3279" customWidth="1"/>
    <col min="13022" max="13022" width="13.875" style="3279" customWidth="1"/>
    <col min="13023" max="13023" width="13.5" style="3279" customWidth="1"/>
    <col min="13024" max="13024" width="6.75" style="3279" customWidth="1"/>
    <col min="13025" max="13025" width="8.875" style="3279" customWidth="1"/>
    <col min="13026" max="13027" width="7.875" style="3279" customWidth="1"/>
    <col min="13028" max="13028" width="1.25" style="3279" customWidth="1"/>
    <col min="13029" max="13029" width="7.875" style="3279" customWidth="1"/>
    <col min="13030" max="13030" width="9.5" style="3279" bestFit="1" customWidth="1"/>
    <col min="13031" max="13031" width="9.125" style="3279" bestFit="1" customWidth="1"/>
    <col min="13032" max="13032" width="9.5" style="3279" customWidth="1"/>
    <col min="13033" max="13033" width="9.125" style="3279" customWidth="1"/>
    <col min="13034" max="13034" width="9.5" style="3279" customWidth="1"/>
    <col min="13035" max="13035" width="9.125" style="3279" customWidth="1"/>
    <col min="13036" max="13266" width="7" style="3279"/>
    <col min="13267" max="13267" width="1.25" style="3279" customWidth="1"/>
    <col min="13268" max="13269" width="7.875" style="3279" customWidth="1"/>
    <col min="13270" max="13270" width="1" style="3279" customWidth="1"/>
    <col min="13271" max="13271" width="9.75" style="3279" customWidth="1"/>
    <col min="13272" max="13272" width="1" style="3279" customWidth="1"/>
    <col min="13273" max="13277" width="7.875" style="3279" customWidth="1"/>
    <col min="13278" max="13278" width="13.875" style="3279" customWidth="1"/>
    <col min="13279" max="13279" width="13.5" style="3279" customWidth="1"/>
    <col min="13280" max="13280" width="6.75" style="3279" customWidth="1"/>
    <col min="13281" max="13281" width="8.875" style="3279" customWidth="1"/>
    <col min="13282" max="13283" width="7.875" style="3279" customWidth="1"/>
    <col min="13284" max="13284" width="1.25" style="3279" customWidth="1"/>
    <col min="13285" max="13285" width="7.875" style="3279" customWidth="1"/>
    <col min="13286" max="13286" width="9.5" style="3279" bestFit="1" customWidth="1"/>
    <col min="13287" max="13287" width="9.125" style="3279" bestFit="1" customWidth="1"/>
    <col min="13288" max="13288" width="9.5" style="3279" customWidth="1"/>
    <col min="13289" max="13289" width="9.125" style="3279" customWidth="1"/>
    <col min="13290" max="13290" width="9.5" style="3279" customWidth="1"/>
    <col min="13291" max="13291" width="9.125" style="3279" customWidth="1"/>
    <col min="13292" max="13522" width="7" style="3279"/>
    <col min="13523" max="13523" width="1.25" style="3279" customWidth="1"/>
    <col min="13524" max="13525" width="7.875" style="3279" customWidth="1"/>
    <col min="13526" max="13526" width="1" style="3279" customWidth="1"/>
    <col min="13527" max="13527" width="9.75" style="3279" customWidth="1"/>
    <col min="13528" max="13528" width="1" style="3279" customWidth="1"/>
    <col min="13529" max="13533" width="7.875" style="3279" customWidth="1"/>
    <col min="13534" max="13534" width="13.875" style="3279" customWidth="1"/>
    <col min="13535" max="13535" width="13.5" style="3279" customWidth="1"/>
    <col min="13536" max="13536" width="6.75" style="3279" customWidth="1"/>
    <col min="13537" max="13537" width="8.875" style="3279" customWidth="1"/>
    <col min="13538" max="13539" width="7.875" style="3279" customWidth="1"/>
    <col min="13540" max="13540" width="1.25" style="3279" customWidth="1"/>
    <col min="13541" max="13541" width="7.875" style="3279" customWidth="1"/>
    <col min="13542" max="13542" width="9.5" style="3279" bestFit="1" customWidth="1"/>
    <col min="13543" max="13543" width="9.125" style="3279" bestFit="1" customWidth="1"/>
    <col min="13544" max="13544" width="9.5" style="3279" customWidth="1"/>
    <col min="13545" max="13545" width="9.125" style="3279" customWidth="1"/>
    <col min="13546" max="13546" width="9.5" style="3279" customWidth="1"/>
    <col min="13547" max="13547" width="9.125" style="3279" customWidth="1"/>
    <col min="13548" max="13778" width="7" style="3279"/>
    <col min="13779" max="13779" width="1.25" style="3279" customWidth="1"/>
    <col min="13780" max="13781" width="7.875" style="3279" customWidth="1"/>
    <col min="13782" max="13782" width="1" style="3279" customWidth="1"/>
    <col min="13783" max="13783" width="9.75" style="3279" customWidth="1"/>
    <col min="13784" max="13784" width="1" style="3279" customWidth="1"/>
    <col min="13785" max="13789" width="7.875" style="3279" customWidth="1"/>
    <col min="13790" max="13790" width="13.875" style="3279" customWidth="1"/>
    <col min="13791" max="13791" width="13.5" style="3279" customWidth="1"/>
    <col min="13792" max="13792" width="6.75" style="3279" customWidth="1"/>
    <col min="13793" max="13793" width="8.875" style="3279" customWidth="1"/>
    <col min="13794" max="13795" width="7.875" style="3279" customWidth="1"/>
    <col min="13796" max="13796" width="1.25" style="3279" customWidth="1"/>
    <col min="13797" max="13797" width="7.875" style="3279" customWidth="1"/>
    <col min="13798" max="13798" width="9.5" style="3279" bestFit="1" customWidth="1"/>
    <col min="13799" max="13799" width="9.125" style="3279" bestFit="1" customWidth="1"/>
    <col min="13800" max="13800" width="9.5" style="3279" customWidth="1"/>
    <col min="13801" max="13801" width="9.125" style="3279" customWidth="1"/>
    <col min="13802" max="13802" width="9.5" style="3279" customWidth="1"/>
    <col min="13803" max="13803" width="9.125" style="3279" customWidth="1"/>
    <col min="13804" max="14034" width="7" style="3279"/>
    <col min="14035" max="14035" width="1.25" style="3279" customWidth="1"/>
    <col min="14036" max="14037" width="7.875" style="3279" customWidth="1"/>
    <col min="14038" max="14038" width="1" style="3279" customWidth="1"/>
    <col min="14039" max="14039" width="9.75" style="3279" customWidth="1"/>
    <col min="14040" max="14040" width="1" style="3279" customWidth="1"/>
    <col min="14041" max="14045" width="7.875" style="3279" customWidth="1"/>
    <col min="14046" max="14046" width="13.875" style="3279" customWidth="1"/>
    <col min="14047" max="14047" width="13.5" style="3279" customWidth="1"/>
    <col min="14048" max="14048" width="6.75" style="3279" customWidth="1"/>
    <col min="14049" max="14049" width="8.875" style="3279" customWidth="1"/>
    <col min="14050" max="14051" width="7.875" style="3279" customWidth="1"/>
    <col min="14052" max="14052" width="1.25" style="3279" customWidth="1"/>
    <col min="14053" max="14053" width="7.875" style="3279" customWidth="1"/>
    <col min="14054" max="14054" width="9.5" style="3279" bestFit="1" customWidth="1"/>
    <col min="14055" max="14055" width="9.125" style="3279" bestFit="1" customWidth="1"/>
    <col min="14056" max="14056" width="9.5" style="3279" customWidth="1"/>
    <col min="14057" max="14057" width="9.125" style="3279" customWidth="1"/>
    <col min="14058" max="14058" width="9.5" style="3279" customWidth="1"/>
    <col min="14059" max="14059" width="9.125" style="3279" customWidth="1"/>
    <col min="14060" max="14290" width="7" style="3279"/>
    <col min="14291" max="14291" width="1.25" style="3279" customWidth="1"/>
    <col min="14292" max="14293" width="7.875" style="3279" customWidth="1"/>
    <col min="14294" max="14294" width="1" style="3279" customWidth="1"/>
    <col min="14295" max="14295" width="9.75" style="3279" customWidth="1"/>
    <col min="14296" max="14296" width="1" style="3279" customWidth="1"/>
    <col min="14297" max="14301" width="7.875" style="3279" customWidth="1"/>
    <col min="14302" max="14302" width="13.875" style="3279" customWidth="1"/>
    <col min="14303" max="14303" width="13.5" style="3279" customWidth="1"/>
    <col min="14304" max="14304" width="6.75" style="3279" customWidth="1"/>
    <col min="14305" max="14305" width="8.875" style="3279" customWidth="1"/>
    <col min="14306" max="14307" width="7.875" style="3279" customWidth="1"/>
    <col min="14308" max="14308" width="1.25" style="3279" customWidth="1"/>
    <col min="14309" max="14309" width="7.875" style="3279" customWidth="1"/>
    <col min="14310" max="14310" width="9.5" style="3279" bestFit="1" customWidth="1"/>
    <col min="14311" max="14311" width="9.125" style="3279" bestFit="1" customWidth="1"/>
    <col min="14312" max="14312" width="9.5" style="3279" customWidth="1"/>
    <col min="14313" max="14313" width="9.125" style="3279" customWidth="1"/>
    <col min="14314" max="14314" width="9.5" style="3279" customWidth="1"/>
    <col min="14315" max="14315" width="9.125" style="3279" customWidth="1"/>
    <col min="14316" max="14546" width="7" style="3279"/>
    <col min="14547" max="14547" width="1.25" style="3279" customWidth="1"/>
    <col min="14548" max="14549" width="7.875" style="3279" customWidth="1"/>
    <col min="14550" max="14550" width="1" style="3279" customWidth="1"/>
    <col min="14551" max="14551" width="9.75" style="3279" customWidth="1"/>
    <col min="14552" max="14552" width="1" style="3279" customWidth="1"/>
    <col min="14553" max="14557" width="7.875" style="3279" customWidth="1"/>
    <col min="14558" max="14558" width="13.875" style="3279" customWidth="1"/>
    <col min="14559" max="14559" width="13.5" style="3279" customWidth="1"/>
    <col min="14560" max="14560" width="6.75" style="3279" customWidth="1"/>
    <col min="14561" max="14561" width="8.875" style="3279" customWidth="1"/>
    <col min="14562" max="14563" width="7.875" style="3279" customWidth="1"/>
    <col min="14564" max="14564" width="1.25" style="3279" customWidth="1"/>
    <col min="14565" max="14565" width="7.875" style="3279" customWidth="1"/>
    <col min="14566" max="14566" width="9.5" style="3279" bestFit="1" customWidth="1"/>
    <col min="14567" max="14567" width="9.125" style="3279" bestFit="1" customWidth="1"/>
    <col min="14568" max="14568" width="9.5" style="3279" customWidth="1"/>
    <col min="14569" max="14569" width="9.125" style="3279" customWidth="1"/>
    <col min="14570" max="14570" width="9.5" style="3279" customWidth="1"/>
    <col min="14571" max="14571" width="9.125" style="3279" customWidth="1"/>
    <col min="14572" max="14802" width="7" style="3279"/>
    <col min="14803" max="14803" width="1.25" style="3279" customWidth="1"/>
    <col min="14804" max="14805" width="7.875" style="3279" customWidth="1"/>
    <col min="14806" max="14806" width="1" style="3279" customWidth="1"/>
    <col min="14807" max="14807" width="9.75" style="3279" customWidth="1"/>
    <col min="14808" max="14808" width="1" style="3279" customWidth="1"/>
    <col min="14809" max="14813" width="7.875" style="3279" customWidth="1"/>
    <col min="14814" max="14814" width="13.875" style="3279" customWidth="1"/>
    <col min="14815" max="14815" width="13.5" style="3279" customWidth="1"/>
    <col min="14816" max="14816" width="6.75" style="3279" customWidth="1"/>
    <col min="14817" max="14817" width="8.875" style="3279" customWidth="1"/>
    <col min="14818" max="14819" width="7.875" style="3279" customWidth="1"/>
    <col min="14820" max="14820" width="1.25" style="3279" customWidth="1"/>
    <col min="14821" max="14821" width="7.875" style="3279" customWidth="1"/>
    <col min="14822" max="14822" width="9.5" style="3279" bestFit="1" customWidth="1"/>
    <col min="14823" max="14823" width="9.125" style="3279" bestFit="1" customWidth="1"/>
    <col min="14824" max="14824" width="9.5" style="3279" customWidth="1"/>
    <col min="14825" max="14825" width="9.125" style="3279" customWidth="1"/>
    <col min="14826" max="14826" width="9.5" style="3279" customWidth="1"/>
    <col min="14827" max="14827" width="9.125" style="3279" customWidth="1"/>
    <col min="14828" max="15058" width="7" style="3279"/>
    <col min="15059" max="15059" width="1.25" style="3279" customWidth="1"/>
    <col min="15060" max="15061" width="7.875" style="3279" customWidth="1"/>
    <col min="15062" max="15062" width="1" style="3279" customWidth="1"/>
    <col min="15063" max="15063" width="9.75" style="3279" customWidth="1"/>
    <col min="15064" max="15064" width="1" style="3279" customWidth="1"/>
    <col min="15065" max="15069" width="7.875" style="3279" customWidth="1"/>
    <col min="15070" max="15070" width="13.875" style="3279" customWidth="1"/>
    <col min="15071" max="15071" width="13.5" style="3279" customWidth="1"/>
    <col min="15072" max="15072" width="6.75" style="3279" customWidth="1"/>
    <col min="15073" max="15073" width="8.875" style="3279" customWidth="1"/>
    <col min="15074" max="15075" width="7.875" style="3279" customWidth="1"/>
    <col min="15076" max="15076" width="1.25" style="3279" customWidth="1"/>
    <col min="15077" max="15077" width="7.875" style="3279" customWidth="1"/>
    <col min="15078" max="15078" width="9.5" style="3279" bestFit="1" customWidth="1"/>
    <col min="15079" max="15079" width="9.125" style="3279" bestFit="1" customWidth="1"/>
    <col min="15080" max="15080" width="9.5" style="3279" customWidth="1"/>
    <col min="15081" max="15081" width="9.125" style="3279" customWidth="1"/>
    <col min="15082" max="15082" width="9.5" style="3279" customWidth="1"/>
    <col min="15083" max="15083" width="9.125" style="3279" customWidth="1"/>
    <col min="15084" max="15314" width="7" style="3279"/>
    <col min="15315" max="15315" width="1.25" style="3279" customWidth="1"/>
    <col min="15316" max="15317" width="7.875" style="3279" customWidth="1"/>
    <col min="15318" max="15318" width="1" style="3279" customWidth="1"/>
    <col min="15319" max="15319" width="9.75" style="3279" customWidth="1"/>
    <col min="15320" max="15320" width="1" style="3279" customWidth="1"/>
    <col min="15321" max="15325" width="7.875" style="3279" customWidth="1"/>
    <col min="15326" max="15326" width="13.875" style="3279" customWidth="1"/>
    <col min="15327" max="15327" width="13.5" style="3279" customWidth="1"/>
    <col min="15328" max="15328" width="6.75" style="3279" customWidth="1"/>
    <col min="15329" max="15329" width="8.875" style="3279" customWidth="1"/>
    <col min="15330" max="15331" width="7.875" style="3279" customWidth="1"/>
    <col min="15332" max="15332" width="1.25" style="3279" customWidth="1"/>
    <col min="15333" max="15333" width="7.875" style="3279" customWidth="1"/>
    <col min="15334" max="15334" width="9.5" style="3279" bestFit="1" customWidth="1"/>
    <col min="15335" max="15335" width="9.125" style="3279" bestFit="1" customWidth="1"/>
    <col min="15336" max="15336" width="9.5" style="3279" customWidth="1"/>
    <col min="15337" max="15337" width="9.125" style="3279" customWidth="1"/>
    <col min="15338" max="15338" width="9.5" style="3279" customWidth="1"/>
    <col min="15339" max="15339" width="9.125" style="3279" customWidth="1"/>
    <col min="15340" max="15570" width="7" style="3279"/>
    <col min="15571" max="15571" width="1.25" style="3279" customWidth="1"/>
    <col min="15572" max="15573" width="7.875" style="3279" customWidth="1"/>
    <col min="15574" max="15574" width="1" style="3279" customWidth="1"/>
    <col min="15575" max="15575" width="9.75" style="3279" customWidth="1"/>
    <col min="15576" max="15576" width="1" style="3279" customWidth="1"/>
    <col min="15577" max="15581" width="7.875" style="3279" customWidth="1"/>
    <col min="15582" max="15582" width="13.875" style="3279" customWidth="1"/>
    <col min="15583" max="15583" width="13.5" style="3279" customWidth="1"/>
    <col min="15584" max="15584" width="6.75" style="3279" customWidth="1"/>
    <col min="15585" max="15585" width="8.875" style="3279" customWidth="1"/>
    <col min="15586" max="15587" width="7.875" style="3279" customWidth="1"/>
    <col min="15588" max="15588" width="1.25" style="3279" customWidth="1"/>
    <col min="15589" max="15589" width="7.875" style="3279" customWidth="1"/>
    <col min="15590" max="15590" width="9.5" style="3279" bestFit="1" customWidth="1"/>
    <col min="15591" max="15591" width="9.125" style="3279" bestFit="1" customWidth="1"/>
    <col min="15592" max="15592" width="9.5" style="3279" customWidth="1"/>
    <col min="15593" max="15593" width="9.125" style="3279" customWidth="1"/>
    <col min="15594" max="15594" width="9.5" style="3279" customWidth="1"/>
    <col min="15595" max="15595" width="9.125" style="3279" customWidth="1"/>
    <col min="15596" max="15826" width="7" style="3279"/>
    <col min="15827" max="15827" width="1.25" style="3279" customWidth="1"/>
    <col min="15828" max="15829" width="7.875" style="3279" customWidth="1"/>
    <col min="15830" max="15830" width="1" style="3279" customWidth="1"/>
    <col min="15831" max="15831" width="9.75" style="3279" customWidth="1"/>
    <col min="15832" max="15832" width="1" style="3279" customWidth="1"/>
    <col min="15833" max="15837" width="7.875" style="3279" customWidth="1"/>
    <col min="15838" max="15838" width="13.875" style="3279" customWidth="1"/>
    <col min="15839" max="15839" width="13.5" style="3279" customWidth="1"/>
    <col min="15840" max="15840" width="6.75" style="3279" customWidth="1"/>
    <col min="15841" max="15841" width="8.875" style="3279" customWidth="1"/>
    <col min="15842" max="15843" width="7.875" style="3279" customWidth="1"/>
    <col min="15844" max="15844" width="1.25" style="3279" customWidth="1"/>
    <col min="15845" max="15845" width="7.875" style="3279" customWidth="1"/>
    <col min="15846" max="15846" width="9.5" style="3279" bestFit="1" customWidth="1"/>
    <col min="15847" max="15847" width="9.125" style="3279" bestFit="1" customWidth="1"/>
    <col min="15848" max="15848" width="9.5" style="3279" customWidth="1"/>
    <col min="15849" max="15849" width="9.125" style="3279" customWidth="1"/>
    <col min="15850" max="15850" width="9.5" style="3279" customWidth="1"/>
    <col min="15851" max="15851" width="9.125" style="3279" customWidth="1"/>
    <col min="15852" max="16082" width="7" style="3279"/>
    <col min="16083" max="16083" width="1.25" style="3279" customWidth="1"/>
    <col min="16084" max="16085" width="7.875" style="3279" customWidth="1"/>
    <col min="16086" max="16086" width="1" style="3279" customWidth="1"/>
    <col min="16087" max="16087" width="9.75" style="3279" customWidth="1"/>
    <col min="16088" max="16088" width="1" style="3279" customWidth="1"/>
    <col min="16089" max="16093" width="7.875" style="3279" customWidth="1"/>
    <col min="16094" max="16094" width="13.875" style="3279" customWidth="1"/>
    <col min="16095" max="16095" width="13.5" style="3279" customWidth="1"/>
    <col min="16096" max="16096" width="6.75" style="3279" customWidth="1"/>
    <col min="16097" max="16097" width="8.875" style="3279" customWidth="1"/>
    <col min="16098" max="16099" width="7.875" style="3279" customWidth="1"/>
    <col min="16100" max="16100" width="1.25" style="3279" customWidth="1"/>
    <col min="16101" max="16101" width="7.875" style="3279" customWidth="1"/>
    <col min="16102" max="16102" width="9.5" style="3279" bestFit="1" customWidth="1"/>
    <col min="16103" max="16103" width="9.125" style="3279" bestFit="1" customWidth="1"/>
    <col min="16104" max="16104" width="9.5" style="3279" customWidth="1"/>
    <col min="16105" max="16105" width="9.125" style="3279" customWidth="1"/>
    <col min="16106" max="16106" width="9.5" style="3279" customWidth="1"/>
    <col min="16107" max="16107" width="9.125" style="3279" customWidth="1"/>
    <col min="16108" max="16384" width="7" style="3279"/>
  </cols>
  <sheetData>
    <row r="2" spans="2:26" s="3272" customFormat="1" ht="6" customHeight="1">
      <c r="B2" s="3268"/>
      <c r="C2" s="3269"/>
      <c r="D2" s="3269"/>
      <c r="E2" s="3269"/>
      <c r="F2" s="3269"/>
      <c r="G2" s="3269"/>
      <c r="H2" s="3269"/>
      <c r="I2" s="3269"/>
      <c r="J2" s="3270"/>
      <c r="K2" s="3270"/>
      <c r="L2" s="3270"/>
      <c r="M2" s="3270"/>
      <c r="N2" s="3269"/>
      <c r="O2" s="3269"/>
      <c r="P2" s="3269"/>
      <c r="Q2" s="3269"/>
      <c r="R2" s="3269"/>
      <c r="S2" s="3269"/>
      <c r="T2" s="3269"/>
      <c r="U2" s="3271"/>
    </row>
    <row r="3" spans="2:26" s="3272" customFormat="1" ht="20.25">
      <c r="B3" s="3273"/>
      <c r="C3" s="1778"/>
      <c r="D3" s="4482" t="s">
        <v>821</v>
      </c>
      <c r="E3" s="4483"/>
      <c r="F3" s="4483"/>
      <c r="G3" s="4483"/>
      <c r="H3" s="4483"/>
      <c r="I3" s="4483"/>
      <c r="J3" s="4483"/>
      <c r="K3" s="4483"/>
      <c r="L3" s="4483"/>
      <c r="M3" s="4483"/>
      <c r="N3" s="4483"/>
      <c r="O3" s="4483"/>
      <c r="P3" s="4483"/>
      <c r="Q3" s="4483"/>
      <c r="R3" s="4483"/>
      <c r="S3" s="4483"/>
      <c r="T3" s="4484"/>
      <c r="U3" s="3275"/>
    </row>
    <row r="4" spans="2:26" s="3272" customFormat="1" ht="15.75">
      <c r="B4" s="3273"/>
      <c r="C4" s="3975"/>
      <c r="D4" s="4961" t="s">
        <v>819</v>
      </c>
      <c r="E4" s="4486"/>
      <c r="F4" s="4486"/>
      <c r="G4" s="4486"/>
      <c r="H4" s="4486"/>
      <c r="I4" s="4486"/>
      <c r="J4" s="4486"/>
      <c r="K4" s="4486"/>
      <c r="L4" s="4486"/>
      <c r="M4" s="4486"/>
      <c r="N4" s="4486"/>
      <c r="O4" s="4486"/>
      <c r="P4" s="4486"/>
      <c r="Q4" s="4486"/>
      <c r="R4" s="4486"/>
      <c r="S4" s="4486"/>
      <c r="T4" s="4487"/>
      <c r="U4" s="3275"/>
    </row>
    <row r="5" spans="2:26" s="3272" customFormat="1" ht="15.75">
      <c r="B5" s="3273"/>
      <c r="C5" s="3975"/>
      <c r="D5" s="4961" t="s">
        <v>820</v>
      </c>
      <c r="E5" s="4486"/>
      <c r="F5" s="4486"/>
      <c r="G5" s="4486"/>
      <c r="H5" s="4486"/>
      <c r="I5" s="4486"/>
      <c r="J5" s="4486"/>
      <c r="K5" s="4486"/>
      <c r="L5" s="4486"/>
      <c r="M5" s="4486"/>
      <c r="N5" s="4486"/>
      <c r="O5" s="4486"/>
      <c r="P5" s="4486"/>
      <c r="Q5" s="4486"/>
      <c r="R5" s="4486"/>
      <c r="S5" s="4486"/>
      <c r="T5" s="4487"/>
      <c r="U5" s="3275"/>
    </row>
    <row r="6" spans="2:26" s="3272" customFormat="1" ht="15.75">
      <c r="B6" s="3273"/>
      <c r="C6" s="3975"/>
      <c r="D6" s="4961" t="s">
        <v>830</v>
      </c>
      <c r="E6" s="4486"/>
      <c r="F6" s="4486"/>
      <c r="G6" s="4486"/>
      <c r="H6" s="4486"/>
      <c r="I6" s="4486"/>
      <c r="J6" s="4486"/>
      <c r="K6" s="4486"/>
      <c r="L6" s="4486"/>
      <c r="M6" s="4486"/>
      <c r="N6" s="4486"/>
      <c r="O6" s="4486"/>
      <c r="P6" s="4486"/>
      <c r="Q6" s="4486"/>
      <c r="R6" s="4486"/>
      <c r="S6" s="4486"/>
      <c r="T6" s="4487"/>
      <c r="U6" s="3275"/>
    </row>
    <row r="7" spans="2:26" s="3272" customFormat="1" ht="15.75">
      <c r="B7" s="3273"/>
      <c r="C7" s="1780"/>
      <c r="D7" s="4488" t="s">
        <v>827</v>
      </c>
      <c r="E7" s="4489"/>
      <c r="F7" s="4489"/>
      <c r="G7" s="4489"/>
      <c r="H7" s="4489"/>
      <c r="I7" s="4489"/>
      <c r="J7" s="4489"/>
      <c r="K7" s="4489"/>
      <c r="L7" s="4489"/>
      <c r="M7" s="4489"/>
      <c r="N7" s="4489"/>
      <c r="O7" s="4489"/>
      <c r="P7" s="4489"/>
      <c r="Q7" s="4489"/>
      <c r="R7" s="4489"/>
      <c r="S7" s="4489"/>
      <c r="T7" s="4490"/>
      <c r="U7" s="3275"/>
    </row>
    <row r="8" spans="2:26" ht="6" customHeight="1">
      <c r="B8" s="3278"/>
      <c r="C8" s="1750"/>
      <c r="D8" s="1759"/>
      <c r="E8" s="1759"/>
      <c r="F8" s="1759"/>
      <c r="G8" s="1759"/>
      <c r="H8" s="1759"/>
      <c r="I8" s="1760"/>
      <c r="J8" s="1760"/>
      <c r="K8" s="1760"/>
      <c r="L8" s="1760"/>
      <c r="M8" s="1760"/>
      <c r="N8" s="1761"/>
      <c r="O8" s="1761"/>
      <c r="P8" s="1742"/>
      <c r="Q8" s="1742"/>
      <c r="R8" s="1742"/>
      <c r="S8" s="1742"/>
      <c r="T8" s="1742"/>
      <c r="U8" s="1743"/>
    </row>
    <row r="9" spans="2:26" ht="21">
      <c r="B9" s="3278"/>
      <c r="C9" s="4885" t="s">
        <v>1494</v>
      </c>
      <c r="D9" s="4886"/>
      <c r="E9" s="4886"/>
      <c r="F9" s="4886"/>
      <c r="G9" s="4886"/>
      <c r="H9" s="4886"/>
      <c r="I9" s="4886"/>
      <c r="J9" s="4886"/>
      <c r="K9" s="4886"/>
      <c r="L9" s="4886"/>
      <c r="M9" s="4886"/>
      <c r="N9" s="4886"/>
      <c r="O9" s="4886"/>
      <c r="P9" s="4886"/>
      <c r="Q9" s="4886"/>
      <c r="R9" s="4886"/>
      <c r="S9" s="4886"/>
      <c r="T9" s="4887"/>
      <c r="U9" s="1755"/>
    </row>
    <row r="10" spans="2:26" ht="18.75">
      <c r="B10" s="3278"/>
      <c r="C10" s="4580" t="s">
        <v>1351</v>
      </c>
      <c r="D10" s="4581"/>
      <c r="E10" s="4581"/>
      <c r="F10" s="4581"/>
      <c r="G10" s="4581"/>
      <c r="H10" s="4581"/>
      <c r="I10" s="4581"/>
      <c r="J10" s="4581"/>
      <c r="K10" s="4581"/>
      <c r="L10" s="4581"/>
      <c r="M10" s="4581"/>
      <c r="N10" s="4581"/>
      <c r="O10" s="4581"/>
      <c r="P10" s="4581"/>
      <c r="Q10" s="4581"/>
      <c r="R10" s="4581"/>
      <c r="S10" s="4581"/>
      <c r="T10" s="4582"/>
      <c r="U10" s="1752"/>
    </row>
    <row r="11" spans="2:26">
      <c r="B11" s="3455"/>
      <c r="C11" s="1747"/>
      <c r="D11" s="1747"/>
      <c r="E11" s="1747"/>
      <c r="F11" s="1747"/>
      <c r="G11" s="1747"/>
      <c r="H11" s="1747"/>
      <c r="I11" s="1747"/>
      <c r="J11" s="1747"/>
      <c r="K11" s="1747"/>
      <c r="L11" s="1747"/>
      <c r="M11" s="1747"/>
      <c r="N11" s="1747"/>
      <c r="O11" s="1747"/>
      <c r="P11" s="1747"/>
      <c r="Q11" s="1747"/>
      <c r="R11" s="1747"/>
      <c r="S11" s="1747"/>
      <c r="T11" s="1747"/>
      <c r="U11" s="1748"/>
    </row>
    <row r="12" spans="2:26" s="3280" customFormat="1" ht="20.100000000000001" customHeight="1">
      <c r="B12" s="2748"/>
      <c r="C12" s="1745" t="s">
        <v>845</v>
      </c>
      <c r="H12" s="1742"/>
      <c r="I12" s="1742"/>
      <c r="J12" s="1742"/>
      <c r="K12" s="1742"/>
      <c r="L12" s="1742"/>
      <c r="S12" s="1742"/>
      <c r="T12" s="1742"/>
      <c r="U12" s="1743"/>
      <c r="X12" s="3280" t="s">
        <v>1549</v>
      </c>
    </row>
    <row r="13" spans="2:26" s="3280" customFormat="1" ht="20.100000000000001" customHeight="1">
      <c r="B13" s="2748"/>
      <c r="C13" s="1742" t="s">
        <v>97</v>
      </c>
      <c r="E13" s="1742" t="s">
        <v>27</v>
      </c>
      <c r="F13" s="3289" t="str">
        <f>'56X'!$E$12</f>
        <v xml:space="preserve">PT Itamatra Nusantara </v>
      </c>
      <c r="I13" s="1742"/>
      <c r="J13" s="1742"/>
      <c r="K13" s="1742"/>
      <c r="L13" s="1742"/>
      <c r="O13" s="3280" t="s">
        <v>394</v>
      </c>
      <c r="P13" s="2"/>
      <c r="Q13" s="1762" t="s">
        <v>27</v>
      </c>
      <c r="R13" s="5" t="s">
        <v>823</v>
      </c>
      <c r="S13" s="1742"/>
      <c r="T13" s="1742"/>
      <c r="U13" s="1743"/>
      <c r="Y13" s="3313" t="s">
        <v>124</v>
      </c>
      <c r="Z13" s="3313" t="s">
        <v>123</v>
      </c>
    </row>
    <row r="14" spans="2:26" s="3280" customFormat="1" ht="20.100000000000001" customHeight="1">
      <c r="B14" s="2748"/>
      <c r="C14" s="1742" t="str">
        <f>GS!E16</f>
        <v>Proyek / Project</v>
      </c>
      <c r="E14" s="1742" t="s">
        <v>27</v>
      </c>
      <c r="F14" s="3289"/>
      <c r="I14" s="1742"/>
      <c r="J14" s="1742"/>
      <c r="K14" s="1742"/>
      <c r="L14" s="1742"/>
      <c r="O14" s="3280" t="s">
        <v>822</v>
      </c>
      <c r="P14" s="2"/>
      <c r="Q14" s="1762" t="s">
        <v>27</v>
      </c>
      <c r="R14" s="832" t="s">
        <v>824</v>
      </c>
      <c r="S14" s="1742"/>
      <c r="T14" s="1742"/>
      <c r="U14" s="1743"/>
      <c r="X14" s="3280" t="s">
        <v>935</v>
      </c>
      <c r="Y14" s="3313">
        <v>101.6</v>
      </c>
      <c r="Z14" s="3313">
        <v>101.8</v>
      </c>
    </row>
    <row r="15" spans="2:26" s="3280" customFormat="1" ht="20.100000000000001" customHeight="1">
      <c r="B15" s="2748"/>
      <c r="C15" s="1762" t="s">
        <v>860</v>
      </c>
      <c r="E15" s="1762" t="s">
        <v>27</v>
      </c>
      <c r="F15" s="3462"/>
      <c r="H15" s="1742"/>
      <c r="I15" s="1742"/>
      <c r="J15" s="1742"/>
      <c r="K15" s="1742"/>
      <c r="L15" s="1742"/>
      <c r="O15" s="1762" t="s">
        <v>395</v>
      </c>
      <c r="P15" s="1781"/>
      <c r="Q15" s="1762" t="s">
        <v>27</v>
      </c>
      <c r="R15" s="4430">
        <f>Details!B37</f>
        <v>46225</v>
      </c>
      <c r="S15" s="4430"/>
      <c r="T15" s="1742"/>
      <c r="U15" s="1743"/>
      <c r="X15" s="3280" t="s">
        <v>1550</v>
      </c>
      <c r="Y15" s="3313">
        <v>116.4</v>
      </c>
      <c r="Z15" s="3313">
        <v>116.7</v>
      </c>
    </row>
    <row r="16" spans="2:26" s="3280" customFormat="1" ht="20.100000000000001" customHeight="1">
      <c r="B16" s="2748"/>
      <c r="C16" s="1762" t="s">
        <v>100</v>
      </c>
      <c r="E16" s="1762" t="s">
        <v>27</v>
      </c>
      <c r="F16" s="3289"/>
      <c r="I16" s="1742"/>
      <c r="K16" s="1742"/>
      <c r="L16" s="1742"/>
      <c r="O16" s="1742" t="s">
        <v>396</v>
      </c>
      <c r="P16" s="2"/>
      <c r="Q16" s="1742" t="s">
        <v>27</v>
      </c>
      <c r="R16" s="4428" t="str">
        <f>Details!B22</f>
        <v>AS Sumartadji</v>
      </c>
      <c r="S16" s="4428"/>
      <c r="T16" s="1742"/>
      <c r="U16" s="1743"/>
      <c r="X16" s="3280" t="s">
        <v>1551</v>
      </c>
      <c r="Y16" s="3313">
        <v>4207.7</v>
      </c>
      <c r="Z16" s="3313">
        <v>4320.3999999999996</v>
      </c>
    </row>
    <row r="17" spans="2:28" s="3280" customFormat="1" ht="20.100000000000001" customHeight="1">
      <c r="B17" s="2748"/>
      <c r="C17" s="1742" t="s">
        <v>98</v>
      </c>
      <c r="E17" s="1762" t="s">
        <v>27</v>
      </c>
      <c r="F17" s="3289"/>
      <c r="H17" s="1742"/>
      <c r="I17" s="1742"/>
      <c r="J17" s="1765"/>
      <c r="K17" s="1765"/>
      <c r="L17" s="1742"/>
      <c r="O17" s="1742" t="s">
        <v>186</v>
      </c>
      <c r="P17" s="2"/>
      <c r="Q17" s="1742" t="s">
        <v>27</v>
      </c>
      <c r="R17" s="4426" t="str">
        <f>Details!B2</f>
        <v>MGS/02/VI/2026</v>
      </c>
      <c r="S17" s="4426"/>
      <c r="T17" s="1742"/>
      <c r="U17" s="1743"/>
    </row>
    <row r="18" spans="2:28" s="3280" customFormat="1" ht="20.100000000000001" customHeight="1">
      <c r="B18" s="2748"/>
      <c r="C18" s="1742" t="s">
        <v>1041</v>
      </c>
      <c r="E18" s="3280" t="s">
        <v>27</v>
      </c>
      <c r="F18" s="3282"/>
      <c r="H18" s="1742"/>
      <c r="I18" s="1742"/>
      <c r="J18" s="1742"/>
      <c r="K18" s="1742"/>
      <c r="L18" s="1742"/>
      <c r="T18" s="1742"/>
      <c r="U18" s="1743"/>
      <c r="X18" s="3280" t="s">
        <v>1552</v>
      </c>
      <c r="Z18" s="4060" t="s">
        <v>1417</v>
      </c>
    </row>
    <row r="19" spans="2:28" s="3280" customFormat="1" ht="20.100000000000001" customHeight="1">
      <c r="B19" s="2748"/>
      <c r="C19" s="1742" t="s">
        <v>101</v>
      </c>
      <c r="E19" s="1742" t="s">
        <v>27</v>
      </c>
      <c r="F19" s="3289"/>
      <c r="H19" s="1742"/>
      <c r="I19" s="1742"/>
      <c r="J19" s="1742"/>
      <c r="K19" s="1742"/>
      <c r="L19" s="1742"/>
      <c r="M19" s="1742"/>
      <c r="N19" s="1742"/>
      <c r="O19" s="1742"/>
      <c r="P19" s="1742"/>
      <c r="Q19" s="1742"/>
      <c r="R19" s="1742"/>
      <c r="S19" s="1742"/>
      <c r="T19" s="1742"/>
      <c r="U19" s="1743"/>
    </row>
    <row r="20" spans="2:28" s="3280" customFormat="1" ht="20.100000000000001" customHeight="1">
      <c r="B20" s="3290"/>
      <c r="C20" s="3280" t="s">
        <v>1034</v>
      </c>
      <c r="U20" s="3293"/>
    </row>
    <row r="21" spans="2:28" s="3280" customFormat="1" ht="20.100000000000001" customHeight="1">
      <c r="B21" s="3290"/>
      <c r="F21" s="4965" t="s">
        <v>1495</v>
      </c>
      <c r="G21" s="4966"/>
      <c r="H21" s="4966"/>
      <c r="I21" s="4966"/>
      <c r="J21" s="4966"/>
      <c r="K21" s="4966"/>
      <c r="L21" s="4966"/>
      <c r="M21" s="4966"/>
      <c r="N21" s="4967"/>
      <c r="U21" s="3293"/>
      <c r="X21" s="3325" t="s">
        <v>1496</v>
      </c>
    </row>
    <row r="22" spans="2:28" s="3280" customFormat="1" ht="20.100000000000001" customHeight="1">
      <c r="B22" s="3290"/>
      <c r="F22" s="3976" t="s">
        <v>1497</v>
      </c>
      <c r="G22" s="3976"/>
      <c r="H22" s="3976"/>
      <c r="I22" s="3885" t="s">
        <v>37</v>
      </c>
      <c r="J22" s="3977">
        <v>5575.3</v>
      </c>
      <c r="K22" s="3977">
        <v>5677</v>
      </c>
      <c r="L22" s="3977">
        <v>5811.6</v>
      </c>
      <c r="M22" s="3977">
        <v>5778</v>
      </c>
      <c r="N22" s="3977">
        <v>5696</v>
      </c>
      <c r="U22" s="3293"/>
      <c r="X22" s="3280" t="s">
        <v>1498</v>
      </c>
      <c r="Y22" s="3978">
        <v>10.220000000000001</v>
      </c>
    </row>
    <row r="23" spans="2:28" s="3280" customFormat="1" ht="20.100000000000001" customHeight="1">
      <c r="B23" s="3290"/>
      <c r="F23" s="4962" t="s">
        <v>1499</v>
      </c>
      <c r="G23" s="4963"/>
      <c r="H23" s="4964"/>
      <c r="I23" s="3885" t="s">
        <v>37</v>
      </c>
      <c r="J23" s="3977">
        <f>IF(Z18="", "", HLOOKUP(Z18, $Y$13:$Z$16, 4, FALSE))</f>
        <v>4207.7</v>
      </c>
      <c r="K23" s="3977">
        <f>J23</f>
        <v>4207.7</v>
      </c>
      <c r="L23" s="3977">
        <f>J23</f>
        <v>4207.7</v>
      </c>
      <c r="M23" s="3977">
        <f>J23</f>
        <v>4207.7</v>
      </c>
      <c r="N23" s="3977">
        <f>J23</f>
        <v>4207.7</v>
      </c>
      <c r="U23" s="3293"/>
      <c r="X23" s="3280" t="s">
        <v>1500</v>
      </c>
      <c r="Y23" s="3978">
        <v>11.2</v>
      </c>
    </row>
    <row r="24" spans="2:28" s="3280" customFormat="1" ht="20.100000000000001" customHeight="1">
      <c r="B24" s="3290"/>
      <c r="F24" s="4962" t="s">
        <v>1501</v>
      </c>
      <c r="G24" s="4963"/>
      <c r="H24" s="4964"/>
      <c r="I24" s="3885" t="s">
        <v>37</v>
      </c>
      <c r="J24" s="4061">
        <f>IF(OR(J22="", J23=""), "", J22-J23)</f>
        <v>1367.6000000000004</v>
      </c>
      <c r="K24" s="4061">
        <f t="shared" ref="K24:N24" si="0">IF(OR(K22="", K23=""), "", K22-K23)</f>
        <v>1469.3000000000002</v>
      </c>
      <c r="L24" s="4061">
        <f t="shared" si="0"/>
        <v>1603.9000000000005</v>
      </c>
      <c r="M24" s="4061">
        <f t="shared" si="0"/>
        <v>1570.3000000000002</v>
      </c>
      <c r="N24" s="4061">
        <f t="shared" si="0"/>
        <v>1488.3000000000002</v>
      </c>
      <c r="U24" s="3293"/>
      <c r="X24" s="3280" t="s">
        <v>1502</v>
      </c>
      <c r="Y24" s="3555">
        <f>((PI()*(Y22/2)^2)*Y23)</f>
        <v>918.7761131337827</v>
      </c>
    </row>
    <row r="25" spans="2:28" s="3280" customFormat="1" ht="20.100000000000001" customHeight="1">
      <c r="B25" s="3290"/>
      <c r="F25" s="4962" t="s">
        <v>1503</v>
      </c>
      <c r="G25" s="4963"/>
      <c r="H25" s="4964"/>
      <c r="I25" s="3885" t="s">
        <v>1548</v>
      </c>
      <c r="J25" s="3979">
        <f>IF(Z18="", "", (PI()/4)*(HLOOKUP(Z18, $Y$13:$Z$16, 2, FALSE)/10)^2*(HLOOKUP(Z18, $Y$13:$Z$16, 3, FALSE)/10))</f>
        <v>943.69200907117977</v>
      </c>
      <c r="K25" s="3979">
        <f>J25</f>
        <v>943.69200907117977</v>
      </c>
      <c r="L25" s="3979">
        <f>K25</f>
        <v>943.69200907117977</v>
      </c>
      <c r="M25" s="3979">
        <f>L25</f>
        <v>943.69200907117977</v>
      </c>
      <c r="N25" s="3979">
        <f>M25</f>
        <v>943.69200907117977</v>
      </c>
      <c r="U25" s="3293"/>
      <c r="Y25" s="3280">
        <v>938</v>
      </c>
    </row>
    <row r="26" spans="2:28" s="3280" customFormat="1" ht="20.100000000000001" customHeight="1">
      <c r="B26" s="3290"/>
      <c r="F26" s="4962" t="s">
        <v>1505</v>
      </c>
      <c r="G26" s="4963"/>
      <c r="H26" s="4964"/>
      <c r="I26" s="3885" t="s">
        <v>1504</v>
      </c>
      <c r="J26" s="3980">
        <f>IFERROR(J24/J25, "")</f>
        <v>1.4492016323694932</v>
      </c>
      <c r="K26" s="3980">
        <f t="shared" ref="K26:N26" si="1">IFERROR(K24/K25, "")</f>
        <v>1.5569698438435917</v>
      </c>
      <c r="L26" s="3980">
        <f t="shared" si="1"/>
        <v>1.6996011247129501</v>
      </c>
      <c r="M26" s="3980">
        <f t="shared" si="1"/>
        <v>1.6639962878837489</v>
      </c>
      <c r="N26" s="3980">
        <f t="shared" si="1"/>
        <v>1.5771035313362947</v>
      </c>
      <c r="U26" s="3314"/>
    </row>
    <row r="27" spans="2:28" s="3280" customFormat="1" ht="19.5" customHeight="1">
      <c r="B27" s="3290"/>
      <c r="F27" s="4962" t="s">
        <v>1506</v>
      </c>
      <c r="G27" s="4963"/>
      <c r="H27" s="4964"/>
      <c r="I27" s="3885" t="s">
        <v>1504</v>
      </c>
      <c r="J27" s="4061">
        <f>IFERROR(J26/(1+J36/100), "")</f>
        <v>1.0354276061549237</v>
      </c>
      <c r="K27" s="4061">
        <f t="shared" ref="K27:N27" si="2">IFERROR(K26/(1+K36/100), "")</f>
        <v>1.096125136280383</v>
      </c>
      <c r="L27" s="4061">
        <f t="shared" si="2"/>
        <v>1.1691327046126441</v>
      </c>
      <c r="M27" s="4061">
        <f t="shared" si="2"/>
        <v>1.1217826106559929</v>
      </c>
      <c r="N27" s="4061">
        <f t="shared" si="2"/>
        <v>1.0421377699237933</v>
      </c>
      <c r="U27" s="3293"/>
    </row>
    <row r="28" spans="2:28" s="3280" customFormat="1" ht="19.5" customHeight="1">
      <c r="B28" s="3290"/>
      <c r="F28" s="4003" t="s">
        <v>1538</v>
      </c>
      <c r="G28" s="4004"/>
      <c r="H28" s="4004"/>
      <c r="I28" s="3885"/>
      <c r="J28" s="3980">
        <f>IFERROR($J$53/(((J36/100)*$J$53)+1), "")</f>
        <v>1.2869803112499651</v>
      </c>
      <c r="K28" s="3980">
        <f t="shared" ref="K28:N28" si="3">IFERROR($J$53/(((K36/100)*$J$53)+1), "")</f>
        <v>1.2534048100052806</v>
      </c>
      <c r="L28" s="3980">
        <f t="shared" si="3"/>
        <v>1.2031895397182666</v>
      </c>
      <c r="M28" s="3980">
        <f t="shared" si="3"/>
        <v>1.1617827259011535</v>
      </c>
      <c r="N28" s="3980">
        <f t="shared" si="3"/>
        <v>1.1226733158088231</v>
      </c>
      <c r="U28" s="3293"/>
      <c r="X28" s="3325" t="s">
        <v>1507</v>
      </c>
      <c r="Y28" s="3325" t="s">
        <v>1508</v>
      </c>
      <c r="Z28" s="3294" t="s">
        <v>1467</v>
      </c>
      <c r="AA28" s="3280" t="s">
        <v>1539</v>
      </c>
      <c r="AB28" s="3280" t="s">
        <v>1540</v>
      </c>
    </row>
    <row r="29" spans="2:28" s="3280" customFormat="1" ht="9.75" customHeight="1">
      <c r="B29" s="3290"/>
      <c r="U29" s="3293"/>
    </row>
    <row r="30" spans="2:28" s="3280" customFormat="1" ht="20.100000000000001" customHeight="1">
      <c r="B30" s="3290"/>
      <c r="F30" s="4965" t="s">
        <v>1507</v>
      </c>
      <c r="G30" s="4966"/>
      <c r="H30" s="4966"/>
      <c r="I30" s="4966"/>
      <c r="J30" s="4966"/>
      <c r="K30" s="4966"/>
      <c r="L30" s="4966"/>
      <c r="M30" s="4966"/>
      <c r="N30" s="4967"/>
      <c r="U30" s="3293"/>
      <c r="X30" s="3868">
        <f>J36</f>
        <v>39.961656783628321</v>
      </c>
      <c r="Y30" s="3868">
        <f>J27</f>
        <v>1.0354276061549237</v>
      </c>
      <c r="Z30" s="3868">
        <f>$J$53/(((J36/100)*$J$53)+1)</f>
        <v>1.2869803112499651</v>
      </c>
      <c r="AA30" s="3280">
        <f>$J$53/(((J36/100)*$J$53/0.95+1))</f>
        <v>1.2530619904019067</v>
      </c>
      <c r="AB30" s="3280">
        <f>$J$53/(((J36/100)*$J$53/0.9+1))</f>
        <v>1.2174121521127212</v>
      </c>
    </row>
    <row r="31" spans="2:28" s="3280" customFormat="1" ht="20.100000000000001" customHeight="1">
      <c r="B31" s="3290"/>
      <c r="F31" s="4962" t="s">
        <v>1509</v>
      </c>
      <c r="G31" s="4963"/>
      <c r="H31" s="4964"/>
      <c r="I31" s="3885" t="s">
        <v>37</v>
      </c>
      <c r="J31" s="3981">
        <v>74.522999999999996</v>
      </c>
      <c r="K31" s="3981">
        <v>44.954000000000001</v>
      </c>
      <c r="L31" s="3981">
        <v>52.39</v>
      </c>
      <c r="M31" s="3981">
        <v>51.627000000000002</v>
      </c>
      <c r="N31" s="3981">
        <v>70.515000000000001</v>
      </c>
      <c r="U31" s="3293"/>
      <c r="X31" s="3868">
        <f>K36</f>
        <v>42.043074491207285</v>
      </c>
      <c r="Y31" s="3868">
        <f>K27</f>
        <v>1.096125136280383</v>
      </c>
      <c r="Z31" s="3868">
        <f>$J$53/(((K36/100)*$J$53)+1)</f>
        <v>1.2534048100052806</v>
      </c>
      <c r="AA31" s="3280">
        <f>$J$53/(((K36/100)*$J$53/0.95+1))</f>
        <v>1.2195794580608568</v>
      </c>
      <c r="AB31" s="3280">
        <f>$J$53/(((K36/100)*$J$53/0.9+1))</f>
        <v>1.1840746204936641</v>
      </c>
    </row>
    <row r="32" spans="2:28" s="3280" customFormat="1" ht="20.100000000000001" customHeight="1">
      <c r="B32" s="3290"/>
      <c r="F32" s="4962" t="s">
        <v>1510</v>
      </c>
      <c r="G32" s="4963"/>
      <c r="H32" s="4964"/>
      <c r="I32" s="3885" t="s">
        <v>37</v>
      </c>
      <c r="J32" s="3981">
        <v>56.597000000000001</v>
      </c>
      <c r="K32" s="3981">
        <v>34.314999999999998</v>
      </c>
      <c r="L32" s="3981">
        <v>38.814</v>
      </c>
      <c r="M32" s="3981">
        <v>37.649000000000001</v>
      </c>
      <c r="N32" s="3981">
        <v>49.612000000000002</v>
      </c>
      <c r="U32" s="3293"/>
      <c r="X32" s="3868">
        <f>L36</f>
        <v>45.372815079709902</v>
      </c>
      <c r="Y32" s="3868">
        <f>L27</f>
        <v>1.1691327046126441</v>
      </c>
      <c r="Z32" s="3868">
        <f>$J$53/(((L36/100)*$J$53)+1)</f>
        <v>1.2031895397182666</v>
      </c>
      <c r="AA32" s="3280">
        <f>$J$53/(((L36/100)*$J$53/0.95+1))</f>
        <v>1.1695842470499183</v>
      </c>
      <c r="AB32" s="3280">
        <f>$J$53/(((L36/100)*$J$53/0.9+1))</f>
        <v>1.1343804225139076</v>
      </c>
    </row>
    <row r="33" spans="2:28" s="3334" customFormat="1" ht="20.100000000000001" customHeight="1">
      <c r="B33" s="3290"/>
      <c r="C33" s="3280"/>
      <c r="D33" s="3280"/>
      <c r="E33" s="3280"/>
      <c r="F33" s="4962" t="s">
        <v>1511</v>
      </c>
      <c r="G33" s="4963"/>
      <c r="H33" s="4964"/>
      <c r="I33" s="3885" t="s">
        <v>37</v>
      </c>
      <c r="J33" s="3917">
        <v>11.739000000000001</v>
      </c>
      <c r="K33" s="3917">
        <v>9.01</v>
      </c>
      <c r="L33" s="3917">
        <v>8.8930000000000007</v>
      </c>
      <c r="M33" s="3917">
        <v>8.73</v>
      </c>
      <c r="N33" s="3917">
        <v>8.8919999999999995</v>
      </c>
      <c r="O33" s="3280"/>
      <c r="P33" s="3280"/>
      <c r="Q33" s="3280"/>
      <c r="R33" s="3280"/>
      <c r="S33" s="3280"/>
      <c r="T33" s="3280"/>
      <c r="U33" s="3329"/>
      <c r="X33" s="3982">
        <f>M36</f>
        <v>48.335004668211219</v>
      </c>
      <c r="Y33" s="3982">
        <f>M27</f>
        <v>1.1217826106559929</v>
      </c>
      <c r="Z33" s="3868">
        <f>$J$53/(((M36/100)*$J$53)+1)</f>
        <v>1.1617827259011535</v>
      </c>
      <c r="AA33" s="3280">
        <f>$J$53/(((M36/100)*$J$53/0.95+1))</f>
        <v>1.1284317627308116</v>
      </c>
      <c r="AB33" s="3280">
        <f>$J$53/(((M36/100)*$J$53/0.9+1))</f>
        <v>1.0935514650056193</v>
      </c>
    </row>
    <row r="34" spans="2:28" s="3280" customFormat="1" ht="20.100000000000001" customHeight="1">
      <c r="B34" s="3290"/>
      <c r="F34" s="4962" t="s">
        <v>1512</v>
      </c>
      <c r="G34" s="4963"/>
      <c r="H34" s="4964"/>
      <c r="I34" s="3885" t="s">
        <v>37</v>
      </c>
      <c r="J34" s="3917">
        <f>IFERROR(J31-J32, "")</f>
        <v>17.925999999999995</v>
      </c>
      <c r="K34" s="3917">
        <f t="shared" ref="K34:N34" si="4">IFERROR(K31-K32, "")</f>
        <v>10.639000000000003</v>
      </c>
      <c r="L34" s="3917">
        <f t="shared" si="4"/>
        <v>13.576000000000001</v>
      </c>
      <c r="M34" s="3917">
        <f t="shared" si="4"/>
        <v>13.978000000000002</v>
      </c>
      <c r="N34" s="3917">
        <f t="shared" si="4"/>
        <v>20.902999999999999</v>
      </c>
      <c r="U34" s="3331"/>
      <c r="X34" s="3868">
        <f>N36</f>
        <v>51.333497053045186</v>
      </c>
      <c r="Y34" s="3868">
        <f>N27</f>
        <v>1.0421377699237933</v>
      </c>
      <c r="Z34" s="3868">
        <f>$J$53/(((N36/100)*$J$53)+1)</f>
        <v>1.1226733158088231</v>
      </c>
      <c r="AA34" s="3280">
        <f>$J$53/(((N36/100)*$J$53/0.95+1))</f>
        <v>1.0896229040771783</v>
      </c>
      <c r="AB34" s="3280">
        <f>$J$53/(((N36/100)*$J$53/0.9+1))</f>
        <v>1.0551102155245695</v>
      </c>
    </row>
    <row r="35" spans="2:28" s="3280" customFormat="1" ht="20.100000000000001" customHeight="1">
      <c r="B35" s="3332"/>
      <c r="F35" s="4962" t="s">
        <v>755</v>
      </c>
      <c r="G35" s="4963"/>
      <c r="H35" s="4964"/>
      <c r="I35" s="3885" t="s">
        <v>37</v>
      </c>
      <c r="J35" s="3917">
        <f>IFERROR(J32-J33, "")</f>
        <v>44.858000000000004</v>
      </c>
      <c r="K35" s="3917">
        <f t="shared" ref="K35:N35" si="5">IFERROR(K32-K33, "")</f>
        <v>25.305</v>
      </c>
      <c r="L35" s="3917">
        <f t="shared" si="5"/>
        <v>29.920999999999999</v>
      </c>
      <c r="M35" s="3917">
        <f t="shared" si="5"/>
        <v>28.919</v>
      </c>
      <c r="N35" s="3917">
        <f t="shared" si="5"/>
        <v>40.72</v>
      </c>
      <c r="U35" s="3337"/>
    </row>
    <row r="36" spans="2:28" s="3280" customFormat="1" ht="20.100000000000001" customHeight="1">
      <c r="B36" s="3290"/>
      <c r="F36" s="4962" t="s">
        <v>774</v>
      </c>
      <c r="G36" s="4963"/>
      <c r="H36" s="4964"/>
      <c r="I36" s="3885" t="s">
        <v>1</v>
      </c>
      <c r="J36" s="3917">
        <f>IFERROR((J34/J35)*100, "")</f>
        <v>39.961656783628321</v>
      </c>
      <c r="K36" s="3917">
        <f t="shared" ref="K36:N36" si="6">IFERROR((K34/K35)*100, "")</f>
        <v>42.043074491207285</v>
      </c>
      <c r="L36" s="3917">
        <f t="shared" si="6"/>
        <v>45.372815079709902</v>
      </c>
      <c r="M36" s="3917">
        <f t="shared" si="6"/>
        <v>48.335004668211219</v>
      </c>
      <c r="N36" s="3917">
        <f t="shared" si="6"/>
        <v>51.333497053045186</v>
      </c>
      <c r="U36" s="3331"/>
    </row>
    <row r="37" spans="2:28" s="3280" customFormat="1" ht="20.100000000000001" customHeight="1">
      <c r="B37" s="3290"/>
      <c r="U37" s="3331"/>
    </row>
    <row r="38" spans="2:28" s="3280" customFormat="1" ht="20.100000000000001" customHeight="1">
      <c r="B38" s="3290"/>
      <c r="U38" s="3329"/>
    </row>
    <row r="39" spans="2:28" s="3280" customFormat="1" ht="20.100000000000001" customHeight="1">
      <c r="B39" s="3290"/>
      <c r="U39" s="3329"/>
    </row>
    <row r="40" spans="2:28" s="3280" customFormat="1" ht="20.100000000000001" customHeight="1">
      <c r="B40" s="3290"/>
      <c r="U40" s="3329"/>
      <c r="X40" s="3555">
        <f>AA40</f>
        <v>45.737000000000002</v>
      </c>
      <c r="Y40" s="3555">
        <f>MAX(J27:N27)</f>
        <v>1.1691327046126441</v>
      </c>
      <c r="AA40" s="3280" cm="1">
        <f t="array" ref="AA40">_xlfn.LET(
    _xlpm.x, J36:N36,
    _xlpm.y, J27:N27,
    _xlpm.x_bersih, _xlfn._xlws.FILTER(TRANSPOSE(_xlpm.x), TRANSPOSE(_xlpm.x)&lt;&gt;""),
    _xlpm.y_bersih, _xlfn._xlws.FILTER(TRANSPOSE(_xlpm.y), TRANSPOSE(_xlpm.x)&lt;&gt;""),
    _xlpm.koef, LINEST(_xlpm.y_bersih, _xlpm.x_bersih^_xlfn.SEQUENCE(1, 2)),
    _xlpm.a, INDEX(_xlpm.koef, 1),
    _xlpm.b, INDEX(_xlpm.koef, 2),
    _xlpm.OMC, -_xlpm.b / (2 * _xlpm.a),
    ROUND(_xlpm.OMC, 3)
)</f>
        <v>45.737000000000002</v>
      </c>
      <c r="AB40" s="3280" t="s">
        <v>1537</v>
      </c>
    </row>
    <row r="41" spans="2:28" s="3280" customFormat="1" ht="20.100000000000001" customHeight="1">
      <c r="B41" s="3290"/>
      <c r="U41" s="3329"/>
      <c r="X41" s="3978">
        <v>0</v>
      </c>
      <c r="Y41" s="3555">
        <f>Y40</f>
        <v>1.1691327046126441</v>
      </c>
      <c r="AA41" s="3280" cm="1">
        <f t="array" ref="AA41">_xlfn.LET(
    _xlpm.x, J36:N36,
    _xlpm.y, J27:N27,
    _xlpm.x_bersih, _xlfn._xlws.FILTER(TRANSPOSE(_xlpm.x), TRANSPOSE(_xlpm.x)&lt;&gt;""),
    _xlpm.y_bersih, _xlfn._xlws.FILTER(TRANSPOSE(_xlpm.y), TRANSPOSE(_xlpm.x)&lt;&gt;""),
    _xlpm.koef, LINEST(_xlpm.y_bersih, _xlpm.x_bersih^_xlfn.SEQUENCE(1, 2)),
    _xlpm.a, INDEX(_xlpm.koef, 1),
    _xlpm.b, INDEX(_xlpm.koef, 2),
    _xlpm.c, INDEX(_xlpm.koef, 3),
    _xlpm.OMC, -_xlpm.b / (2 * _xlpm.a),
    _xlpm.MDD, _xlpm.a * (_xlpm.OMC^2) + (_xlpm.b * _xlpm.OMC) + _xlpm.c,
   ROUND(_xlpm.MDD, 3)
)</f>
        <v>1.157</v>
      </c>
    </row>
    <row r="42" spans="2:28" s="3280" customFormat="1" ht="20.100000000000001" customHeight="1">
      <c r="B42" s="3290"/>
      <c r="U42" s="3329"/>
      <c r="X42" s="3555"/>
      <c r="Y42" s="3555"/>
    </row>
    <row r="43" spans="2:28" s="3280" customFormat="1" ht="20.100000000000001" customHeight="1">
      <c r="B43" s="3290"/>
      <c r="U43" s="3329"/>
      <c r="X43" s="3555">
        <f>X40</f>
        <v>45.737000000000002</v>
      </c>
      <c r="Y43" s="3555">
        <f>Y41</f>
        <v>1.1691327046126441</v>
      </c>
    </row>
    <row r="44" spans="2:28" s="3280" customFormat="1" ht="20.100000000000001" customHeight="1">
      <c r="B44" s="3290"/>
      <c r="U44" s="3329"/>
      <c r="X44" s="3555">
        <f>X43</f>
        <v>45.737000000000002</v>
      </c>
      <c r="Y44" s="3978">
        <v>0</v>
      </c>
    </row>
    <row r="45" spans="2:28" s="3280" customFormat="1" ht="20.100000000000001" customHeight="1">
      <c r="B45" s="3290"/>
      <c r="U45" s="3329"/>
    </row>
    <row r="46" spans="2:28" s="3280" customFormat="1" ht="20.100000000000001" customHeight="1">
      <c r="B46" s="3290"/>
      <c r="U46" s="3329"/>
    </row>
    <row r="47" spans="2:28" s="3280" customFormat="1" ht="20.100000000000001" customHeight="1">
      <c r="B47" s="3290"/>
      <c r="U47" s="3329"/>
    </row>
    <row r="48" spans="2:28" s="3280" customFormat="1" ht="20.100000000000001" customHeight="1">
      <c r="B48" s="3290"/>
      <c r="U48" s="3329"/>
    </row>
    <row r="49" spans="2:21" s="3280" customFormat="1" ht="20.100000000000001" customHeight="1">
      <c r="B49" s="3290"/>
      <c r="U49" s="3329"/>
    </row>
    <row r="50" spans="2:21" s="3280" customFormat="1" ht="19.5" customHeight="1">
      <c r="B50" s="3290"/>
      <c r="U50" s="3329"/>
    </row>
    <row r="51" spans="2:21" s="3280" customFormat="1" ht="19.5" customHeight="1">
      <c r="B51" s="3290"/>
      <c r="F51" s="4942" t="s">
        <v>1513</v>
      </c>
      <c r="G51" s="4942"/>
      <c r="H51" s="4942"/>
      <c r="I51" s="3885" t="s">
        <v>1514</v>
      </c>
      <c r="J51" s="3917">
        <f>MAX(J27:N27)</f>
        <v>1.1691327046126441</v>
      </c>
      <c r="U51" s="3329"/>
    </row>
    <row r="52" spans="2:21" s="3280" customFormat="1" ht="19.5" customHeight="1">
      <c r="B52" s="3290"/>
      <c r="F52" s="4942" t="s">
        <v>1350</v>
      </c>
      <c r="G52" s="4942"/>
      <c r="H52" s="4942"/>
      <c r="I52" s="3885" t="s">
        <v>1</v>
      </c>
      <c r="J52" s="3917">
        <f>AA40</f>
        <v>45.737000000000002</v>
      </c>
      <c r="U52" s="3329"/>
    </row>
    <row r="53" spans="2:21" s="3280" customFormat="1" ht="16.5" customHeight="1">
      <c r="B53" s="3290"/>
      <c r="F53" s="4942" t="s">
        <v>223</v>
      </c>
      <c r="G53" s="4942"/>
      <c r="H53" s="4942"/>
      <c r="I53" s="3976"/>
      <c r="J53" s="3917">
        <f>PP!J24</f>
        <v>2.6497359418773012</v>
      </c>
      <c r="U53" s="3329"/>
    </row>
    <row r="54" spans="2:21" s="3280" customFormat="1" ht="20.100000000000001" customHeight="1">
      <c r="B54" s="3290"/>
      <c r="U54" s="3329"/>
    </row>
    <row r="55" spans="2:21" s="3280" customFormat="1" ht="20.100000000000001" customHeight="1">
      <c r="B55" s="3290"/>
      <c r="F55" s="3983" t="s">
        <v>1515</v>
      </c>
      <c r="G55" s="3984"/>
      <c r="H55" s="3984"/>
      <c r="I55" s="3985"/>
      <c r="J55" s="3986"/>
      <c r="K55" s="3987"/>
      <c r="L55" s="3988"/>
      <c r="M55" s="3279"/>
      <c r="O55" s="3989" t="s">
        <v>1516</v>
      </c>
      <c r="U55" s="3293"/>
    </row>
    <row r="56" spans="2:21" s="3280" customFormat="1" ht="20.100000000000001" customHeight="1">
      <c r="B56" s="3290"/>
      <c r="F56" s="281" t="s">
        <v>1517</v>
      </c>
      <c r="G56" s="2102"/>
      <c r="H56" s="2102"/>
      <c r="I56" s="281"/>
      <c r="J56" s="2103"/>
      <c r="K56" s="2159"/>
      <c r="L56" s="281"/>
      <c r="M56" s="3279"/>
      <c r="O56" s="885" t="s">
        <v>1518</v>
      </c>
      <c r="Q56" s="3280" t="s">
        <v>27</v>
      </c>
      <c r="R56" s="885">
        <v>3</v>
      </c>
      <c r="U56" s="3293"/>
    </row>
    <row r="57" spans="2:21" s="3280" customFormat="1" ht="20.100000000000001" customHeight="1">
      <c r="B57" s="3290"/>
      <c r="F57" s="281" t="s">
        <v>1519</v>
      </c>
      <c r="G57" s="2102"/>
      <c r="H57" s="2102"/>
      <c r="I57" s="281"/>
      <c r="J57" s="2103"/>
      <c r="K57" s="2159"/>
      <c r="L57" s="281"/>
      <c r="M57" s="3279"/>
      <c r="O57" s="885" t="s">
        <v>1520</v>
      </c>
      <c r="Q57" s="3280" t="s">
        <v>27</v>
      </c>
      <c r="R57" s="885" t="s">
        <v>1521</v>
      </c>
      <c r="U57" s="3293"/>
    </row>
    <row r="58" spans="2:21" s="3280" customFormat="1" ht="20.100000000000001" customHeight="1">
      <c r="B58" s="3290"/>
      <c r="F58" s="281" t="s">
        <v>1522</v>
      </c>
      <c r="G58" s="2102"/>
      <c r="H58" s="2102"/>
      <c r="I58" s="281"/>
      <c r="J58" s="2103"/>
      <c r="K58" s="2159"/>
      <c r="L58" s="281"/>
      <c r="M58" s="3279"/>
      <c r="O58" s="885" t="s">
        <v>1523</v>
      </c>
      <c r="Q58" s="3280" t="s">
        <v>27</v>
      </c>
      <c r="R58" s="885">
        <v>311</v>
      </c>
      <c r="U58" s="3293"/>
    </row>
    <row r="59" spans="2:21" s="3280" customFormat="1" ht="20.100000000000001" customHeight="1">
      <c r="B59" s="3290"/>
      <c r="F59" s="281" t="s">
        <v>1524</v>
      </c>
      <c r="G59" s="2102"/>
      <c r="H59" s="2102"/>
      <c r="I59" s="281"/>
      <c r="J59" s="2103"/>
      <c r="K59" s="2159"/>
      <c r="L59" s="281"/>
      <c r="M59" s="3279"/>
      <c r="O59" s="885" t="s">
        <v>1525</v>
      </c>
      <c r="Q59" s="3280" t="s">
        <v>27</v>
      </c>
      <c r="R59" s="885" t="s">
        <v>1526</v>
      </c>
      <c r="U59" s="3293"/>
    </row>
    <row r="60" spans="2:21" s="3280" customFormat="1" ht="20.100000000000001" customHeight="1">
      <c r="B60" s="3290"/>
      <c r="F60" s="281" t="s">
        <v>1527</v>
      </c>
      <c r="G60" s="2102"/>
      <c r="H60" s="2102"/>
      <c r="I60" s="281"/>
      <c r="J60" s="2103"/>
      <c r="K60" s="2159"/>
      <c r="L60" s="281"/>
      <c r="M60" s="3279"/>
      <c r="O60" s="2199" t="s">
        <v>1528</v>
      </c>
      <c r="Q60" s="3280" t="s">
        <v>27</v>
      </c>
      <c r="R60" s="885" t="s">
        <v>1529</v>
      </c>
      <c r="U60" s="3293"/>
    </row>
    <row r="61" spans="2:21" s="3280" customFormat="1" ht="20.100000000000001" customHeight="1">
      <c r="B61" s="3990"/>
      <c r="C61" s="3991"/>
      <c r="D61" s="3991"/>
      <c r="E61" s="3991"/>
      <c r="F61" s="287"/>
      <c r="G61" s="3992"/>
      <c r="H61" s="3992"/>
      <c r="I61" s="287"/>
      <c r="J61" s="3993"/>
      <c r="K61" s="3994"/>
      <c r="L61" s="287"/>
      <c r="M61" s="3991"/>
      <c r="N61" s="3991"/>
      <c r="O61" s="3991"/>
      <c r="P61" s="3991"/>
      <c r="Q61" s="3991"/>
      <c r="R61" s="3991"/>
      <c r="S61" s="3991"/>
      <c r="T61" s="3991"/>
      <c r="U61" s="3306"/>
    </row>
    <row r="62" spans="2:21" s="3280" customFormat="1" ht="20.100000000000001" customHeight="1">
      <c r="B62" s="3290"/>
      <c r="F62" s="3325" t="s">
        <v>1530</v>
      </c>
      <c r="U62" s="3367"/>
    </row>
    <row r="63" spans="2:21" s="3280" customFormat="1" ht="20.100000000000001" customHeight="1">
      <c r="B63" s="3290"/>
      <c r="G63" s="3933" t="s">
        <v>1531</v>
      </c>
      <c r="U63" s="3370"/>
    </row>
    <row r="64" spans="2:21" s="3280" customFormat="1" ht="20.100000000000001" customHeight="1">
      <c r="B64" s="3290"/>
      <c r="G64" s="3933" t="s">
        <v>1532</v>
      </c>
      <c r="U64" s="3370"/>
    </row>
    <row r="65" spans="2:21" s="3280" customFormat="1" ht="20.100000000000001" customHeight="1">
      <c r="B65" s="3290"/>
      <c r="G65" s="3933" t="s">
        <v>1533</v>
      </c>
      <c r="U65" s="3370"/>
    </row>
    <row r="66" spans="2:21" ht="18.600000000000001" customHeight="1">
      <c r="B66" s="3290"/>
      <c r="C66" s="3280"/>
      <c r="D66" s="3280"/>
      <c r="E66" s="3280"/>
      <c r="F66" s="3280"/>
      <c r="G66" s="3933"/>
      <c r="H66" s="3280"/>
      <c r="I66" s="3280"/>
      <c r="J66" s="3280"/>
      <c r="K66" s="3280"/>
      <c r="L66" s="3280"/>
      <c r="M66" s="3280"/>
      <c r="N66" s="3280"/>
      <c r="O66" s="3280"/>
      <c r="P66" s="3280"/>
      <c r="Q66" s="3280"/>
      <c r="R66" s="3280"/>
      <c r="S66" s="3280"/>
      <c r="T66" s="3280"/>
      <c r="U66" s="3370"/>
    </row>
    <row r="67" spans="2:21" ht="18.600000000000001" customHeight="1">
      <c r="B67" s="3990"/>
      <c r="C67" s="3991"/>
      <c r="D67" s="3991"/>
      <c r="E67" s="3991"/>
      <c r="F67" s="3991"/>
      <c r="G67" s="3991"/>
      <c r="H67" s="3991"/>
      <c r="I67" s="3991"/>
      <c r="J67" s="3991"/>
      <c r="K67" s="3991"/>
      <c r="L67" s="3991"/>
      <c r="M67" s="3991"/>
      <c r="N67" s="3991"/>
      <c r="O67" s="3991"/>
      <c r="P67" s="3991"/>
      <c r="Q67" s="3991"/>
      <c r="R67" s="3991"/>
      <c r="S67" s="3991"/>
      <c r="T67" s="3991"/>
      <c r="U67" s="3995"/>
    </row>
    <row r="68" spans="2:21" ht="18.600000000000001" customHeight="1"/>
    <row r="69" spans="2:21" ht="18.600000000000001" customHeight="1"/>
  </sheetData>
  <mergeCells count="26">
    <mergeCell ref="F52:H52"/>
    <mergeCell ref="F53:H53"/>
    <mergeCell ref="F32:H32"/>
    <mergeCell ref="F33:H33"/>
    <mergeCell ref="F34:H34"/>
    <mergeCell ref="F35:H35"/>
    <mergeCell ref="F36:H36"/>
    <mergeCell ref="F51:H51"/>
    <mergeCell ref="F31:H31"/>
    <mergeCell ref="C10:T10"/>
    <mergeCell ref="R15:S15"/>
    <mergeCell ref="R16:S16"/>
    <mergeCell ref="R17:S17"/>
    <mergeCell ref="F21:N21"/>
    <mergeCell ref="F23:H23"/>
    <mergeCell ref="F24:H24"/>
    <mergeCell ref="F25:H25"/>
    <mergeCell ref="F26:H26"/>
    <mergeCell ref="F27:H27"/>
    <mergeCell ref="F30:N30"/>
    <mergeCell ref="C9:T9"/>
    <mergeCell ref="D3:T3"/>
    <mergeCell ref="D4:T4"/>
    <mergeCell ref="D5:T5"/>
    <mergeCell ref="D6:T6"/>
    <mergeCell ref="D7:T7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72" orientation="portrait" r:id="rId1"/>
  <headerFooter>
    <oddFooter>&amp;R&amp;"Aptos,Regular"&amp;9Page &amp;P of &amp;N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47D7-8315-49C4-9ADC-CE72F6CB9937}">
  <sheetPr>
    <tabColor theme="9" tint="-0.249977111117893"/>
    <pageSetUpPr fitToPage="1"/>
  </sheetPr>
  <dimension ref="B2:U69"/>
  <sheetViews>
    <sheetView showGridLines="0" zoomScaleNormal="100" zoomScaleSheetLayoutView="100" workbookViewId="0">
      <selection activeCell="V28" sqref="V28"/>
    </sheetView>
  </sheetViews>
  <sheetFormatPr defaultColWidth="8" defaultRowHeight="13.5"/>
  <cols>
    <col min="1" max="1" width="8" style="1661"/>
    <col min="2" max="2" width="1" style="1661" customWidth="1"/>
    <col min="3" max="3" width="15.125" style="1661" customWidth="1"/>
    <col min="4" max="4" width="5.625" style="1661" customWidth="1"/>
    <col min="5" max="5" width="1.625" style="1661" customWidth="1"/>
    <col min="6" max="12" width="8.375" style="1661" customWidth="1"/>
    <col min="13" max="15" width="8.375" style="1568" customWidth="1"/>
    <col min="16" max="16" width="8.375" style="1661" customWidth="1"/>
    <col min="17" max="17" width="1.875" style="1661" customWidth="1"/>
    <col min="18" max="18" width="9.25" style="1661" customWidth="1"/>
    <col min="19" max="20" width="8.375" style="1661" customWidth="1"/>
    <col min="21" max="21" width="1" style="1661" customWidth="1"/>
    <col min="22" max="210" width="8" style="1661"/>
    <col min="211" max="211" width="1.5" style="1661" customWidth="1"/>
    <col min="212" max="213" width="9" style="1661" customWidth="1"/>
    <col min="214" max="214" width="1.125" style="1661" customWidth="1"/>
    <col min="215" max="215" width="11.125" style="1661" customWidth="1"/>
    <col min="216" max="216" width="1.125" style="1661" customWidth="1"/>
    <col min="217" max="221" width="9" style="1661" customWidth="1"/>
    <col min="222" max="222" width="15.875" style="1661" customWidth="1"/>
    <col min="223" max="223" width="15.5" style="1661" customWidth="1"/>
    <col min="224" max="224" width="7.625" style="1661" customWidth="1"/>
    <col min="225" max="225" width="10.25" style="1661" customWidth="1"/>
    <col min="226" max="227" width="9" style="1661" customWidth="1"/>
    <col min="228" max="228" width="1.5" style="1661" customWidth="1"/>
    <col min="229" max="229" width="9" style="1661" customWidth="1"/>
    <col min="230" max="230" width="10.875" style="1661" bestFit="1" customWidth="1"/>
    <col min="231" max="231" width="10.5" style="1661" bestFit="1" customWidth="1"/>
    <col min="232" max="232" width="10.875" style="1661" customWidth="1"/>
    <col min="233" max="233" width="10.5" style="1661" customWidth="1"/>
    <col min="234" max="234" width="10.875" style="1661" customWidth="1"/>
    <col min="235" max="235" width="10.5" style="1661" customWidth="1"/>
    <col min="236" max="466" width="8" style="1661"/>
    <col min="467" max="467" width="1.5" style="1661" customWidth="1"/>
    <col min="468" max="469" width="9" style="1661" customWidth="1"/>
    <col min="470" max="470" width="1.125" style="1661" customWidth="1"/>
    <col min="471" max="471" width="11.125" style="1661" customWidth="1"/>
    <col min="472" max="472" width="1.125" style="1661" customWidth="1"/>
    <col min="473" max="477" width="9" style="1661" customWidth="1"/>
    <col min="478" max="478" width="15.875" style="1661" customWidth="1"/>
    <col min="479" max="479" width="15.5" style="1661" customWidth="1"/>
    <col min="480" max="480" width="7.625" style="1661" customWidth="1"/>
    <col min="481" max="481" width="10.25" style="1661" customWidth="1"/>
    <col min="482" max="483" width="9" style="1661" customWidth="1"/>
    <col min="484" max="484" width="1.5" style="1661" customWidth="1"/>
    <col min="485" max="485" width="9" style="1661" customWidth="1"/>
    <col min="486" max="486" width="10.875" style="1661" bestFit="1" customWidth="1"/>
    <col min="487" max="487" width="10.5" style="1661" bestFit="1" customWidth="1"/>
    <col min="488" max="488" width="10.875" style="1661" customWidth="1"/>
    <col min="489" max="489" width="10.5" style="1661" customWidth="1"/>
    <col min="490" max="490" width="10.875" style="1661" customWidth="1"/>
    <col min="491" max="491" width="10.5" style="1661" customWidth="1"/>
    <col min="492" max="722" width="8" style="1661"/>
    <col min="723" max="723" width="1.5" style="1661" customWidth="1"/>
    <col min="724" max="725" width="9" style="1661" customWidth="1"/>
    <col min="726" max="726" width="1.125" style="1661" customWidth="1"/>
    <col min="727" max="727" width="11.125" style="1661" customWidth="1"/>
    <col min="728" max="728" width="1.125" style="1661" customWidth="1"/>
    <col min="729" max="733" width="9" style="1661" customWidth="1"/>
    <col min="734" max="734" width="15.875" style="1661" customWidth="1"/>
    <col min="735" max="735" width="15.5" style="1661" customWidth="1"/>
    <col min="736" max="736" width="7.625" style="1661" customWidth="1"/>
    <col min="737" max="737" width="10.25" style="1661" customWidth="1"/>
    <col min="738" max="739" width="9" style="1661" customWidth="1"/>
    <col min="740" max="740" width="1.5" style="1661" customWidth="1"/>
    <col min="741" max="741" width="9" style="1661" customWidth="1"/>
    <col min="742" max="742" width="10.875" style="1661" bestFit="1" customWidth="1"/>
    <col min="743" max="743" width="10.5" style="1661" bestFit="1" customWidth="1"/>
    <col min="744" max="744" width="10.875" style="1661" customWidth="1"/>
    <col min="745" max="745" width="10.5" style="1661" customWidth="1"/>
    <col min="746" max="746" width="10.875" style="1661" customWidth="1"/>
    <col min="747" max="747" width="10.5" style="1661" customWidth="1"/>
    <col min="748" max="978" width="8" style="1661"/>
    <col min="979" max="979" width="1.5" style="1661" customWidth="1"/>
    <col min="980" max="981" width="9" style="1661" customWidth="1"/>
    <col min="982" max="982" width="1.125" style="1661" customWidth="1"/>
    <col min="983" max="983" width="11.125" style="1661" customWidth="1"/>
    <col min="984" max="984" width="1.125" style="1661" customWidth="1"/>
    <col min="985" max="989" width="9" style="1661" customWidth="1"/>
    <col min="990" max="990" width="15.875" style="1661" customWidth="1"/>
    <col min="991" max="991" width="15.5" style="1661" customWidth="1"/>
    <col min="992" max="992" width="7.625" style="1661" customWidth="1"/>
    <col min="993" max="993" width="10.25" style="1661" customWidth="1"/>
    <col min="994" max="995" width="9" style="1661" customWidth="1"/>
    <col min="996" max="996" width="1.5" style="1661" customWidth="1"/>
    <col min="997" max="997" width="9" style="1661" customWidth="1"/>
    <col min="998" max="998" width="10.875" style="1661" bestFit="1" customWidth="1"/>
    <col min="999" max="999" width="10.5" style="1661" bestFit="1" customWidth="1"/>
    <col min="1000" max="1000" width="10.875" style="1661" customWidth="1"/>
    <col min="1001" max="1001" width="10.5" style="1661" customWidth="1"/>
    <col min="1002" max="1002" width="10.875" style="1661" customWidth="1"/>
    <col min="1003" max="1003" width="10.5" style="1661" customWidth="1"/>
    <col min="1004" max="1234" width="8" style="1661"/>
    <col min="1235" max="1235" width="1.5" style="1661" customWidth="1"/>
    <col min="1236" max="1237" width="9" style="1661" customWidth="1"/>
    <col min="1238" max="1238" width="1.125" style="1661" customWidth="1"/>
    <col min="1239" max="1239" width="11.125" style="1661" customWidth="1"/>
    <col min="1240" max="1240" width="1.125" style="1661" customWidth="1"/>
    <col min="1241" max="1245" width="9" style="1661" customWidth="1"/>
    <col min="1246" max="1246" width="15.875" style="1661" customWidth="1"/>
    <col min="1247" max="1247" width="15.5" style="1661" customWidth="1"/>
    <col min="1248" max="1248" width="7.625" style="1661" customWidth="1"/>
    <col min="1249" max="1249" width="10.25" style="1661" customWidth="1"/>
    <col min="1250" max="1251" width="9" style="1661" customWidth="1"/>
    <col min="1252" max="1252" width="1.5" style="1661" customWidth="1"/>
    <col min="1253" max="1253" width="9" style="1661" customWidth="1"/>
    <col min="1254" max="1254" width="10.875" style="1661" bestFit="1" customWidth="1"/>
    <col min="1255" max="1255" width="10.5" style="1661" bestFit="1" customWidth="1"/>
    <col min="1256" max="1256" width="10.875" style="1661" customWidth="1"/>
    <col min="1257" max="1257" width="10.5" style="1661" customWidth="1"/>
    <col min="1258" max="1258" width="10.875" style="1661" customWidth="1"/>
    <col min="1259" max="1259" width="10.5" style="1661" customWidth="1"/>
    <col min="1260" max="1490" width="8" style="1661"/>
    <col min="1491" max="1491" width="1.5" style="1661" customWidth="1"/>
    <col min="1492" max="1493" width="9" style="1661" customWidth="1"/>
    <col min="1494" max="1494" width="1.125" style="1661" customWidth="1"/>
    <col min="1495" max="1495" width="11.125" style="1661" customWidth="1"/>
    <col min="1496" max="1496" width="1.125" style="1661" customWidth="1"/>
    <col min="1497" max="1501" width="9" style="1661" customWidth="1"/>
    <col min="1502" max="1502" width="15.875" style="1661" customWidth="1"/>
    <col min="1503" max="1503" width="15.5" style="1661" customWidth="1"/>
    <col min="1504" max="1504" width="7.625" style="1661" customWidth="1"/>
    <col min="1505" max="1505" width="10.25" style="1661" customWidth="1"/>
    <col min="1506" max="1507" width="9" style="1661" customWidth="1"/>
    <col min="1508" max="1508" width="1.5" style="1661" customWidth="1"/>
    <col min="1509" max="1509" width="9" style="1661" customWidth="1"/>
    <col min="1510" max="1510" width="10.875" style="1661" bestFit="1" customWidth="1"/>
    <col min="1511" max="1511" width="10.5" style="1661" bestFit="1" customWidth="1"/>
    <col min="1512" max="1512" width="10.875" style="1661" customWidth="1"/>
    <col min="1513" max="1513" width="10.5" style="1661" customWidth="1"/>
    <col min="1514" max="1514" width="10.875" style="1661" customWidth="1"/>
    <col min="1515" max="1515" width="10.5" style="1661" customWidth="1"/>
    <col min="1516" max="1746" width="8" style="1661"/>
    <col min="1747" max="1747" width="1.5" style="1661" customWidth="1"/>
    <col min="1748" max="1749" width="9" style="1661" customWidth="1"/>
    <col min="1750" max="1750" width="1.125" style="1661" customWidth="1"/>
    <col min="1751" max="1751" width="11.125" style="1661" customWidth="1"/>
    <col min="1752" max="1752" width="1.125" style="1661" customWidth="1"/>
    <col min="1753" max="1757" width="9" style="1661" customWidth="1"/>
    <col min="1758" max="1758" width="15.875" style="1661" customWidth="1"/>
    <col min="1759" max="1759" width="15.5" style="1661" customWidth="1"/>
    <col min="1760" max="1760" width="7.625" style="1661" customWidth="1"/>
    <col min="1761" max="1761" width="10.25" style="1661" customWidth="1"/>
    <col min="1762" max="1763" width="9" style="1661" customWidth="1"/>
    <col min="1764" max="1764" width="1.5" style="1661" customWidth="1"/>
    <col min="1765" max="1765" width="9" style="1661" customWidth="1"/>
    <col min="1766" max="1766" width="10.875" style="1661" bestFit="1" customWidth="1"/>
    <col min="1767" max="1767" width="10.5" style="1661" bestFit="1" customWidth="1"/>
    <col min="1768" max="1768" width="10.875" style="1661" customWidth="1"/>
    <col min="1769" max="1769" width="10.5" style="1661" customWidth="1"/>
    <col min="1770" max="1770" width="10.875" style="1661" customWidth="1"/>
    <col min="1771" max="1771" width="10.5" style="1661" customWidth="1"/>
    <col min="1772" max="2002" width="8" style="1661"/>
    <col min="2003" max="2003" width="1.5" style="1661" customWidth="1"/>
    <col min="2004" max="2005" width="9" style="1661" customWidth="1"/>
    <col min="2006" max="2006" width="1.125" style="1661" customWidth="1"/>
    <col min="2007" max="2007" width="11.125" style="1661" customWidth="1"/>
    <col min="2008" max="2008" width="1.125" style="1661" customWidth="1"/>
    <col min="2009" max="2013" width="9" style="1661" customWidth="1"/>
    <col min="2014" max="2014" width="15.875" style="1661" customWidth="1"/>
    <col min="2015" max="2015" width="15.5" style="1661" customWidth="1"/>
    <col min="2016" max="2016" width="7.625" style="1661" customWidth="1"/>
    <col min="2017" max="2017" width="10.25" style="1661" customWidth="1"/>
    <col min="2018" max="2019" width="9" style="1661" customWidth="1"/>
    <col min="2020" max="2020" width="1.5" style="1661" customWidth="1"/>
    <col min="2021" max="2021" width="9" style="1661" customWidth="1"/>
    <col min="2022" max="2022" width="10.875" style="1661" bestFit="1" customWidth="1"/>
    <col min="2023" max="2023" width="10.5" style="1661" bestFit="1" customWidth="1"/>
    <col min="2024" max="2024" width="10.875" style="1661" customWidth="1"/>
    <col min="2025" max="2025" width="10.5" style="1661" customWidth="1"/>
    <col min="2026" max="2026" width="10.875" style="1661" customWidth="1"/>
    <col min="2027" max="2027" width="10.5" style="1661" customWidth="1"/>
    <col min="2028" max="2258" width="8" style="1661"/>
    <col min="2259" max="2259" width="1.5" style="1661" customWidth="1"/>
    <col min="2260" max="2261" width="9" style="1661" customWidth="1"/>
    <col min="2262" max="2262" width="1.125" style="1661" customWidth="1"/>
    <col min="2263" max="2263" width="11.125" style="1661" customWidth="1"/>
    <col min="2264" max="2264" width="1.125" style="1661" customWidth="1"/>
    <col min="2265" max="2269" width="9" style="1661" customWidth="1"/>
    <col min="2270" max="2270" width="15.875" style="1661" customWidth="1"/>
    <col min="2271" max="2271" width="15.5" style="1661" customWidth="1"/>
    <col min="2272" max="2272" width="7.625" style="1661" customWidth="1"/>
    <col min="2273" max="2273" width="10.25" style="1661" customWidth="1"/>
    <col min="2274" max="2275" width="9" style="1661" customWidth="1"/>
    <col min="2276" max="2276" width="1.5" style="1661" customWidth="1"/>
    <col min="2277" max="2277" width="9" style="1661" customWidth="1"/>
    <col min="2278" max="2278" width="10.875" style="1661" bestFit="1" customWidth="1"/>
    <col min="2279" max="2279" width="10.5" style="1661" bestFit="1" customWidth="1"/>
    <col min="2280" max="2280" width="10.875" style="1661" customWidth="1"/>
    <col min="2281" max="2281" width="10.5" style="1661" customWidth="1"/>
    <col min="2282" max="2282" width="10.875" style="1661" customWidth="1"/>
    <col min="2283" max="2283" width="10.5" style="1661" customWidth="1"/>
    <col min="2284" max="2514" width="8" style="1661"/>
    <col min="2515" max="2515" width="1.5" style="1661" customWidth="1"/>
    <col min="2516" max="2517" width="9" style="1661" customWidth="1"/>
    <col min="2518" max="2518" width="1.125" style="1661" customWidth="1"/>
    <col min="2519" max="2519" width="11.125" style="1661" customWidth="1"/>
    <col min="2520" max="2520" width="1.125" style="1661" customWidth="1"/>
    <col min="2521" max="2525" width="9" style="1661" customWidth="1"/>
    <col min="2526" max="2526" width="15.875" style="1661" customWidth="1"/>
    <col min="2527" max="2527" width="15.5" style="1661" customWidth="1"/>
    <col min="2528" max="2528" width="7.625" style="1661" customWidth="1"/>
    <col min="2529" max="2529" width="10.25" style="1661" customWidth="1"/>
    <col min="2530" max="2531" width="9" style="1661" customWidth="1"/>
    <col min="2532" max="2532" width="1.5" style="1661" customWidth="1"/>
    <col min="2533" max="2533" width="9" style="1661" customWidth="1"/>
    <col min="2534" max="2534" width="10.875" style="1661" bestFit="1" customWidth="1"/>
    <col min="2535" max="2535" width="10.5" style="1661" bestFit="1" customWidth="1"/>
    <col min="2536" max="2536" width="10.875" style="1661" customWidth="1"/>
    <col min="2537" max="2537" width="10.5" style="1661" customWidth="1"/>
    <col min="2538" max="2538" width="10.875" style="1661" customWidth="1"/>
    <col min="2539" max="2539" width="10.5" style="1661" customWidth="1"/>
    <col min="2540" max="2770" width="8" style="1661"/>
    <col min="2771" max="2771" width="1.5" style="1661" customWidth="1"/>
    <col min="2772" max="2773" width="9" style="1661" customWidth="1"/>
    <col min="2774" max="2774" width="1.125" style="1661" customWidth="1"/>
    <col min="2775" max="2775" width="11.125" style="1661" customWidth="1"/>
    <col min="2776" max="2776" width="1.125" style="1661" customWidth="1"/>
    <col min="2777" max="2781" width="9" style="1661" customWidth="1"/>
    <col min="2782" max="2782" width="15.875" style="1661" customWidth="1"/>
    <col min="2783" max="2783" width="15.5" style="1661" customWidth="1"/>
    <col min="2784" max="2784" width="7.625" style="1661" customWidth="1"/>
    <col min="2785" max="2785" width="10.25" style="1661" customWidth="1"/>
    <col min="2786" max="2787" width="9" style="1661" customWidth="1"/>
    <col min="2788" max="2788" width="1.5" style="1661" customWidth="1"/>
    <col min="2789" max="2789" width="9" style="1661" customWidth="1"/>
    <col min="2790" max="2790" width="10.875" style="1661" bestFit="1" customWidth="1"/>
    <col min="2791" max="2791" width="10.5" style="1661" bestFit="1" customWidth="1"/>
    <col min="2792" max="2792" width="10.875" style="1661" customWidth="1"/>
    <col min="2793" max="2793" width="10.5" style="1661" customWidth="1"/>
    <col min="2794" max="2794" width="10.875" style="1661" customWidth="1"/>
    <col min="2795" max="2795" width="10.5" style="1661" customWidth="1"/>
    <col min="2796" max="3026" width="8" style="1661"/>
    <col min="3027" max="3027" width="1.5" style="1661" customWidth="1"/>
    <col min="3028" max="3029" width="9" style="1661" customWidth="1"/>
    <col min="3030" max="3030" width="1.125" style="1661" customWidth="1"/>
    <col min="3031" max="3031" width="11.125" style="1661" customWidth="1"/>
    <col min="3032" max="3032" width="1.125" style="1661" customWidth="1"/>
    <col min="3033" max="3037" width="9" style="1661" customWidth="1"/>
    <col min="3038" max="3038" width="15.875" style="1661" customWidth="1"/>
    <col min="3039" max="3039" width="15.5" style="1661" customWidth="1"/>
    <col min="3040" max="3040" width="7.625" style="1661" customWidth="1"/>
    <col min="3041" max="3041" width="10.25" style="1661" customWidth="1"/>
    <col min="3042" max="3043" width="9" style="1661" customWidth="1"/>
    <col min="3044" max="3044" width="1.5" style="1661" customWidth="1"/>
    <col min="3045" max="3045" width="9" style="1661" customWidth="1"/>
    <col min="3046" max="3046" width="10.875" style="1661" bestFit="1" customWidth="1"/>
    <col min="3047" max="3047" width="10.5" style="1661" bestFit="1" customWidth="1"/>
    <col min="3048" max="3048" width="10.875" style="1661" customWidth="1"/>
    <col min="3049" max="3049" width="10.5" style="1661" customWidth="1"/>
    <col min="3050" max="3050" width="10.875" style="1661" customWidth="1"/>
    <col min="3051" max="3051" width="10.5" style="1661" customWidth="1"/>
    <col min="3052" max="3282" width="8" style="1661"/>
    <col min="3283" max="3283" width="1.5" style="1661" customWidth="1"/>
    <col min="3284" max="3285" width="9" style="1661" customWidth="1"/>
    <col min="3286" max="3286" width="1.125" style="1661" customWidth="1"/>
    <col min="3287" max="3287" width="11.125" style="1661" customWidth="1"/>
    <col min="3288" max="3288" width="1.125" style="1661" customWidth="1"/>
    <col min="3289" max="3293" width="9" style="1661" customWidth="1"/>
    <col min="3294" max="3294" width="15.875" style="1661" customWidth="1"/>
    <col min="3295" max="3295" width="15.5" style="1661" customWidth="1"/>
    <col min="3296" max="3296" width="7.625" style="1661" customWidth="1"/>
    <col min="3297" max="3297" width="10.25" style="1661" customWidth="1"/>
    <col min="3298" max="3299" width="9" style="1661" customWidth="1"/>
    <col min="3300" max="3300" width="1.5" style="1661" customWidth="1"/>
    <col min="3301" max="3301" width="9" style="1661" customWidth="1"/>
    <col min="3302" max="3302" width="10.875" style="1661" bestFit="1" customWidth="1"/>
    <col min="3303" max="3303" width="10.5" style="1661" bestFit="1" customWidth="1"/>
    <col min="3304" max="3304" width="10.875" style="1661" customWidth="1"/>
    <col min="3305" max="3305" width="10.5" style="1661" customWidth="1"/>
    <col min="3306" max="3306" width="10.875" style="1661" customWidth="1"/>
    <col min="3307" max="3307" width="10.5" style="1661" customWidth="1"/>
    <col min="3308" max="3538" width="8" style="1661"/>
    <col min="3539" max="3539" width="1.5" style="1661" customWidth="1"/>
    <col min="3540" max="3541" width="9" style="1661" customWidth="1"/>
    <col min="3542" max="3542" width="1.125" style="1661" customWidth="1"/>
    <col min="3543" max="3543" width="11.125" style="1661" customWidth="1"/>
    <col min="3544" max="3544" width="1.125" style="1661" customWidth="1"/>
    <col min="3545" max="3549" width="9" style="1661" customWidth="1"/>
    <col min="3550" max="3550" width="15.875" style="1661" customWidth="1"/>
    <col min="3551" max="3551" width="15.5" style="1661" customWidth="1"/>
    <col min="3552" max="3552" width="7.625" style="1661" customWidth="1"/>
    <col min="3553" max="3553" width="10.25" style="1661" customWidth="1"/>
    <col min="3554" max="3555" width="9" style="1661" customWidth="1"/>
    <col min="3556" max="3556" width="1.5" style="1661" customWidth="1"/>
    <col min="3557" max="3557" width="9" style="1661" customWidth="1"/>
    <col min="3558" max="3558" width="10.875" style="1661" bestFit="1" customWidth="1"/>
    <col min="3559" max="3559" width="10.5" style="1661" bestFit="1" customWidth="1"/>
    <col min="3560" max="3560" width="10.875" style="1661" customWidth="1"/>
    <col min="3561" max="3561" width="10.5" style="1661" customWidth="1"/>
    <col min="3562" max="3562" width="10.875" style="1661" customWidth="1"/>
    <col min="3563" max="3563" width="10.5" style="1661" customWidth="1"/>
    <col min="3564" max="3794" width="8" style="1661"/>
    <col min="3795" max="3795" width="1.5" style="1661" customWidth="1"/>
    <col min="3796" max="3797" width="9" style="1661" customWidth="1"/>
    <col min="3798" max="3798" width="1.125" style="1661" customWidth="1"/>
    <col min="3799" max="3799" width="11.125" style="1661" customWidth="1"/>
    <col min="3800" max="3800" width="1.125" style="1661" customWidth="1"/>
    <col min="3801" max="3805" width="9" style="1661" customWidth="1"/>
    <col min="3806" max="3806" width="15.875" style="1661" customWidth="1"/>
    <col min="3807" max="3807" width="15.5" style="1661" customWidth="1"/>
    <col min="3808" max="3808" width="7.625" style="1661" customWidth="1"/>
    <col min="3809" max="3809" width="10.25" style="1661" customWidth="1"/>
    <col min="3810" max="3811" width="9" style="1661" customWidth="1"/>
    <col min="3812" max="3812" width="1.5" style="1661" customWidth="1"/>
    <col min="3813" max="3813" width="9" style="1661" customWidth="1"/>
    <col min="3814" max="3814" width="10.875" style="1661" bestFit="1" customWidth="1"/>
    <col min="3815" max="3815" width="10.5" style="1661" bestFit="1" customWidth="1"/>
    <col min="3816" max="3816" width="10.875" style="1661" customWidth="1"/>
    <col min="3817" max="3817" width="10.5" style="1661" customWidth="1"/>
    <col min="3818" max="3818" width="10.875" style="1661" customWidth="1"/>
    <col min="3819" max="3819" width="10.5" style="1661" customWidth="1"/>
    <col min="3820" max="4050" width="8" style="1661"/>
    <col min="4051" max="4051" width="1.5" style="1661" customWidth="1"/>
    <col min="4052" max="4053" width="9" style="1661" customWidth="1"/>
    <col min="4054" max="4054" width="1.125" style="1661" customWidth="1"/>
    <col min="4055" max="4055" width="11.125" style="1661" customWidth="1"/>
    <col min="4056" max="4056" width="1.125" style="1661" customWidth="1"/>
    <col min="4057" max="4061" width="9" style="1661" customWidth="1"/>
    <col min="4062" max="4062" width="15.875" style="1661" customWidth="1"/>
    <col min="4063" max="4063" width="15.5" style="1661" customWidth="1"/>
    <col min="4064" max="4064" width="7.625" style="1661" customWidth="1"/>
    <col min="4065" max="4065" width="10.25" style="1661" customWidth="1"/>
    <col min="4066" max="4067" width="9" style="1661" customWidth="1"/>
    <col min="4068" max="4068" width="1.5" style="1661" customWidth="1"/>
    <col min="4069" max="4069" width="9" style="1661" customWidth="1"/>
    <col min="4070" max="4070" width="10.875" style="1661" bestFit="1" customWidth="1"/>
    <col min="4071" max="4071" width="10.5" style="1661" bestFit="1" customWidth="1"/>
    <col min="4072" max="4072" width="10.875" style="1661" customWidth="1"/>
    <col min="4073" max="4073" width="10.5" style="1661" customWidth="1"/>
    <col min="4074" max="4074" width="10.875" style="1661" customWidth="1"/>
    <col min="4075" max="4075" width="10.5" style="1661" customWidth="1"/>
    <col min="4076" max="4306" width="8" style="1661"/>
    <col min="4307" max="4307" width="1.5" style="1661" customWidth="1"/>
    <col min="4308" max="4309" width="9" style="1661" customWidth="1"/>
    <col min="4310" max="4310" width="1.125" style="1661" customWidth="1"/>
    <col min="4311" max="4311" width="11.125" style="1661" customWidth="1"/>
    <col min="4312" max="4312" width="1.125" style="1661" customWidth="1"/>
    <col min="4313" max="4317" width="9" style="1661" customWidth="1"/>
    <col min="4318" max="4318" width="15.875" style="1661" customWidth="1"/>
    <col min="4319" max="4319" width="15.5" style="1661" customWidth="1"/>
    <col min="4320" max="4320" width="7.625" style="1661" customWidth="1"/>
    <col min="4321" max="4321" width="10.25" style="1661" customWidth="1"/>
    <col min="4322" max="4323" width="9" style="1661" customWidth="1"/>
    <col min="4324" max="4324" width="1.5" style="1661" customWidth="1"/>
    <col min="4325" max="4325" width="9" style="1661" customWidth="1"/>
    <col min="4326" max="4326" width="10.875" style="1661" bestFit="1" customWidth="1"/>
    <col min="4327" max="4327" width="10.5" style="1661" bestFit="1" customWidth="1"/>
    <col min="4328" max="4328" width="10.875" style="1661" customWidth="1"/>
    <col min="4329" max="4329" width="10.5" style="1661" customWidth="1"/>
    <col min="4330" max="4330" width="10.875" style="1661" customWidth="1"/>
    <col min="4331" max="4331" width="10.5" style="1661" customWidth="1"/>
    <col min="4332" max="4562" width="8" style="1661"/>
    <col min="4563" max="4563" width="1.5" style="1661" customWidth="1"/>
    <col min="4564" max="4565" width="9" style="1661" customWidth="1"/>
    <col min="4566" max="4566" width="1.125" style="1661" customWidth="1"/>
    <col min="4567" max="4567" width="11.125" style="1661" customWidth="1"/>
    <col min="4568" max="4568" width="1.125" style="1661" customWidth="1"/>
    <col min="4569" max="4573" width="9" style="1661" customWidth="1"/>
    <col min="4574" max="4574" width="15.875" style="1661" customWidth="1"/>
    <col min="4575" max="4575" width="15.5" style="1661" customWidth="1"/>
    <col min="4576" max="4576" width="7.625" style="1661" customWidth="1"/>
    <col min="4577" max="4577" width="10.25" style="1661" customWidth="1"/>
    <col min="4578" max="4579" width="9" style="1661" customWidth="1"/>
    <col min="4580" max="4580" width="1.5" style="1661" customWidth="1"/>
    <col min="4581" max="4581" width="9" style="1661" customWidth="1"/>
    <col min="4582" max="4582" width="10.875" style="1661" bestFit="1" customWidth="1"/>
    <col min="4583" max="4583" width="10.5" style="1661" bestFit="1" customWidth="1"/>
    <col min="4584" max="4584" width="10.875" style="1661" customWidth="1"/>
    <col min="4585" max="4585" width="10.5" style="1661" customWidth="1"/>
    <col min="4586" max="4586" width="10.875" style="1661" customWidth="1"/>
    <col min="4587" max="4587" width="10.5" style="1661" customWidth="1"/>
    <col min="4588" max="4818" width="8" style="1661"/>
    <col min="4819" max="4819" width="1.5" style="1661" customWidth="1"/>
    <col min="4820" max="4821" width="9" style="1661" customWidth="1"/>
    <col min="4822" max="4822" width="1.125" style="1661" customWidth="1"/>
    <col min="4823" max="4823" width="11.125" style="1661" customWidth="1"/>
    <col min="4824" max="4824" width="1.125" style="1661" customWidth="1"/>
    <col min="4825" max="4829" width="9" style="1661" customWidth="1"/>
    <col min="4830" max="4830" width="15.875" style="1661" customWidth="1"/>
    <col min="4831" max="4831" width="15.5" style="1661" customWidth="1"/>
    <col min="4832" max="4832" width="7.625" style="1661" customWidth="1"/>
    <col min="4833" max="4833" width="10.25" style="1661" customWidth="1"/>
    <col min="4834" max="4835" width="9" style="1661" customWidth="1"/>
    <col min="4836" max="4836" width="1.5" style="1661" customWidth="1"/>
    <col min="4837" max="4837" width="9" style="1661" customWidth="1"/>
    <col min="4838" max="4838" width="10.875" style="1661" bestFit="1" customWidth="1"/>
    <col min="4839" max="4839" width="10.5" style="1661" bestFit="1" customWidth="1"/>
    <col min="4840" max="4840" width="10.875" style="1661" customWidth="1"/>
    <col min="4841" max="4841" width="10.5" style="1661" customWidth="1"/>
    <col min="4842" max="4842" width="10.875" style="1661" customWidth="1"/>
    <col min="4843" max="4843" width="10.5" style="1661" customWidth="1"/>
    <col min="4844" max="5074" width="8" style="1661"/>
    <col min="5075" max="5075" width="1.5" style="1661" customWidth="1"/>
    <col min="5076" max="5077" width="9" style="1661" customWidth="1"/>
    <col min="5078" max="5078" width="1.125" style="1661" customWidth="1"/>
    <col min="5079" max="5079" width="11.125" style="1661" customWidth="1"/>
    <col min="5080" max="5080" width="1.125" style="1661" customWidth="1"/>
    <col min="5081" max="5085" width="9" style="1661" customWidth="1"/>
    <col min="5086" max="5086" width="15.875" style="1661" customWidth="1"/>
    <col min="5087" max="5087" width="15.5" style="1661" customWidth="1"/>
    <col min="5088" max="5088" width="7.625" style="1661" customWidth="1"/>
    <col min="5089" max="5089" width="10.25" style="1661" customWidth="1"/>
    <col min="5090" max="5091" width="9" style="1661" customWidth="1"/>
    <col min="5092" max="5092" width="1.5" style="1661" customWidth="1"/>
    <col min="5093" max="5093" width="9" style="1661" customWidth="1"/>
    <col min="5094" max="5094" width="10.875" style="1661" bestFit="1" customWidth="1"/>
    <col min="5095" max="5095" width="10.5" style="1661" bestFit="1" customWidth="1"/>
    <col min="5096" max="5096" width="10.875" style="1661" customWidth="1"/>
    <col min="5097" max="5097" width="10.5" style="1661" customWidth="1"/>
    <col min="5098" max="5098" width="10.875" style="1661" customWidth="1"/>
    <col min="5099" max="5099" width="10.5" style="1661" customWidth="1"/>
    <col min="5100" max="5330" width="8" style="1661"/>
    <col min="5331" max="5331" width="1.5" style="1661" customWidth="1"/>
    <col min="5332" max="5333" width="9" style="1661" customWidth="1"/>
    <col min="5334" max="5334" width="1.125" style="1661" customWidth="1"/>
    <col min="5335" max="5335" width="11.125" style="1661" customWidth="1"/>
    <col min="5336" max="5336" width="1.125" style="1661" customWidth="1"/>
    <col min="5337" max="5341" width="9" style="1661" customWidth="1"/>
    <col min="5342" max="5342" width="15.875" style="1661" customWidth="1"/>
    <col min="5343" max="5343" width="15.5" style="1661" customWidth="1"/>
    <col min="5344" max="5344" width="7.625" style="1661" customWidth="1"/>
    <col min="5345" max="5345" width="10.25" style="1661" customWidth="1"/>
    <col min="5346" max="5347" width="9" style="1661" customWidth="1"/>
    <col min="5348" max="5348" width="1.5" style="1661" customWidth="1"/>
    <col min="5349" max="5349" width="9" style="1661" customWidth="1"/>
    <col min="5350" max="5350" width="10.875" style="1661" bestFit="1" customWidth="1"/>
    <col min="5351" max="5351" width="10.5" style="1661" bestFit="1" customWidth="1"/>
    <col min="5352" max="5352" width="10.875" style="1661" customWidth="1"/>
    <col min="5353" max="5353" width="10.5" style="1661" customWidth="1"/>
    <col min="5354" max="5354" width="10.875" style="1661" customWidth="1"/>
    <col min="5355" max="5355" width="10.5" style="1661" customWidth="1"/>
    <col min="5356" max="5586" width="8" style="1661"/>
    <col min="5587" max="5587" width="1.5" style="1661" customWidth="1"/>
    <col min="5588" max="5589" width="9" style="1661" customWidth="1"/>
    <col min="5590" max="5590" width="1.125" style="1661" customWidth="1"/>
    <col min="5591" max="5591" width="11.125" style="1661" customWidth="1"/>
    <col min="5592" max="5592" width="1.125" style="1661" customWidth="1"/>
    <col min="5593" max="5597" width="9" style="1661" customWidth="1"/>
    <col min="5598" max="5598" width="15.875" style="1661" customWidth="1"/>
    <col min="5599" max="5599" width="15.5" style="1661" customWidth="1"/>
    <col min="5600" max="5600" width="7.625" style="1661" customWidth="1"/>
    <col min="5601" max="5601" width="10.25" style="1661" customWidth="1"/>
    <col min="5602" max="5603" width="9" style="1661" customWidth="1"/>
    <col min="5604" max="5604" width="1.5" style="1661" customWidth="1"/>
    <col min="5605" max="5605" width="9" style="1661" customWidth="1"/>
    <col min="5606" max="5606" width="10.875" style="1661" bestFit="1" customWidth="1"/>
    <col min="5607" max="5607" width="10.5" style="1661" bestFit="1" customWidth="1"/>
    <col min="5608" max="5608" width="10.875" style="1661" customWidth="1"/>
    <col min="5609" max="5609" width="10.5" style="1661" customWidth="1"/>
    <col min="5610" max="5610" width="10.875" style="1661" customWidth="1"/>
    <col min="5611" max="5611" width="10.5" style="1661" customWidth="1"/>
    <col min="5612" max="5842" width="8" style="1661"/>
    <col min="5843" max="5843" width="1.5" style="1661" customWidth="1"/>
    <col min="5844" max="5845" width="9" style="1661" customWidth="1"/>
    <col min="5846" max="5846" width="1.125" style="1661" customWidth="1"/>
    <col min="5847" max="5847" width="11.125" style="1661" customWidth="1"/>
    <col min="5848" max="5848" width="1.125" style="1661" customWidth="1"/>
    <col min="5849" max="5853" width="9" style="1661" customWidth="1"/>
    <col min="5854" max="5854" width="15.875" style="1661" customWidth="1"/>
    <col min="5855" max="5855" width="15.5" style="1661" customWidth="1"/>
    <col min="5856" max="5856" width="7.625" style="1661" customWidth="1"/>
    <col min="5857" max="5857" width="10.25" style="1661" customWidth="1"/>
    <col min="5858" max="5859" width="9" style="1661" customWidth="1"/>
    <col min="5860" max="5860" width="1.5" style="1661" customWidth="1"/>
    <col min="5861" max="5861" width="9" style="1661" customWidth="1"/>
    <col min="5862" max="5862" width="10.875" style="1661" bestFit="1" customWidth="1"/>
    <col min="5863" max="5863" width="10.5" style="1661" bestFit="1" customWidth="1"/>
    <col min="5864" max="5864" width="10.875" style="1661" customWidth="1"/>
    <col min="5865" max="5865" width="10.5" style="1661" customWidth="1"/>
    <col min="5866" max="5866" width="10.875" style="1661" customWidth="1"/>
    <col min="5867" max="5867" width="10.5" style="1661" customWidth="1"/>
    <col min="5868" max="6098" width="8" style="1661"/>
    <col min="6099" max="6099" width="1.5" style="1661" customWidth="1"/>
    <col min="6100" max="6101" width="9" style="1661" customWidth="1"/>
    <col min="6102" max="6102" width="1.125" style="1661" customWidth="1"/>
    <col min="6103" max="6103" width="11.125" style="1661" customWidth="1"/>
    <col min="6104" max="6104" width="1.125" style="1661" customWidth="1"/>
    <col min="6105" max="6109" width="9" style="1661" customWidth="1"/>
    <col min="6110" max="6110" width="15.875" style="1661" customWidth="1"/>
    <col min="6111" max="6111" width="15.5" style="1661" customWidth="1"/>
    <col min="6112" max="6112" width="7.625" style="1661" customWidth="1"/>
    <col min="6113" max="6113" width="10.25" style="1661" customWidth="1"/>
    <col min="6114" max="6115" width="9" style="1661" customWidth="1"/>
    <col min="6116" max="6116" width="1.5" style="1661" customWidth="1"/>
    <col min="6117" max="6117" width="9" style="1661" customWidth="1"/>
    <col min="6118" max="6118" width="10.875" style="1661" bestFit="1" customWidth="1"/>
    <col min="6119" max="6119" width="10.5" style="1661" bestFit="1" customWidth="1"/>
    <col min="6120" max="6120" width="10.875" style="1661" customWidth="1"/>
    <col min="6121" max="6121" width="10.5" style="1661" customWidth="1"/>
    <col min="6122" max="6122" width="10.875" style="1661" customWidth="1"/>
    <col min="6123" max="6123" width="10.5" style="1661" customWidth="1"/>
    <col min="6124" max="6354" width="8" style="1661"/>
    <col min="6355" max="6355" width="1.5" style="1661" customWidth="1"/>
    <col min="6356" max="6357" width="9" style="1661" customWidth="1"/>
    <col min="6358" max="6358" width="1.125" style="1661" customWidth="1"/>
    <col min="6359" max="6359" width="11.125" style="1661" customWidth="1"/>
    <col min="6360" max="6360" width="1.125" style="1661" customWidth="1"/>
    <col min="6361" max="6365" width="9" style="1661" customWidth="1"/>
    <col min="6366" max="6366" width="15.875" style="1661" customWidth="1"/>
    <col min="6367" max="6367" width="15.5" style="1661" customWidth="1"/>
    <col min="6368" max="6368" width="7.625" style="1661" customWidth="1"/>
    <col min="6369" max="6369" width="10.25" style="1661" customWidth="1"/>
    <col min="6370" max="6371" width="9" style="1661" customWidth="1"/>
    <col min="6372" max="6372" width="1.5" style="1661" customWidth="1"/>
    <col min="6373" max="6373" width="9" style="1661" customWidth="1"/>
    <col min="6374" max="6374" width="10.875" style="1661" bestFit="1" customWidth="1"/>
    <col min="6375" max="6375" width="10.5" style="1661" bestFit="1" customWidth="1"/>
    <col min="6376" max="6376" width="10.875" style="1661" customWidth="1"/>
    <col min="6377" max="6377" width="10.5" style="1661" customWidth="1"/>
    <col min="6378" max="6378" width="10.875" style="1661" customWidth="1"/>
    <col min="6379" max="6379" width="10.5" style="1661" customWidth="1"/>
    <col min="6380" max="6610" width="8" style="1661"/>
    <col min="6611" max="6611" width="1.5" style="1661" customWidth="1"/>
    <col min="6612" max="6613" width="9" style="1661" customWidth="1"/>
    <col min="6614" max="6614" width="1.125" style="1661" customWidth="1"/>
    <col min="6615" max="6615" width="11.125" style="1661" customWidth="1"/>
    <col min="6616" max="6616" width="1.125" style="1661" customWidth="1"/>
    <col min="6617" max="6621" width="9" style="1661" customWidth="1"/>
    <col min="6622" max="6622" width="15.875" style="1661" customWidth="1"/>
    <col min="6623" max="6623" width="15.5" style="1661" customWidth="1"/>
    <col min="6624" max="6624" width="7.625" style="1661" customWidth="1"/>
    <col min="6625" max="6625" width="10.25" style="1661" customWidth="1"/>
    <col min="6626" max="6627" width="9" style="1661" customWidth="1"/>
    <col min="6628" max="6628" width="1.5" style="1661" customWidth="1"/>
    <col min="6629" max="6629" width="9" style="1661" customWidth="1"/>
    <col min="6630" max="6630" width="10.875" style="1661" bestFit="1" customWidth="1"/>
    <col min="6631" max="6631" width="10.5" style="1661" bestFit="1" customWidth="1"/>
    <col min="6632" max="6632" width="10.875" style="1661" customWidth="1"/>
    <col min="6633" max="6633" width="10.5" style="1661" customWidth="1"/>
    <col min="6634" max="6634" width="10.875" style="1661" customWidth="1"/>
    <col min="6635" max="6635" width="10.5" style="1661" customWidth="1"/>
    <col min="6636" max="6866" width="8" style="1661"/>
    <col min="6867" max="6867" width="1.5" style="1661" customWidth="1"/>
    <col min="6868" max="6869" width="9" style="1661" customWidth="1"/>
    <col min="6870" max="6870" width="1.125" style="1661" customWidth="1"/>
    <col min="6871" max="6871" width="11.125" style="1661" customWidth="1"/>
    <col min="6872" max="6872" width="1.125" style="1661" customWidth="1"/>
    <col min="6873" max="6877" width="9" style="1661" customWidth="1"/>
    <col min="6878" max="6878" width="15.875" style="1661" customWidth="1"/>
    <col min="6879" max="6879" width="15.5" style="1661" customWidth="1"/>
    <col min="6880" max="6880" width="7.625" style="1661" customWidth="1"/>
    <col min="6881" max="6881" width="10.25" style="1661" customWidth="1"/>
    <col min="6882" max="6883" width="9" style="1661" customWidth="1"/>
    <col min="6884" max="6884" width="1.5" style="1661" customWidth="1"/>
    <col min="6885" max="6885" width="9" style="1661" customWidth="1"/>
    <col min="6886" max="6886" width="10.875" style="1661" bestFit="1" customWidth="1"/>
    <col min="6887" max="6887" width="10.5" style="1661" bestFit="1" customWidth="1"/>
    <col min="6888" max="6888" width="10.875" style="1661" customWidth="1"/>
    <col min="6889" max="6889" width="10.5" style="1661" customWidth="1"/>
    <col min="6890" max="6890" width="10.875" style="1661" customWidth="1"/>
    <col min="6891" max="6891" width="10.5" style="1661" customWidth="1"/>
    <col min="6892" max="7122" width="8" style="1661"/>
    <col min="7123" max="7123" width="1.5" style="1661" customWidth="1"/>
    <col min="7124" max="7125" width="9" style="1661" customWidth="1"/>
    <col min="7126" max="7126" width="1.125" style="1661" customWidth="1"/>
    <col min="7127" max="7127" width="11.125" style="1661" customWidth="1"/>
    <col min="7128" max="7128" width="1.125" style="1661" customWidth="1"/>
    <col min="7129" max="7133" width="9" style="1661" customWidth="1"/>
    <col min="7134" max="7134" width="15.875" style="1661" customWidth="1"/>
    <col min="7135" max="7135" width="15.5" style="1661" customWidth="1"/>
    <col min="7136" max="7136" width="7.625" style="1661" customWidth="1"/>
    <col min="7137" max="7137" width="10.25" style="1661" customWidth="1"/>
    <col min="7138" max="7139" width="9" style="1661" customWidth="1"/>
    <col min="7140" max="7140" width="1.5" style="1661" customWidth="1"/>
    <col min="7141" max="7141" width="9" style="1661" customWidth="1"/>
    <col min="7142" max="7142" width="10.875" style="1661" bestFit="1" customWidth="1"/>
    <col min="7143" max="7143" width="10.5" style="1661" bestFit="1" customWidth="1"/>
    <col min="7144" max="7144" width="10.875" style="1661" customWidth="1"/>
    <col min="7145" max="7145" width="10.5" style="1661" customWidth="1"/>
    <col min="7146" max="7146" width="10.875" style="1661" customWidth="1"/>
    <col min="7147" max="7147" width="10.5" style="1661" customWidth="1"/>
    <col min="7148" max="7378" width="8" style="1661"/>
    <col min="7379" max="7379" width="1.5" style="1661" customWidth="1"/>
    <col min="7380" max="7381" width="9" style="1661" customWidth="1"/>
    <col min="7382" max="7382" width="1.125" style="1661" customWidth="1"/>
    <col min="7383" max="7383" width="11.125" style="1661" customWidth="1"/>
    <col min="7384" max="7384" width="1.125" style="1661" customWidth="1"/>
    <col min="7385" max="7389" width="9" style="1661" customWidth="1"/>
    <col min="7390" max="7390" width="15.875" style="1661" customWidth="1"/>
    <col min="7391" max="7391" width="15.5" style="1661" customWidth="1"/>
    <col min="7392" max="7392" width="7.625" style="1661" customWidth="1"/>
    <col min="7393" max="7393" width="10.25" style="1661" customWidth="1"/>
    <col min="7394" max="7395" width="9" style="1661" customWidth="1"/>
    <col min="7396" max="7396" width="1.5" style="1661" customWidth="1"/>
    <col min="7397" max="7397" width="9" style="1661" customWidth="1"/>
    <col min="7398" max="7398" width="10.875" style="1661" bestFit="1" customWidth="1"/>
    <col min="7399" max="7399" width="10.5" style="1661" bestFit="1" customWidth="1"/>
    <col min="7400" max="7400" width="10.875" style="1661" customWidth="1"/>
    <col min="7401" max="7401" width="10.5" style="1661" customWidth="1"/>
    <col min="7402" max="7402" width="10.875" style="1661" customWidth="1"/>
    <col min="7403" max="7403" width="10.5" style="1661" customWidth="1"/>
    <col min="7404" max="7634" width="8" style="1661"/>
    <col min="7635" max="7635" width="1.5" style="1661" customWidth="1"/>
    <col min="7636" max="7637" width="9" style="1661" customWidth="1"/>
    <col min="7638" max="7638" width="1.125" style="1661" customWidth="1"/>
    <col min="7639" max="7639" width="11.125" style="1661" customWidth="1"/>
    <col min="7640" max="7640" width="1.125" style="1661" customWidth="1"/>
    <col min="7641" max="7645" width="9" style="1661" customWidth="1"/>
    <col min="7646" max="7646" width="15.875" style="1661" customWidth="1"/>
    <col min="7647" max="7647" width="15.5" style="1661" customWidth="1"/>
    <col min="7648" max="7648" width="7.625" style="1661" customWidth="1"/>
    <col min="7649" max="7649" width="10.25" style="1661" customWidth="1"/>
    <col min="7650" max="7651" width="9" style="1661" customWidth="1"/>
    <col min="7652" max="7652" width="1.5" style="1661" customWidth="1"/>
    <col min="7653" max="7653" width="9" style="1661" customWidth="1"/>
    <col min="7654" max="7654" width="10.875" style="1661" bestFit="1" customWidth="1"/>
    <col min="7655" max="7655" width="10.5" style="1661" bestFit="1" customWidth="1"/>
    <col min="7656" max="7656" width="10.875" style="1661" customWidth="1"/>
    <col min="7657" max="7657" width="10.5" style="1661" customWidth="1"/>
    <col min="7658" max="7658" width="10.875" style="1661" customWidth="1"/>
    <col min="7659" max="7659" width="10.5" style="1661" customWidth="1"/>
    <col min="7660" max="7890" width="8" style="1661"/>
    <col min="7891" max="7891" width="1.5" style="1661" customWidth="1"/>
    <col min="7892" max="7893" width="9" style="1661" customWidth="1"/>
    <col min="7894" max="7894" width="1.125" style="1661" customWidth="1"/>
    <col min="7895" max="7895" width="11.125" style="1661" customWidth="1"/>
    <col min="7896" max="7896" width="1.125" style="1661" customWidth="1"/>
    <col min="7897" max="7901" width="9" style="1661" customWidth="1"/>
    <col min="7902" max="7902" width="15.875" style="1661" customWidth="1"/>
    <col min="7903" max="7903" width="15.5" style="1661" customWidth="1"/>
    <col min="7904" max="7904" width="7.625" style="1661" customWidth="1"/>
    <col min="7905" max="7905" width="10.25" style="1661" customWidth="1"/>
    <col min="7906" max="7907" width="9" style="1661" customWidth="1"/>
    <col min="7908" max="7908" width="1.5" style="1661" customWidth="1"/>
    <col min="7909" max="7909" width="9" style="1661" customWidth="1"/>
    <col min="7910" max="7910" width="10.875" style="1661" bestFit="1" customWidth="1"/>
    <col min="7911" max="7911" width="10.5" style="1661" bestFit="1" customWidth="1"/>
    <col min="7912" max="7912" width="10.875" style="1661" customWidth="1"/>
    <col min="7913" max="7913" width="10.5" style="1661" customWidth="1"/>
    <col min="7914" max="7914" width="10.875" style="1661" customWidth="1"/>
    <col min="7915" max="7915" width="10.5" style="1661" customWidth="1"/>
    <col min="7916" max="8146" width="8" style="1661"/>
    <col min="8147" max="8147" width="1.5" style="1661" customWidth="1"/>
    <col min="8148" max="8149" width="9" style="1661" customWidth="1"/>
    <col min="8150" max="8150" width="1.125" style="1661" customWidth="1"/>
    <col min="8151" max="8151" width="11.125" style="1661" customWidth="1"/>
    <col min="8152" max="8152" width="1.125" style="1661" customWidth="1"/>
    <col min="8153" max="8157" width="9" style="1661" customWidth="1"/>
    <col min="8158" max="8158" width="15.875" style="1661" customWidth="1"/>
    <col min="8159" max="8159" width="15.5" style="1661" customWidth="1"/>
    <col min="8160" max="8160" width="7.625" style="1661" customWidth="1"/>
    <col min="8161" max="8161" width="10.25" style="1661" customWidth="1"/>
    <col min="8162" max="8163" width="9" style="1661" customWidth="1"/>
    <col min="8164" max="8164" width="1.5" style="1661" customWidth="1"/>
    <col min="8165" max="8165" width="9" style="1661" customWidth="1"/>
    <col min="8166" max="8166" width="10.875" style="1661" bestFit="1" customWidth="1"/>
    <col min="8167" max="8167" width="10.5" style="1661" bestFit="1" customWidth="1"/>
    <col min="8168" max="8168" width="10.875" style="1661" customWidth="1"/>
    <col min="8169" max="8169" width="10.5" style="1661" customWidth="1"/>
    <col min="8170" max="8170" width="10.875" style="1661" customWidth="1"/>
    <col min="8171" max="8171" width="10.5" style="1661" customWidth="1"/>
    <col min="8172" max="8402" width="8" style="1661"/>
    <col min="8403" max="8403" width="1.5" style="1661" customWidth="1"/>
    <col min="8404" max="8405" width="9" style="1661" customWidth="1"/>
    <col min="8406" max="8406" width="1.125" style="1661" customWidth="1"/>
    <col min="8407" max="8407" width="11.125" style="1661" customWidth="1"/>
    <col min="8408" max="8408" width="1.125" style="1661" customWidth="1"/>
    <col min="8409" max="8413" width="9" style="1661" customWidth="1"/>
    <col min="8414" max="8414" width="15.875" style="1661" customWidth="1"/>
    <col min="8415" max="8415" width="15.5" style="1661" customWidth="1"/>
    <col min="8416" max="8416" width="7.625" style="1661" customWidth="1"/>
    <col min="8417" max="8417" width="10.25" style="1661" customWidth="1"/>
    <col min="8418" max="8419" width="9" style="1661" customWidth="1"/>
    <col min="8420" max="8420" width="1.5" style="1661" customWidth="1"/>
    <col min="8421" max="8421" width="9" style="1661" customWidth="1"/>
    <col min="8422" max="8422" width="10.875" style="1661" bestFit="1" customWidth="1"/>
    <col min="8423" max="8423" width="10.5" style="1661" bestFit="1" customWidth="1"/>
    <col min="8424" max="8424" width="10.875" style="1661" customWidth="1"/>
    <col min="8425" max="8425" width="10.5" style="1661" customWidth="1"/>
    <col min="8426" max="8426" width="10.875" style="1661" customWidth="1"/>
    <col min="8427" max="8427" width="10.5" style="1661" customWidth="1"/>
    <col min="8428" max="8658" width="8" style="1661"/>
    <col min="8659" max="8659" width="1.5" style="1661" customWidth="1"/>
    <col min="8660" max="8661" width="9" style="1661" customWidth="1"/>
    <col min="8662" max="8662" width="1.125" style="1661" customWidth="1"/>
    <col min="8663" max="8663" width="11.125" style="1661" customWidth="1"/>
    <col min="8664" max="8664" width="1.125" style="1661" customWidth="1"/>
    <col min="8665" max="8669" width="9" style="1661" customWidth="1"/>
    <col min="8670" max="8670" width="15.875" style="1661" customWidth="1"/>
    <col min="8671" max="8671" width="15.5" style="1661" customWidth="1"/>
    <col min="8672" max="8672" width="7.625" style="1661" customWidth="1"/>
    <col min="8673" max="8673" width="10.25" style="1661" customWidth="1"/>
    <col min="8674" max="8675" width="9" style="1661" customWidth="1"/>
    <col min="8676" max="8676" width="1.5" style="1661" customWidth="1"/>
    <col min="8677" max="8677" width="9" style="1661" customWidth="1"/>
    <col min="8678" max="8678" width="10.875" style="1661" bestFit="1" customWidth="1"/>
    <col min="8679" max="8679" width="10.5" style="1661" bestFit="1" customWidth="1"/>
    <col min="8680" max="8680" width="10.875" style="1661" customWidth="1"/>
    <col min="8681" max="8681" width="10.5" style="1661" customWidth="1"/>
    <col min="8682" max="8682" width="10.875" style="1661" customWidth="1"/>
    <col min="8683" max="8683" width="10.5" style="1661" customWidth="1"/>
    <col min="8684" max="8914" width="8" style="1661"/>
    <col min="8915" max="8915" width="1.5" style="1661" customWidth="1"/>
    <col min="8916" max="8917" width="9" style="1661" customWidth="1"/>
    <col min="8918" max="8918" width="1.125" style="1661" customWidth="1"/>
    <col min="8919" max="8919" width="11.125" style="1661" customWidth="1"/>
    <col min="8920" max="8920" width="1.125" style="1661" customWidth="1"/>
    <col min="8921" max="8925" width="9" style="1661" customWidth="1"/>
    <col min="8926" max="8926" width="15.875" style="1661" customWidth="1"/>
    <col min="8927" max="8927" width="15.5" style="1661" customWidth="1"/>
    <col min="8928" max="8928" width="7.625" style="1661" customWidth="1"/>
    <col min="8929" max="8929" width="10.25" style="1661" customWidth="1"/>
    <col min="8930" max="8931" width="9" style="1661" customWidth="1"/>
    <col min="8932" max="8932" width="1.5" style="1661" customWidth="1"/>
    <col min="8933" max="8933" width="9" style="1661" customWidth="1"/>
    <col min="8934" max="8934" width="10.875" style="1661" bestFit="1" customWidth="1"/>
    <col min="8935" max="8935" width="10.5" style="1661" bestFit="1" customWidth="1"/>
    <col min="8936" max="8936" width="10.875" style="1661" customWidth="1"/>
    <col min="8937" max="8937" width="10.5" style="1661" customWidth="1"/>
    <col min="8938" max="8938" width="10.875" style="1661" customWidth="1"/>
    <col min="8939" max="8939" width="10.5" style="1661" customWidth="1"/>
    <col min="8940" max="9170" width="8" style="1661"/>
    <col min="9171" max="9171" width="1.5" style="1661" customWidth="1"/>
    <col min="9172" max="9173" width="9" style="1661" customWidth="1"/>
    <col min="9174" max="9174" width="1.125" style="1661" customWidth="1"/>
    <col min="9175" max="9175" width="11.125" style="1661" customWidth="1"/>
    <col min="9176" max="9176" width="1.125" style="1661" customWidth="1"/>
    <col min="9177" max="9181" width="9" style="1661" customWidth="1"/>
    <col min="9182" max="9182" width="15.875" style="1661" customWidth="1"/>
    <col min="9183" max="9183" width="15.5" style="1661" customWidth="1"/>
    <col min="9184" max="9184" width="7.625" style="1661" customWidth="1"/>
    <col min="9185" max="9185" width="10.25" style="1661" customWidth="1"/>
    <col min="9186" max="9187" width="9" style="1661" customWidth="1"/>
    <col min="9188" max="9188" width="1.5" style="1661" customWidth="1"/>
    <col min="9189" max="9189" width="9" style="1661" customWidth="1"/>
    <col min="9190" max="9190" width="10.875" style="1661" bestFit="1" customWidth="1"/>
    <col min="9191" max="9191" width="10.5" style="1661" bestFit="1" customWidth="1"/>
    <col min="9192" max="9192" width="10.875" style="1661" customWidth="1"/>
    <col min="9193" max="9193" width="10.5" style="1661" customWidth="1"/>
    <col min="9194" max="9194" width="10.875" style="1661" customWidth="1"/>
    <col min="9195" max="9195" width="10.5" style="1661" customWidth="1"/>
    <col min="9196" max="9426" width="8" style="1661"/>
    <col min="9427" max="9427" width="1.5" style="1661" customWidth="1"/>
    <col min="9428" max="9429" width="9" style="1661" customWidth="1"/>
    <col min="9430" max="9430" width="1.125" style="1661" customWidth="1"/>
    <col min="9431" max="9431" width="11.125" style="1661" customWidth="1"/>
    <col min="9432" max="9432" width="1.125" style="1661" customWidth="1"/>
    <col min="9433" max="9437" width="9" style="1661" customWidth="1"/>
    <col min="9438" max="9438" width="15.875" style="1661" customWidth="1"/>
    <col min="9439" max="9439" width="15.5" style="1661" customWidth="1"/>
    <col min="9440" max="9440" width="7.625" style="1661" customWidth="1"/>
    <col min="9441" max="9441" width="10.25" style="1661" customWidth="1"/>
    <col min="9442" max="9443" width="9" style="1661" customWidth="1"/>
    <col min="9444" max="9444" width="1.5" style="1661" customWidth="1"/>
    <col min="9445" max="9445" width="9" style="1661" customWidth="1"/>
    <col min="9446" max="9446" width="10.875" style="1661" bestFit="1" customWidth="1"/>
    <col min="9447" max="9447" width="10.5" style="1661" bestFit="1" customWidth="1"/>
    <col min="9448" max="9448" width="10.875" style="1661" customWidth="1"/>
    <col min="9449" max="9449" width="10.5" style="1661" customWidth="1"/>
    <col min="9450" max="9450" width="10.875" style="1661" customWidth="1"/>
    <col min="9451" max="9451" width="10.5" style="1661" customWidth="1"/>
    <col min="9452" max="9682" width="8" style="1661"/>
    <col min="9683" max="9683" width="1.5" style="1661" customWidth="1"/>
    <col min="9684" max="9685" width="9" style="1661" customWidth="1"/>
    <col min="9686" max="9686" width="1.125" style="1661" customWidth="1"/>
    <col min="9687" max="9687" width="11.125" style="1661" customWidth="1"/>
    <col min="9688" max="9688" width="1.125" style="1661" customWidth="1"/>
    <col min="9689" max="9693" width="9" style="1661" customWidth="1"/>
    <col min="9694" max="9694" width="15.875" style="1661" customWidth="1"/>
    <col min="9695" max="9695" width="15.5" style="1661" customWidth="1"/>
    <col min="9696" max="9696" width="7.625" style="1661" customWidth="1"/>
    <col min="9697" max="9697" width="10.25" style="1661" customWidth="1"/>
    <col min="9698" max="9699" width="9" style="1661" customWidth="1"/>
    <col min="9700" max="9700" width="1.5" style="1661" customWidth="1"/>
    <col min="9701" max="9701" width="9" style="1661" customWidth="1"/>
    <col min="9702" max="9702" width="10.875" style="1661" bestFit="1" customWidth="1"/>
    <col min="9703" max="9703" width="10.5" style="1661" bestFit="1" customWidth="1"/>
    <col min="9704" max="9704" width="10.875" style="1661" customWidth="1"/>
    <col min="9705" max="9705" width="10.5" style="1661" customWidth="1"/>
    <col min="9706" max="9706" width="10.875" style="1661" customWidth="1"/>
    <col min="9707" max="9707" width="10.5" style="1661" customWidth="1"/>
    <col min="9708" max="9938" width="8" style="1661"/>
    <col min="9939" max="9939" width="1.5" style="1661" customWidth="1"/>
    <col min="9940" max="9941" width="9" style="1661" customWidth="1"/>
    <col min="9942" max="9942" width="1.125" style="1661" customWidth="1"/>
    <col min="9943" max="9943" width="11.125" style="1661" customWidth="1"/>
    <col min="9944" max="9944" width="1.125" style="1661" customWidth="1"/>
    <col min="9945" max="9949" width="9" style="1661" customWidth="1"/>
    <col min="9950" max="9950" width="15.875" style="1661" customWidth="1"/>
    <col min="9951" max="9951" width="15.5" style="1661" customWidth="1"/>
    <col min="9952" max="9952" width="7.625" style="1661" customWidth="1"/>
    <col min="9953" max="9953" width="10.25" style="1661" customWidth="1"/>
    <col min="9954" max="9955" width="9" style="1661" customWidth="1"/>
    <col min="9956" max="9956" width="1.5" style="1661" customWidth="1"/>
    <col min="9957" max="9957" width="9" style="1661" customWidth="1"/>
    <col min="9958" max="9958" width="10.875" style="1661" bestFit="1" customWidth="1"/>
    <col min="9959" max="9959" width="10.5" style="1661" bestFit="1" customWidth="1"/>
    <col min="9960" max="9960" width="10.875" style="1661" customWidth="1"/>
    <col min="9961" max="9961" width="10.5" style="1661" customWidth="1"/>
    <col min="9962" max="9962" width="10.875" style="1661" customWidth="1"/>
    <col min="9963" max="9963" width="10.5" style="1661" customWidth="1"/>
    <col min="9964" max="10194" width="8" style="1661"/>
    <col min="10195" max="10195" width="1.5" style="1661" customWidth="1"/>
    <col min="10196" max="10197" width="9" style="1661" customWidth="1"/>
    <col min="10198" max="10198" width="1.125" style="1661" customWidth="1"/>
    <col min="10199" max="10199" width="11.125" style="1661" customWidth="1"/>
    <col min="10200" max="10200" width="1.125" style="1661" customWidth="1"/>
    <col min="10201" max="10205" width="9" style="1661" customWidth="1"/>
    <col min="10206" max="10206" width="15.875" style="1661" customWidth="1"/>
    <col min="10207" max="10207" width="15.5" style="1661" customWidth="1"/>
    <col min="10208" max="10208" width="7.625" style="1661" customWidth="1"/>
    <col min="10209" max="10209" width="10.25" style="1661" customWidth="1"/>
    <col min="10210" max="10211" width="9" style="1661" customWidth="1"/>
    <col min="10212" max="10212" width="1.5" style="1661" customWidth="1"/>
    <col min="10213" max="10213" width="9" style="1661" customWidth="1"/>
    <col min="10214" max="10214" width="10.875" style="1661" bestFit="1" customWidth="1"/>
    <col min="10215" max="10215" width="10.5" style="1661" bestFit="1" customWidth="1"/>
    <col min="10216" max="10216" width="10.875" style="1661" customWidth="1"/>
    <col min="10217" max="10217" width="10.5" style="1661" customWidth="1"/>
    <col min="10218" max="10218" width="10.875" style="1661" customWidth="1"/>
    <col min="10219" max="10219" width="10.5" style="1661" customWidth="1"/>
    <col min="10220" max="10450" width="8" style="1661"/>
    <col min="10451" max="10451" width="1.5" style="1661" customWidth="1"/>
    <col min="10452" max="10453" width="9" style="1661" customWidth="1"/>
    <col min="10454" max="10454" width="1.125" style="1661" customWidth="1"/>
    <col min="10455" max="10455" width="11.125" style="1661" customWidth="1"/>
    <col min="10456" max="10456" width="1.125" style="1661" customWidth="1"/>
    <col min="10457" max="10461" width="9" style="1661" customWidth="1"/>
    <col min="10462" max="10462" width="15.875" style="1661" customWidth="1"/>
    <col min="10463" max="10463" width="15.5" style="1661" customWidth="1"/>
    <col min="10464" max="10464" width="7.625" style="1661" customWidth="1"/>
    <col min="10465" max="10465" width="10.25" style="1661" customWidth="1"/>
    <col min="10466" max="10467" width="9" style="1661" customWidth="1"/>
    <col min="10468" max="10468" width="1.5" style="1661" customWidth="1"/>
    <col min="10469" max="10469" width="9" style="1661" customWidth="1"/>
    <col min="10470" max="10470" width="10.875" style="1661" bestFit="1" customWidth="1"/>
    <col min="10471" max="10471" width="10.5" style="1661" bestFit="1" customWidth="1"/>
    <col min="10472" max="10472" width="10.875" style="1661" customWidth="1"/>
    <col min="10473" max="10473" width="10.5" style="1661" customWidth="1"/>
    <col min="10474" max="10474" width="10.875" style="1661" customWidth="1"/>
    <col min="10475" max="10475" width="10.5" style="1661" customWidth="1"/>
    <col min="10476" max="10706" width="8" style="1661"/>
    <col min="10707" max="10707" width="1.5" style="1661" customWidth="1"/>
    <col min="10708" max="10709" width="9" style="1661" customWidth="1"/>
    <col min="10710" max="10710" width="1.125" style="1661" customWidth="1"/>
    <col min="10711" max="10711" width="11.125" style="1661" customWidth="1"/>
    <col min="10712" max="10712" width="1.125" style="1661" customWidth="1"/>
    <col min="10713" max="10717" width="9" style="1661" customWidth="1"/>
    <col min="10718" max="10718" width="15.875" style="1661" customWidth="1"/>
    <col min="10719" max="10719" width="15.5" style="1661" customWidth="1"/>
    <col min="10720" max="10720" width="7.625" style="1661" customWidth="1"/>
    <col min="10721" max="10721" width="10.25" style="1661" customWidth="1"/>
    <col min="10722" max="10723" width="9" style="1661" customWidth="1"/>
    <col min="10724" max="10724" width="1.5" style="1661" customWidth="1"/>
    <col min="10725" max="10725" width="9" style="1661" customWidth="1"/>
    <col min="10726" max="10726" width="10.875" style="1661" bestFit="1" customWidth="1"/>
    <col min="10727" max="10727" width="10.5" style="1661" bestFit="1" customWidth="1"/>
    <col min="10728" max="10728" width="10.875" style="1661" customWidth="1"/>
    <col min="10729" max="10729" width="10.5" style="1661" customWidth="1"/>
    <col min="10730" max="10730" width="10.875" style="1661" customWidth="1"/>
    <col min="10731" max="10731" width="10.5" style="1661" customWidth="1"/>
    <col min="10732" max="10962" width="8" style="1661"/>
    <col min="10963" max="10963" width="1.5" style="1661" customWidth="1"/>
    <col min="10964" max="10965" width="9" style="1661" customWidth="1"/>
    <col min="10966" max="10966" width="1.125" style="1661" customWidth="1"/>
    <col min="10967" max="10967" width="11.125" style="1661" customWidth="1"/>
    <col min="10968" max="10968" width="1.125" style="1661" customWidth="1"/>
    <col min="10969" max="10973" width="9" style="1661" customWidth="1"/>
    <col min="10974" max="10974" width="15.875" style="1661" customWidth="1"/>
    <col min="10975" max="10975" width="15.5" style="1661" customWidth="1"/>
    <col min="10976" max="10976" width="7.625" style="1661" customWidth="1"/>
    <col min="10977" max="10977" width="10.25" style="1661" customWidth="1"/>
    <col min="10978" max="10979" width="9" style="1661" customWidth="1"/>
    <col min="10980" max="10980" width="1.5" style="1661" customWidth="1"/>
    <col min="10981" max="10981" width="9" style="1661" customWidth="1"/>
    <col min="10982" max="10982" width="10.875" style="1661" bestFit="1" customWidth="1"/>
    <col min="10983" max="10983" width="10.5" style="1661" bestFit="1" customWidth="1"/>
    <col min="10984" max="10984" width="10.875" style="1661" customWidth="1"/>
    <col min="10985" max="10985" width="10.5" style="1661" customWidth="1"/>
    <col min="10986" max="10986" width="10.875" style="1661" customWidth="1"/>
    <col min="10987" max="10987" width="10.5" style="1661" customWidth="1"/>
    <col min="10988" max="11218" width="8" style="1661"/>
    <col min="11219" max="11219" width="1.5" style="1661" customWidth="1"/>
    <col min="11220" max="11221" width="9" style="1661" customWidth="1"/>
    <col min="11222" max="11222" width="1.125" style="1661" customWidth="1"/>
    <col min="11223" max="11223" width="11.125" style="1661" customWidth="1"/>
    <col min="11224" max="11224" width="1.125" style="1661" customWidth="1"/>
    <col min="11225" max="11229" width="9" style="1661" customWidth="1"/>
    <col min="11230" max="11230" width="15.875" style="1661" customWidth="1"/>
    <col min="11231" max="11231" width="15.5" style="1661" customWidth="1"/>
    <col min="11232" max="11232" width="7.625" style="1661" customWidth="1"/>
    <col min="11233" max="11233" width="10.25" style="1661" customWidth="1"/>
    <col min="11234" max="11235" width="9" style="1661" customWidth="1"/>
    <col min="11236" max="11236" width="1.5" style="1661" customWidth="1"/>
    <col min="11237" max="11237" width="9" style="1661" customWidth="1"/>
    <col min="11238" max="11238" width="10.875" style="1661" bestFit="1" customWidth="1"/>
    <col min="11239" max="11239" width="10.5" style="1661" bestFit="1" customWidth="1"/>
    <col min="11240" max="11240" width="10.875" style="1661" customWidth="1"/>
    <col min="11241" max="11241" width="10.5" style="1661" customWidth="1"/>
    <col min="11242" max="11242" width="10.875" style="1661" customWidth="1"/>
    <col min="11243" max="11243" width="10.5" style="1661" customWidth="1"/>
    <col min="11244" max="11474" width="8" style="1661"/>
    <col min="11475" max="11475" width="1.5" style="1661" customWidth="1"/>
    <col min="11476" max="11477" width="9" style="1661" customWidth="1"/>
    <col min="11478" max="11478" width="1.125" style="1661" customWidth="1"/>
    <col min="11479" max="11479" width="11.125" style="1661" customWidth="1"/>
    <col min="11480" max="11480" width="1.125" style="1661" customWidth="1"/>
    <col min="11481" max="11485" width="9" style="1661" customWidth="1"/>
    <col min="11486" max="11486" width="15.875" style="1661" customWidth="1"/>
    <col min="11487" max="11487" width="15.5" style="1661" customWidth="1"/>
    <col min="11488" max="11488" width="7.625" style="1661" customWidth="1"/>
    <col min="11489" max="11489" width="10.25" style="1661" customWidth="1"/>
    <col min="11490" max="11491" width="9" style="1661" customWidth="1"/>
    <col min="11492" max="11492" width="1.5" style="1661" customWidth="1"/>
    <col min="11493" max="11493" width="9" style="1661" customWidth="1"/>
    <col min="11494" max="11494" width="10.875" style="1661" bestFit="1" customWidth="1"/>
    <col min="11495" max="11495" width="10.5" style="1661" bestFit="1" customWidth="1"/>
    <col min="11496" max="11496" width="10.875" style="1661" customWidth="1"/>
    <col min="11497" max="11497" width="10.5" style="1661" customWidth="1"/>
    <col min="11498" max="11498" width="10.875" style="1661" customWidth="1"/>
    <col min="11499" max="11499" width="10.5" style="1661" customWidth="1"/>
    <col min="11500" max="11730" width="8" style="1661"/>
    <col min="11731" max="11731" width="1.5" style="1661" customWidth="1"/>
    <col min="11732" max="11733" width="9" style="1661" customWidth="1"/>
    <col min="11734" max="11734" width="1.125" style="1661" customWidth="1"/>
    <col min="11735" max="11735" width="11.125" style="1661" customWidth="1"/>
    <col min="11736" max="11736" width="1.125" style="1661" customWidth="1"/>
    <col min="11737" max="11741" width="9" style="1661" customWidth="1"/>
    <col min="11742" max="11742" width="15.875" style="1661" customWidth="1"/>
    <col min="11743" max="11743" width="15.5" style="1661" customWidth="1"/>
    <col min="11744" max="11744" width="7.625" style="1661" customWidth="1"/>
    <col min="11745" max="11745" width="10.25" style="1661" customWidth="1"/>
    <col min="11746" max="11747" width="9" style="1661" customWidth="1"/>
    <col min="11748" max="11748" width="1.5" style="1661" customWidth="1"/>
    <col min="11749" max="11749" width="9" style="1661" customWidth="1"/>
    <col min="11750" max="11750" width="10.875" style="1661" bestFit="1" customWidth="1"/>
    <col min="11751" max="11751" width="10.5" style="1661" bestFit="1" customWidth="1"/>
    <col min="11752" max="11752" width="10.875" style="1661" customWidth="1"/>
    <col min="11753" max="11753" width="10.5" style="1661" customWidth="1"/>
    <col min="11754" max="11754" width="10.875" style="1661" customWidth="1"/>
    <col min="11755" max="11755" width="10.5" style="1661" customWidth="1"/>
    <col min="11756" max="11986" width="8" style="1661"/>
    <col min="11987" max="11987" width="1.5" style="1661" customWidth="1"/>
    <col min="11988" max="11989" width="9" style="1661" customWidth="1"/>
    <col min="11990" max="11990" width="1.125" style="1661" customWidth="1"/>
    <col min="11991" max="11991" width="11.125" style="1661" customWidth="1"/>
    <col min="11992" max="11992" width="1.125" style="1661" customWidth="1"/>
    <col min="11993" max="11997" width="9" style="1661" customWidth="1"/>
    <col min="11998" max="11998" width="15.875" style="1661" customWidth="1"/>
    <col min="11999" max="11999" width="15.5" style="1661" customWidth="1"/>
    <col min="12000" max="12000" width="7.625" style="1661" customWidth="1"/>
    <col min="12001" max="12001" width="10.25" style="1661" customWidth="1"/>
    <col min="12002" max="12003" width="9" style="1661" customWidth="1"/>
    <col min="12004" max="12004" width="1.5" style="1661" customWidth="1"/>
    <col min="12005" max="12005" width="9" style="1661" customWidth="1"/>
    <col min="12006" max="12006" width="10.875" style="1661" bestFit="1" customWidth="1"/>
    <col min="12007" max="12007" width="10.5" style="1661" bestFit="1" customWidth="1"/>
    <col min="12008" max="12008" width="10.875" style="1661" customWidth="1"/>
    <col min="12009" max="12009" width="10.5" style="1661" customWidth="1"/>
    <col min="12010" max="12010" width="10.875" style="1661" customWidth="1"/>
    <col min="12011" max="12011" width="10.5" style="1661" customWidth="1"/>
    <col min="12012" max="12242" width="8" style="1661"/>
    <col min="12243" max="12243" width="1.5" style="1661" customWidth="1"/>
    <col min="12244" max="12245" width="9" style="1661" customWidth="1"/>
    <col min="12246" max="12246" width="1.125" style="1661" customWidth="1"/>
    <col min="12247" max="12247" width="11.125" style="1661" customWidth="1"/>
    <col min="12248" max="12248" width="1.125" style="1661" customWidth="1"/>
    <col min="12249" max="12253" width="9" style="1661" customWidth="1"/>
    <col min="12254" max="12254" width="15.875" style="1661" customWidth="1"/>
    <col min="12255" max="12255" width="15.5" style="1661" customWidth="1"/>
    <col min="12256" max="12256" width="7.625" style="1661" customWidth="1"/>
    <col min="12257" max="12257" width="10.25" style="1661" customWidth="1"/>
    <col min="12258" max="12259" width="9" style="1661" customWidth="1"/>
    <col min="12260" max="12260" width="1.5" style="1661" customWidth="1"/>
    <col min="12261" max="12261" width="9" style="1661" customWidth="1"/>
    <col min="12262" max="12262" width="10.875" style="1661" bestFit="1" customWidth="1"/>
    <col min="12263" max="12263" width="10.5" style="1661" bestFit="1" customWidth="1"/>
    <col min="12264" max="12264" width="10.875" style="1661" customWidth="1"/>
    <col min="12265" max="12265" width="10.5" style="1661" customWidth="1"/>
    <col min="12266" max="12266" width="10.875" style="1661" customWidth="1"/>
    <col min="12267" max="12267" width="10.5" style="1661" customWidth="1"/>
    <col min="12268" max="12498" width="8" style="1661"/>
    <col min="12499" max="12499" width="1.5" style="1661" customWidth="1"/>
    <col min="12500" max="12501" width="9" style="1661" customWidth="1"/>
    <col min="12502" max="12502" width="1.125" style="1661" customWidth="1"/>
    <col min="12503" max="12503" width="11.125" style="1661" customWidth="1"/>
    <col min="12504" max="12504" width="1.125" style="1661" customWidth="1"/>
    <col min="12505" max="12509" width="9" style="1661" customWidth="1"/>
    <col min="12510" max="12510" width="15.875" style="1661" customWidth="1"/>
    <col min="12511" max="12511" width="15.5" style="1661" customWidth="1"/>
    <col min="12512" max="12512" width="7.625" style="1661" customWidth="1"/>
    <col min="12513" max="12513" width="10.25" style="1661" customWidth="1"/>
    <col min="12514" max="12515" width="9" style="1661" customWidth="1"/>
    <col min="12516" max="12516" width="1.5" style="1661" customWidth="1"/>
    <col min="12517" max="12517" width="9" style="1661" customWidth="1"/>
    <col min="12518" max="12518" width="10.875" style="1661" bestFit="1" customWidth="1"/>
    <col min="12519" max="12519" width="10.5" style="1661" bestFit="1" customWidth="1"/>
    <col min="12520" max="12520" width="10.875" style="1661" customWidth="1"/>
    <col min="12521" max="12521" width="10.5" style="1661" customWidth="1"/>
    <col min="12522" max="12522" width="10.875" style="1661" customWidth="1"/>
    <col min="12523" max="12523" width="10.5" style="1661" customWidth="1"/>
    <col min="12524" max="12754" width="8" style="1661"/>
    <col min="12755" max="12755" width="1.5" style="1661" customWidth="1"/>
    <col min="12756" max="12757" width="9" style="1661" customWidth="1"/>
    <col min="12758" max="12758" width="1.125" style="1661" customWidth="1"/>
    <col min="12759" max="12759" width="11.125" style="1661" customWidth="1"/>
    <col min="12760" max="12760" width="1.125" style="1661" customWidth="1"/>
    <col min="12761" max="12765" width="9" style="1661" customWidth="1"/>
    <col min="12766" max="12766" width="15.875" style="1661" customWidth="1"/>
    <col min="12767" max="12767" width="15.5" style="1661" customWidth="1"/>
    <col min="12768" max="12768" width="7.625" style="1661" customWidth="1"/>
    <col min="12769" max="12769" width="10.25" style="1661" customWidth="1"/>
    <col min="12770" max="12771" width="9" style="1661" customWidth="1"/>
    <col min="12772" max="12772" width="1.5" style="1661" customWidth="1"/>
    <col min="12773" max="12773" width="9" style="1661" customWidth="1"/>
    <col min="12774" max="12774" width="10.875" style="1661" bestFit="1" customWidth="1"/>
    <col min="12775" max="12775" width="10.5" style="1661" bestFit="1" customWidth="1"/>
    <col min="12776" max="12776" width="10.875" style="1661" customWidth="1"/>
    <col min="12777" max="12777" width="10.5" style="1661" customWidth="1"/>
    <col min="12778" max="12778" width="10.875" style="1661" customWidth="1"/>
    <col min="12779" max="12779" width="10.5" style="1661" customWidth="1"/>
    <col min="12780" max="13010" width="8" style="1661"/>
    <col min="13011" max="13011" width="1.5" style="1661" customWidth="1"/>
    <col min="13012" max="13013" width="9" style="1661" customWidth="1"/>
    <col min="13014" max="13014" width="1.125" style="1661" customWidth="1"/>
    <col min="13015" max="13015" width="11.125" style="1661" customWidth="1"/>
    <col min="13016" max="13016" width="1.125" style="1661" customWidth="1"/>
    <col min="13017" max="13021" width="9" style="1661" customWidth="1"/>
    <col min="13022" max="13022" width="15.875" style="1661" customWidth="1"/>
    <col min="13023" max="13023" width="15.5" style="1661" customWidth="1"/>
    <col min="13024" max="13024" width="7.625" style="1661" customWidth="1"/>
    <col min="13025" max="13025" width="10.25" style="1661" customWidth="1"/>
    <col min="13026" max="13027" width="9" style="1661" customWidth="1"/>
    <col min="13028" max="13028" width="1.5" style="1661" customWidth="1"/>
    <col min="13029" max="13029" width="9" style="1661" customWidth="1"/>
    <col min="13030" max="13030" width="10.875" style="1661" bestFit="1" customWidth="1"/>
    <col min="13031" max="13031" width="10.5" style="1661" bestFit="1" customWidth="1"/>
    <col min="13032" max="13032" width="10.875" style="1661" customWidth="1"/>
    <col min="13033" max="13033" width="10.5" style="1661" customWidth="1"/>
    <col min="13034" max="13034" width="10.875" style="1661" customWidth="1"/>
    <col min="13035" max="13035" width="10.5" style="1661" customWidth="1"/>
    <col min="13036" max="13266" width="8" style="1661"/>
    <col min="13267" max="13267" width="1.5" style="1661" customWidth="1"/>
    <col min="13268" max="13269" width="9" style="1661" customWidth="1"/>
    <col min="13270" max="13270" width="1.125" style="1661" customWidth="1"/>
    <col min="13271" max="13271" width="11.125" style="1661" customWidth="1"/>
    <col min="13272" max="13272" width="1.125" style="1661" customWidth="1"/>
    <col min="13273" max="13277" width="9" style="1661" customWidth="1"/>
    <col min="13278" max="13278" width="15.875" style="1661" customWidth="1"/>
    <col min="13279" max="13279" width="15.5" style="1661" customWidth="1"/>
    <col min="13280" max="13280" width="7.625" style="1661" customWidth="1"/>
    <col min="13281" max="13281" width="10.25" style="1661" customWidth="1"/>
    <col min="13282" max="13283" width="9" style="1661" customWidth="1"/>
    <col min="13284" max="13284" width="1.5" style="1661" customWidth="1"/>
    <col min="13285" max="13285" width="9" style="1661" customWidth="1"/>
    <col min="13286" max="13286" width="10.875" style="1661" bestFit="1" customWidth="1"/>
    <col min="13287" max="13287" width="10.5" style="1661" bestFit="1" customWidth="1"/>
    <col min="13288" max="13288" width="10.875" style="1661" customWidth="1"/>
    <col min="13289" max="13289" width="10.5" style="1661" customWidth="1"/>
    <col min="13290" max="13290" width="10.875" style="1661" customWidth="1"/>
    <col min="13291" max="13291" width="10.5" style="1661" customWidth="1"/>
    <col min="13292" max="13522" width="8" style="1661"/>
    <col min="13523" max="13523" width="1.5" style="1661" customWidth="1"/>
    <col min="13524" max="13525" width="9" style="1661" customWidth="1"/>
    <col min="13526" max="13526" width="1.125" style="1661" customWidth="1"/>
    <col min="13527" max="13527" width="11.125" style="1661" customWidth="1"/>
    <col min="13528" max="13528" width="1.125" style="1661" customWidth="1"/>
    <col min="13529" max="13533" width="9" style="1661" customWidth="1"/>
    <col min="13534" max="13534" width="15.875" style="1661" customWidth="1"/>
    <col min="13535" max="13535" width="15.5" style="1661" customWidth="1"/>
    <col min="13536" max="13536" width="7.625" style="1661" customWidth="1"/>
    <col min="13537" max="13537" width="10.25" style="1661" customWidth="1"/>
    <col min="13538" max="13539" width="9" style="1661" customWidth="1"/>
    <col min="13540" max="13540" width="1.5" style="1661" customWidth="1"/>
    <col min="13541" max="13541" width="9" style="1661" customWidth="1"/>
    <col min="13542" max="13542" width="10.875" style="1661" bestFit="1" customWidth="1"/>
    <col min="13543" max="13543" width="10.5" style="1661" bestFit="1" customWidth="1"/>
    <col min="13544" max="13544" width="10.875" style="1661" customWidth="1"/>
    <col min="13545" max="13545" width="10.5" style="1661" customWidth="1"/>
    <col min="13546" max="13546" width="10.875" style="1661" customWidth="1"/>
    <col min="13547" max="13547" width="10.5" style="1661" customWidth="1"/>
    <col min="13548" max="13778" width="8" style="1661"/>
    <col min="13779" max="13779" width="1.5" style="1661" customWidth="1"/>
    <col min="13780" max="13781" width="9" style="1661" customWidth="1"/>
    <col min="13782" max="13782" width="1.125" style="1661" customWidth="1"/>
    <col min="13783" max="13783" width="11.125" style="1661" customWidth="1"/>
    <col min="13784" max="13784" width="1.125" style="1661" customWidth="1"/>
    <col min="13785" max="13789" width="9" style="1661" customWidth="1"/>
    <col min="13790" max="13790" width="15.875" style="1661" customWidth="1"/>
    <col min="13791" max="13791" width="15.5" style="1661" customWidth="1"/>
    <col min="13792" max="13792" width="7.625" style="1661" customWidth="1"/>
    <col min="13793" max="13793" width="10.25" style="1661" customWidth="1"/>
    <col min="13794" max="13795" width="9" style="1661" customWidth="1"/>
    <col min="13796" max="13796" width="1.5" style="1661" customWidth="1"/>
    <col min="13797" max="13797" width="9" style="1661" customWidth="1"/>
    <col min="13798" max="13798" width="10.875" style="1661" bestFit="1" customWidth="1"/>
    <col min="13799" max="13799" width="10.5" style="1661" bestFit="1" customWidth="1"/>
    <col min="13800" max="13800" width="10.875" style="1661" customWidth="1"/>
    <col min="13801" max="13801" width="10.5" style="1661" customWidth="1"/>
    <col min="13802" max="13802" width="10.875" style="1661" customWidth="1"/>
    <col min="13803" max="13803" width="10.5" style="1661" customWidth="1"/>
    <col min="13804" max="14034" width="8" style="1661"/>
    <col min="14035" max="14035" width="1.5" style="1661" customWidth="1"/>
    <col min="14036" max="14037" width="9" style="1661" customWidth="1"/>
    <col min="14038" max="14038" width="1.125" style="1661" customWidth="1"/>
    <col min="14039" max="14039" width="11.125" style="1661" customWidth="1"/>
    <col min="14040" max="14040" width="1.125" style="1661" customWidth="1"/>
    <col min="14041" max="14045" width="9" style="1661" customWidth="1"/>
    <col min="14046" max="14046" width="15.875" style="1661" customWidth="1"/>
    <col min="14047" max="14047" width="15.5" style="1661" customWidth="1"/>
    <col min="14048" max="14048" width="7.625" style="1661" customWidth="1"/>
    <col min="14049" max="14049" width="10.25" style="1661" customWidth="1"/>
    <col min="14050" max="14051" width="9" style="1661" customWidth="1"/>
    <col min="14052" max="14052" width="1.5" style="1661" customWidth="1"/>
    <col min="14053" max="14053" width="9" style="1661" customWidth="1"/>
    <col min="14054" max="14054" width="10.875" style="1661" bestFit="1" customWidth="1"/>
    <col min="14055" max="14055" width="10.5" style="1661" bestFit="1" customWidth="1"/>
    <col min="14056" max="14056" width="10.875" style="1661" customWidth="1"/>
    <col min="14057" max="14057" width="10.5" style="1661" customWidth="1"/>
    <col min="14058" max="14058" width="10.875" style="1661" customWidth="1"/>
    <col min="14059" max="14059" width="10.5" style="1661" customWidth="1"/>
    <col min="14060" max="14290" width="8" style="1661"/>
    <col min="14291" max="14291" width="1.5" style="1661" customWidth="1"/>
    <col min="14292" max="14293" width="9" style="1661" customWidth="1"/>
    <col min="14294" max="14294" width="1.125" style="1661" customWidth="1"/>
    <col min="14295" max="14295" width="11.125" style="1661" customWidth="1"/>
    <col min="14296" max="14296" width="1.125" style="1661" customWidth="1"/>
    <col min="14297" max="14301" width="9" style="1661" customWidth="1"/>
    <col min="14302" max="14302" width="15.875" style="1661" customWidth="1"/>
    <col min="14303" max="14303" width="15.5" style="1661" customWidth="1"/>
    <col min="14304" max="14304" width="7.625" style="1661" customWidth="1"/>
    <col min="14305" max="14305" width="10.25" style="1661" customWidth="1"/>
    <col min="14306" max="14307" width="9" style="1661" customWidth="1"/>
    <col min="14308" max="14308" width="1.5" style="1661" customWidth="1"/>
    <col min="14309" max="14309" width="9" style="1661" customWidth="1"/>
    <col min="14310" max="14310" width="10.875" style="1661" bestFit="1" customWidth="1"/>
    <col min="14311" max="14311" width="10.5" style="1661" bestFit="1" customWidth="1"/>
    <col min="14312" max="14312" width="10.875" style="1661" customWidth="1"/>
    <col min="14313" max="14313" width="10.5" style="1661" customWidth="1"/>
    <col min="14314" max="14314" width="10.875" style="1661" customWidth="1"/>
    <col min="14315" max="14315" width="10.5" style="1661" customWidth="1"/>
    <col min="14316" max="14546" width="8" style="1661"/>
    <col min="14547" max="14547" width="1.5" style="1661" customWidth="1"/>
    <col min="14548" max="14549" width="9" style="1661" customWidth="1"/>
    <col min="14550" max="14550" width="1.125" style="1661" customWidth="1"/>
    <col min="14551" max="14551" width="11.125" style="1661" customWidth="1"/>
    <col min="14552" max="14552" width="1.125" style="1661" customWidth="1"/>
    <col min="14553" max="14557" width="9" style="1661" customWidth="1"/>
    <col min="14558" max="14558" width="15.875" style="1661" customWidth="1"/>
    <col min="14559" max="14559" width="15.5" style="1661" customWidth="1"/>
    <col min="14560" max="14560" width="7.625" style="1661" customWidth="1"/>
    <col min="14561" max="14561" width="10.25" style="1661" customWidth="1"/>
    <col min="14562" max="14563" width="9" style="1661" customWidth="1"/>
    <col min="14564" max="14564" width="1.5" style="1661" customWidth="1"/>
    <col min="14565" max="14565" width="9" style="1661" customWidth="1"/>
    <col min="14566" max="14566" width="10.875" style="1661" bestFit="1" customWidth="1"/>
    <col min="14567" max="14567" width="10.5" style="1661" bestFit="1" customWidth="1"/>
    <col min="14568" max="14568" width="10.875" style="1661" customWidth="1"/>
    <col min="14569" max="14569" width="10.5" style="1661" customWidth="1"/>
    <col min="14570" max="14570" width="10.875" style="1661" customWidth="1"/>
    <col min="14571" max="14571" width="10.5" style="1661" customWidth="1"/>
    <col min="14572" max="14802" width="8" style="1661"/>
    <col min="14803" max="14803" width="1.5" style="1661" customWidth="1"/>
    <col min="14804" max="14805" width="9" style="1661" customWidth="1"/>
    <col min="14806" max="14806" width="1.125" style="1661" customWidth="1"/>
    <col min="14807" max="14807" width="11.125" style="1661" customWidth="1"/>
    <col min="14808" max="14808" width="1.125" style="1661" customWidth="1"/>
    <col min="14809" max="14813" width="9" style="1661" customWidth="1"/>
    <col min="14814" max="14814" width="15.875" style="1661" customWidth="1"/>
    <col min="14815" max="14815" width="15.5" style="1661" customWidth="1"/>
    <col min="14816" max="14816" width="7.625" style="1661" customWidth="1"/>
    <col min="14817" max="14817" width="10.25" style="1661" customWidth="1"/>
    <col min="14818" max="14819" width="9" style="1661" customWidth="1"/>
    <col min="14820" max="14820" width="1.5" style="1661" customWidth="1"/>
    <col min="14821" max="14821" width="9" style="1661" customWidth="1"/>
    <col min="14822" max="14822" width="10.875" style="1661" bestFit="1" customWidth="1"/>
    <col min="14823" max="14823" width="10.5" style="1661" bestFit="1" customWidth="1"/>
    <col min="14824" max="14824" width="10.875" style="1661" customWidth="1"/>
    <col min="14825" max="14825" width="10.5" style="1661" customWidth="1"/>
    <col min="14826" max="14826" width="10.875" style="1661" customWidth="1"/>
    <col min="14827" max="14827" width="10.5" style="1661" customWidth="1"/>
    <col min="14828" max="15058" width="8" style="1661"/>
    <col min="15059" max="15059" width="1.5" style="1661" customWidth="1"/>
    <col min="15060" max="15061" width="9" style="1661" customWidth="1"/>
    <col min="15062" max="15062" width="1.125" style="1661" customWidth="1"/>
    <col min="15063" max="15063" width="11.125" style="1661" customWidth="1"/>
    <col min="15064" max="15064" width="1.125" style="1661" customWidth="1"/>
    <col min="15065" max="15069" width="9" style="1661" customWidth="1"/>
    <col min="15070" max="15070" width="15.875" style="1661" customWidth="1"/>
    <col min="15071" max="15071" width="15.5" style="1661" customWidth="1"/>
    <col min="15072" max="15072" width="7.625" style="1661" customWidth="1"/>
    <col min="15073" max="15073" width="10.25" style="1661" customWidth="1"/>
    <col min="15074" max="15075" width="9" style="1661" customWidth="1"/>
    <col min="15076" max="15076" width="1.5" style="1661" customWidth="1"/>
    <col min="15077" max="15077" width="9" style="1661" customWidth="1"/>
    <col min="15078" max="15078" width="10.875" style="1661" bestFit="1" customWidth="1"/>
    <col min="15079" max="15079" width="10.5" style="1661" bestFit="1" customWidth="1"/>
    <col min="15080" max="15080" width="10.875" style="1661" customWidth="1"/>
    <col min="15081" max="15081" width="10.5" style="1661" customWidth="1"/>
    <col min="15082" max="15082" width="10.875" style="1661" customWidth="1"/>
    <col min="15083" max="15083" width="10.5" style="1661" customWidth="1"/>
    <col min="15084" max="15314" width="8" style="1661"/>
    <col min="15315" max="15315" width="1.5" style="1661" customWidth="1"/>
    <col min="15316" max="15317" width="9" style="1661" customWidth="1"/>
    <col min="15318" max="15318" width="1.125" style="1661" customWidth="1"/>
    <col min="15319" max="15319" width="11.125" style="1661" customWidth="1"/>
    <col min="15320" max="15320" width="1.125" style="1661" customWidth="1"/>
    <col min="15321" max="15325" width="9" style="1661" customWidth="1"/>
    <col min="15326" max="15326" width="15.875" style="1661" customWidth="1"/>
    <col min="15327" max="15327" width="15.5" style="1661" customWidth="1"/>
    <col min="15328" max="15328" width="7.625" style="1661" customWidth="1"/>
    <col min="15329" max="15329" width="10.25" style="1661" customWidth="1"/>
    <col min="15330" max="15331" width="9" style="1661" customWidth="1"/>
    <col min="15332" max="15332" width="1.5" style="1661" customWidth="1"/>
    <col min="15333" max="15333" width="9" style="1661" customWidth="1"/>
    <col min="15334" max="15334" width="10.875" style="1661" bestFit="1" customWidth="1"/>
    <col min="15335" max="15335" width="10.5" style="1661" bestFit="1" customWidth="1"/>
    <col min="15336" max="15336" width="10.875" style="1661" customWidth="1"/>
    <col min="15337" max="15337" width="10.5" style="1661" customWidth="1"/>
    <col min="15338" max="15338" width="10.875" style="1661" customWidth="1"/>
    <col min="15339" max="15339" width="10.5" style="1661" customWidth="1"/>
    <col min="15340" max="15570" width="8" style="1661"/>
    <col min="15571" max="15571" width="1.5" style="1661" customWidth="1"/>
    <col min="15572" max="15573" width="9" style="1661" customWidth="1"/>
    <col min="15574" max="15574" width="1.125" style="1661" customWidth="1"/>
    <col min="15575" max="15575" width="11.125" style="1661" customWidth="1"/>
    <col min="15576" max="15576" width="1.125" style="1661" customWidth="1"/>
    <col min="15577" max="15581" width="9" style="1661" customWidth="1"/>
    <col min="15582" max="15582" width="15.875" style="1661" customWidth="1"/>
    <col min="15583" max="15583" width="15.5" style="1661" customWidth="1"/>
    <col min="15584" max="15584" width="7.625" style="1661" customWidth="1"/>
    <col min="15585" max="15585" width="10.25" style="1661" customWidth="1"/>
    <col min="15586" max="15587" width="9" style="1661" customWidth="1"/>
    <col min="15588" max="15588" width="1.5" style="1661" customWidth="1"/>
    <col min="15589" max="15589" width="9" style="1661" customWidth="1"/>
    <col min="15590" max="15590" width="10.875" style="1661" bestFit="1" customWidth="1"/>
    <col min="15591" max="15591" width="10.5" style="1661" bestFit="1" customWidth="1"/>
    <col min="15592" max="15592" width="10.875" style="1661" customWidth="1"/>
    <col min="15593" max="15593" width="10.5" style="1661" customWidth="1"/>
    <col min="15594" max="15594" width="10.875" style="1661" customWidth="1"/>
    <col min="15595" max="15595" width="10.5" style="1661" customWidth="1"/>
    <col min="15596" max="15826" width="8" style="1661"/>
    <col min="15827" max="15827" width="1.5" style="1661" customWidth="1"/>
    <col min="15828" max="15829" width="9" style="1661" customWidth="1"/>
    <col min="15830" max="15830" width="1.125" style="1661" customWidth="1"/>
    <col min="15831" max="15831" width="11.125" style="1661" customWidth="1"/>
    <col min="15832" max="15832" width="1.125" style="1661" customWidth="1"/>
    <col min="15833" max="15837" width="9" style="1661" customWidth="1"/>
    <col min="15838" max="15838" width="15.875" style="1661" customWidth="1"/>
    <col min="15839" max="15839" width="15.5" style="1661" customWidth="1"/>
    <col min="15840" max="15840" width="7.625" style="1661" customWidth="1"/>
    <col min="15841" max="15841" width="10.25" style="1661" customWidth="1"/>
    <col min="15842" max="15843" width="9" style="1661" customWidth="1"/>
    <col min="15844" max="15844" width="1.5" style="1661" customWidth="1"/>
    <col min="15845" max="15845" width="9" style="1661" customWidth="1"/>
    <col min="15846" max="15846" width="10.875" style="1661" bestFit="1" customWidth="1"/>
    <col min="15847" max="15847" width="10.5" style="1661" bestFit="1" customWidth="1"/>
    <col min="15848" max="15848" width="10.875" style="1661" customWidth="1"/>
    <col min="15849" max="15849" width="10.5" style="1661" customWidth="1"/>
    <col min="15850" max="15850" width="10.875" style="1661" customWidth="1"/>
    <col min="15851" max="15851" width="10.5" style="1661" customWidth="1"/>
    <col min="15852" max="16082" width="8" style="1661"/>
    <col min="16083" max="16083" width="1.5" style="1661" customWidth="1"/>
    <col min="16084" max="16085" width="9" style="1661" customWidth="1"/>
    <col min="16086" max="16086" width="1.125" style="1661" customWidth="1"/>
    <col min="16087" max="16087" width="11.125" style="1661" customWidth="1"/>
    <col min="16088" max="16088" width="1.125" style="1661" customWidth="1"/>
    <col min="16089" max="16093" width="9" style="1661" customWidth="1"/>
    <col min="16094" max="16094" width="15.875" style="1661" customWidth="1"/>
    <col min="16095" max="16095" width="15.5" style="1661" customWidth="1"/>
    <col min="16096" max="16096" width="7.625" style="1661" customWidth="1"/>
    <col min="16097" max="16097" width="10.25" style="1661" customWidth="1"/>
    <col min="16098" max="16099" width="9" style="1661" customWidth="1"/>
    <col min="16100" max="16100" width="1.5" style="1661" customWidth="1"/>
    <col min="16101" max="16101" width="9" style="1661" customWidth="1"/>
    <col min="16102" max="16102" width="10.875" style="1661" bestFit="1" customWidth="1"/>
    <col min="16103" max="16103" width="10.5" style="1661" bestFit="1" customWidth="1"/>
    <col min="16104" max="16104" width="10.875" style="1661" customWidth="1"/>
    <col min="16105" max="16105" width="10.5" style="1661" customWidth="1"/>
    <col min="16106" max="16106" width="10.875" style="1661" customWidth="1"/>
    <col min="16107" max="16107" width="10.5" style="1661" customWidth="1"/>
    <col min="16108" max="16384" width="8" style="1661"/>
  </cols>
  <sheetData>
    <row r="2" spans="2:21" s="920" customFormat="1" ht="6" customHeight="1">
      <c r="B2" s="916"/>
      <c r="C2" s="917"/>
      <c r="D2" s="917"/>
      <c r="E2" s="917"/>
      <c r="F2" s="917"/>
      <c r="G2" s="917"/>
      <c r="H2" s="917"/>
      <c r="I2" s="917"/>
      <c r="J2" s="918"/>
      <c r="K2" s="918"/>
      <c r="L2" s="918"/>
      <c r="M2" s="918"/>
      <c r="N2" s="917"/>
      <c r="O2" s="917"/>
      <c r="P2" s="917"/>
      <c r="Q2" s="917"/>
      <c r="R2" s="917"/>
      <c r="S2" s="917"/>
      <c r="T2" s="917"/>
      <c r="U2" s="919"/>
    </row>
    <row r="3" spans="2:21" s="920" customFormat="1" ht="20.25">
      <c r="B3" s="1456"/>
      <c r="C3" s="1778"/>
      <c r="D3" s="4482" t="s">
        <v>821</v>
      </c>
      <c r="E3" s="4483"/>
      <c r="F3" s="4483"/>
      <c r="G3" s="4483"/>
      <c r="H3" s="4483"/>
      <c r="I3" s="4483"/>
      <c r="J3" s="4483"/>
      <c r="K3" s="4483"/>
      <c r="L3" s="4483"/>
      <c r="M3" s="4483"/>
      <c r="N3" s="4483"/>
      <c r="O3" s="4483"/>
      <c r="P3" s="4483"/>
      <c r="Q3" s="4483"/>
      <c r="R3" s="4483"/>
      <c r="S3" s="4483"/>
      <c r="T3" s="4484"/>
      <c r="U3" s="926"/>
    </row>
    <row r="4" spans="2:21" s="920" customFormat="1" ht="15.75">
      <c r="B4" s="1456"/>
      <c r="C4" s="1779"/>
      <c r="D4" s="4485" t="s">
        <v>819</v>
      </c>
      <c r="E4" s="4486"/>
      <c r="F4" s="4486"/>
      <c r="G4" s="4486"/>
      <c r="H4" s="4486"/>
      <c r="I4" s="4486"/>
      <c r="J4" s="4486"/>
      <c r="K4" s="4486"/>
      <c r="L4" s="4486"/>
      <c r="M4" s="4486"/>
      <c r="N4" s="4486"/>
      <c r="O4" s="4486"/>
      <c r="P4" s="4486"/>
      <c r="Q4" s="4486"/>
      <c r="R4" s="4486"/>
      <c r="S4" s="4486"/>
      <c r="T4" s="4487"/>
      <c r="U4" s="926"/>
    </row>
    <row r="5" spans="2:21" s="920" customFormat="1" ht="15.75">
      <c r="B5" s="1456"/>
      <c r="C5" s="1779"/>
      <c r="D5" s="4485" t="s">
        <v>820</v>
      </c>
      <c r="E5" s="4486"/>
      <c r="F5" s="4486"/>
      <c r="G5" s="4486"/>
      <c r="H5" s="4486"/>
      <c r="I5" s="4486"/>
      <c r="J5" s="4486"/>
      <c r="K5" s="4486"/>
      <c r="L5" s="4486"/>
      <c r="M5" s="4486"/>
      <c r="N5" s="4486"/>
      <c r="O5" s="4486"/>
      <c r="P5" s="4486"/>
      <c r="Q5" s="4486"/>
      <c r="R5" s="4486"/>
      <c r="S5" s="4486"/>
      <c r="T5" s="4487"/>
      <c r="U5" s="926"/>
    </row>
    <row r="6" spans="2:21" s="920" customFormat="1" ht="15.75">
      <c r="B6" s="1456"/>
      <c r="C6" s="1779"/>
      <c r="D6" s="4485" t="s">
        <v>830</v>
      </c>
      <c r="E6" s="4486"/>
      <c r="F6" s="4486"/>
      <c r="G6" s="4486"/>
      <c r="H6" s="4486"/>
      <c r="I6" s="4486"/>
      <c r="J6" s="4486"/>
      <c r="K6" s="4486"/>
      <c r="L6" s="4486"/>
      <c r="M6" s="4486"/>
      <c r="N6" s="4486"/>
      <c r="O6" s="4486"/>
      <c r="P6" s="4486"/>
      <c r="Q6" s="4486"/>
      <c r="R6" s="4486"/>
      <c r="S6" s="4486"/>
      <c r="T6" s="4487"/>
      <c r="U6" s="926"/>
    </row>
    <row r="7" spans="2:21" s="920" customFormat="1" ht="15.75">
      <c r="B7" s="1456"/>
      <c r="C7" s="1780"/>
      <c r="D7" s="4488" t="s">
        <v>827</v>
      </c>
      <c r="E7" s="4489"/>
      <c r="F7" s="4489"/>
      <c r="G7" s="4489"/>
      <c r="H7" s="4489"/>
      <c r="I7" s="4489"/>
      <c r="J7" s="4489"/>
      <c r="K7" s="4489"/>
      <c r="L7" s="4489"/>
      <c r="M7" s="4489"/>
      <c r="N7" s="4489"/>
      <c r="O7" s="4489"/>
      <c r="P7" s="4489"/>
      <c r="Q7" s="4489"/>
      <c r="R7" s="4489"/>
      <c r="S7" s="4489"/>
      <c r="T7" s="4490"/>
      <c r="U7" s="926"/>
    </row>
    <row r="8" spans="2:21" ht="6" customHeight="1">
      <c r="B8" s="1753"/>
      <c r="C8" s="1750"/>
      <c r="D8" s="1759"/>
      <c r="E8" s="1759"/>
      <c r="F8" s="1759"/>
      <c r="G8" s="1759"/>
      <c r="H8" s="1759"/>
      <c r="I8" s="1760"/>
      <c r="J8" s="1760"/>
      <c r="K8" s="1760"/>
      <c r="L8" s="1760"/>
      <c r="M8" s="1760"/>
      <c r="N8" s="1761"/>
      <c r="O8" s="1761"/>
      <c r="P8" s="1742"/>
      <c r="Q8" s="1742"/>
      <c r="R8" s="1742"/>
      <c r="S8" s="1742"/>
      <c r="T8" s="1742"/>
      <c r="U8" s="1743"/>
    </row>
    <row r="9" spans="2:21" ht="15.75">
      <c r="B9" s="1753"/>
      <c r="C9" s="4576"/>
      <c r="D9" s="4577"/>
      <c r="E9" s="4577"/>
      <c r="F9" s="4577"/>
      <c r="G9" s="4577"/>
      <c r="H9" s="4577"/>
      <c r="I9" s="4577"/>
      <c r="J9" s="4577"/>
      <c r="K9" s="4577"/>
      <c r="L9" s="4577"/>
      <c r="M9" s="4577"/>
      <c r="N9" s="4577"/>
      <c r="O9" s="4577"/>
      <c r="P9" s="4577"/>
      <c r="Q9" s="4577"/>
      <c r="R9" s="4577"/>
      <c r="S9" s="4577"/>
      <c r="T9" s="4578"/>
      <c r="U9" s="1755"/>
    </row>
    <row r="10" spans="2:21" ht="18.75">
      <c r="B10" s="1753"/>
      <c r="C10" s="4580"/>
      <c r="D10" s="4581"/>
      <c r="E10" s="4581"/>
      <c r="F10" s="4581"/>
      <c r="G10" s="4581"/>
      <c r="H10" s="4581"/>
      <c r="I10" s="4581"/>
      <c r="J10" s="4581"/>
      <c r="K10" s="4581"/>
      <c r="L10" s="4581"/>
      <c r="M10" s="4581"/>
      <c r="N10" s="4581"/>
      <c r="O10" s="4581"/>
      <c r="P10" s="4581"/>
      <c r="Q10" s="4581"/>
      <c r="R10" s="4581"/>
      <c r="S10" s="4581"/>
      <c r="T10" s="4582"/>
      <c r="U10" s="1752"/>
    </row>
    <row r="11" spans="2:21">
      <c r="B11" s="1749"/>
      <c r="C11" s="1747"/>
      <c r="D11" s="1747"/>
      <c r="E11" s="1747"/>
      <c r="F11" s="1747"/>
      <c r="G11" s="1747"/>
      <c r="H11" s="1747"/>
      <c r="I11" s="1747"/>
      <c r="J11" s="1747"/>
      <c r="K11" s="1747"/>
      <c r="L11" s="1747"/>
      <c r="M11" s="1747"/>
      <c r="N11" s="1747"/>
      <c r="O11" s="1747"/>
      <c r="P11" s="1747"/>
      <c r="Q11" s="1747"/>
      <c r="R11" s="1747"/>
      <c r="S11" s="1747"/>
      <c r="T11" s="1747"/>
      <c r="U11" s="1748"/>
    </row>
    <row r="12" spans="2:21" s="1676" customFormat="1" ht="20.100000000000001" customHeight="1">
      <c r="B12" s="1744"/>
      <c r="C12" s="1745" t="s">
        <v>845</v>
      </c>
      <c r="H12" s="1742"/>
      <c r="I12" s="1742"/>
      <c r="J12" s="1742"/>
      <c r="K12" s="1742"/>
      <c r="L12" s="1742"/>
      <c r="S12" s="1742"/>
      <c r="T12" s="1742"/>
      <c r="U12" s="1743"/>
    </row>
    <row r="13" spans="2:21" s="1676" customFormat="1" ht="20.100000000000001" customHeight="1">
      <c r="B13" s="1744"/>
      <c r="C13" s="1742" t="s">
        <v>97</v>
      </c>
      <c r="E13" s="1742" t="s">
        <v>27</v>
      </c>
      <c r="F13" s="1762" t="str">
        <f>Details!B4</f>
        <v xml:space="preserve">PT Itamatra Nusantara </v>
      </c>
      <c r="I13" s="1742"/>
      <c r="J13" s="1742"/>
      <c r="K13" s="1742"/>
      <c r="L13" s="1742"/>
      <c r="O13" s="1676" t="s">
        <v>394</v>
      </c>
      <c r="P13" s="943"/>
      <c r="Q13" s="1762" t="s">
        <v>27</v>
      </c>
      <c r="R13" s="5" t="s">
        <v>823</v>
      </c>
      <c r="S13" s="1742"/>
      <c r="T13" s="1742"/>
      <c r="U13" s="1743"/>
    </row>
    <row r="14" spans="2:21" s="1676" customFormat="1" ht="20.100000000000001" customHeight="1">
      <c r="B14" s="1744"/>
      <c r="C14" s="1762" t="s">
        <v>860</v>
      </c>
      <c r="E14" s="1762" t="s">
        <v>27</v>
      </c>
      <c r="F14" s="1764" t="str">
        <f>Details!B1</f>
        <v>BH-05_UDS-01</v>
      </c>
      <c r="H14" s="1742"/>
      <c r="I14" s="1742"/>
      <c r="J14" s="1742"/>
      <c r="K14" s="1742"/>
      <c r="L14" s="1742"/>
      <c r="O14" s="1676" t="s">
        <v>822</v>
      </c>
      <c r="P14" s="943"/>
      <c r="Q14" s="1762" t="s">
        <v>27</v>
      </c>
      <c r="R14" s="832" t="s">
        <v>824</v>
      </c>
      <c r="S14" s="1742"/>
      <c r="T14" s="1742"/>
      <c r="U14" s="1743"/>
    </row>
    <row r="15" spans="2:21" s="1676" customFormat="1" ht="20.100000000000001" customHeight="1">
      <c r="B15" s="1744"/>
      <c r="C15" s="1762" t="s">
        <v>100</v>
      </c>
      <c r="E15" s="1762" t="s">
        <v>27</v>
      </c>
      <c r="F15" s="1762" t="str">
        <f>Details!B13&amp;" m"</f>
        <v>0,00-0,50 m</v>
      </c>
      <c r="I15" s="1742"/>
      <c r="K15" s="1742"/>
      <c r="L15" s="1742"/>
      <c r="O15" s="1762" t="s">
        <v>395</v>
      </c>
      <c r="P15" s="1781"/>
      <c r="Q15" s="1762" t="s">
        <v>27</v>
      </c>
      <c r="R15" s="4430">
        <v>45958</v>
      </c>
      <c r="S15" s="4430"/>
      <c r="T15" s="1742"/>
      <c r="U15" s="1743"/>
    </row>
    <row r="16" spans="2:21" s="1676" customFormat="1" ht="20.100000000000001" customHeight="1">
      <c r="B16" s="1744"/>
      <c r="C16" s="1742" t="s">
        <v>98</v>
      </c>
      <c r="E16" s="1762" t="s">
        <v>27</v>
      </c>
      <c r="F16" s="1762" t="str">
        <f>Details!B15</f>
        <v>Abu-abu / Gray</v>
      </c>
      <c r="H16" s="1742"/>
      <c r="I16" s="1742"/>
      <c r="J16" s="1765"/>
      <c r="K16" s="1765"/>
      <c r="L16" s="1742"/>
      <c r="O16" s="1742" t="s">
        <v>396</v>
      </c>
      <c r="P16" s="943"/>
      <c r="Q16" s="1742" t="s">
        <v>27</v>
      </c>
      <c r="R16" s="832" t="str">
        <f>Details!B22</f>
        <v>AS Sumartadji</v>
      </c>
      <c r="S16" s="1742"/>
      <c r="T16" s="1742"/>
      <c r="U16" s="1743"/>
    </row>
    <row r="17" spans="2:21" s="1676" customFormat="1" ht="20.100000000000001" customHeight="1">
      <c r="B17" s="1744"/>
      <c r="C17" s="1742" t="s">
        <v>1041</v>
      </c>
      <c r="E17" s="1676" t="s">
        <v>27</v>
      </c>
      <c r="F17" s="1700" t="str">
        <f>Details!B16</f>
        <v>Undisturbed Sample / UDS</v>
      </c>
      <c r="H17" s="1742"/>
      <c r="I17" s="1742"/>
      <c r="J17" s="1742"/>
      <c r="K17" s="1742"/>
      <c r="L17" s="1742"/>
      <c r="O17" s="1742" t="s">
        <v>186</v>
      </c>
      <c r="P17" s="943"/>
      <c r="Q17" s="1742" t="s">
        <v>27</v>
      </c>
      <c r="R17" s="5" t="str">
        <f>Details!B2</f>
        <v>MGS/02/VI/2026</v>
      </c>
      <c r="S17" s="1742"/>
      <c r="T17" s="1742"/>
      <c r="U17" s="1743"/>
    </row>
    <row r="18" spans="2:21" s="1676" customFormat="1" ht="20.100000000000001" customHeight="1">
      <c r="B18" s="1744"/>
      <c r="C18" s="1742" t="s">
        <v>101</v>
      </c>
      <c r="E18" s="1742" t="s">
        <v>27</v>
      </c>
      <c r="F18" s="1762" t="str">
        <f>Details!B14</f>
        <v>silty CLAY with sand</v>
      </c>
      <c r="H18" s="1742"/>
      <c r="I18" s="1742"/>
      <c r="J18" s="1742"/>
      <c r="K18" s="1742"/>
      <c r="L18" s="1742"/>
      <c r="M18" s="1742"/>
      <c r="N18" s="1742"/>
      <c r="O18" s="1742"/>
      <c r="P18" s="1742"/>
      <c r="Q18" s="1742"/>
      <c r="R18" s="1742"/>
      <c r="S18" s="1742"/>
      <c r="T18" s="1742"/>
      <c r="U18" s="1743"/>
    </row>
    <row r="19" spans="2:21" s="1676" customFormat="1" ht="20.100000000000001" customHeight="1">
      <c r="B19" s="1693"/>
      <c r="C19" s="1676" t="s">
        <v>1034</v>
      </c>
      <c r="U19" s="1698"/>
    </row>
    <row r="20" spans="2:21" s="1676" customFormat="1" ht="20.100000000000001" customHeight="1">
      <c r="B20" s="1693"/>
      <c r="U20" s="1698"/>
    </row>
    <row r="21" spans="2:21" s="1676" customFormat="1" ht="20.100000000000001" customHeight="1">
      <c r="B21" s="1693"/>
      <c r="U21" s="1698"/>
    </row>
    <row r="22" spans="2:21" s="1676" customFormat="1" ht="20.100000000000001" customHeight="1">
      <c r="B22" s="1693"/>
      <c r="U22" s="1698"/>
    </row>
    <row r="23" spans="2:21" s="1676" customFormat="1" ht="20.100000000000001" customHeight="1">
      <c r="B23" s="1693"/>
      <c r="U23" s="1698"/>
    </row>
    <row r="24" spans="2:21" s="1676" customFormat="1" ht="20.100000000000001" customHeight="1">
      <c r="B24" s="1693"/>
      <c r="U24" s="1698"/>
    </row>
    <row r="25" spans="2:21" s="1676" customFormat="1" ht="20.100000000000001" customHeight="1">
      <c r="B25" s="1693"/>
      <c r="U25" s="1735"/>
    </row>
    <row r="26" spans="2:21" s="1676" customFormat="1" ht="20.100000000000001" customHeight="1">
      <c r="B26" s="1693"/>
      <c r="U26" s="1698"/>
    </row>
    <row r="27" spans="2:21" s="1676" customFormat="1" ht="20.100000000000001" customHeight="1">
      <c r="B27" s="1693"/>
      <c r="U27" s="1698"/>
    </row>
    <row r="28" spans="2:21" s="1676" customFormat="1" ht="20.100000000000001" customHeight="1">
      <c r="B28" s="1693"/>
      <c r="U28" s="1698"/>
    </row>
    <row r="29" spans="2:21" s="1676" customFormat="1" ht="20.100000000000001" customHeight="1">
      <c r="B29" s="1693"/>
      <c r="U29" s="1698"/>
    </row>
    <row r="30" spans="2:21" s="1676" customFormat="1" ht="20.100000000000001" customHeight="1">
      <c r="B30" s="1693"/>
      <c r="U30" s="1698"/>
    </row>
    <row r="31" spans="2:21" s="1676" customFormat="1" ht="20.100000000000001" customHeight="1">
      <c r="B31" s="1693"/>
      <c r="U31" s="1701"/>
    </row>
    <row r="32" spans="2:21" s="1676" customFormat="1" ht="20.100000000000001" customHeight="1">
      <c r="B32" s="1693"/>
      <c r="U32" s="1725"/>
    </row>
    <row r="33" spans="2:21" s="1699" customFormat="1" ht="20.100000000000001" customHeight="1">
      <c r="B33" s="1729"/>
      <c r="C33" s="1676"/>
      <c r="D33" s="1676"/>
      <c r="E33" s="1676"/>
      <c r="F33" s="1676"/>
      <c r="G33" s="1676"/>
      <c r="H33" s="1676"/>
      <c r="I33" s="1676"/>
      <c r="J33" s="1676"/>
      <c r="K33" s="1676"/>
      <c r="L33" s="1676"/>
      <c r="M33" s="1676"/>
      <c r="N33" s="1676"/>
      <c r="O33" s="1676"/>
      <c r="P33" s="1676"/>
      <c r="Q33" s="1676"/>
      <c r="R33" s="1676"/>
      <c r="S33" s="1676"/>
      <c r="T33" s="1676"/>
      <c r="U33" s="1728"/>
    </row>
    <row r="34" spans="2:21" s="1676" customFormat="1" ht="20.100000000000001" customHeight="1">
      <c r="B34" s="1693"/>
      <c r="U34" s="1725"/>
    </row>
    <row r="35" spans="2:21" s="1676" customFormat="1" ht="20.100000000000001" customHeight="1">
      <c r="B35" s="1693"/>
      <c r="U35" s="1725"/>
    </row>
    <row r="36" spans="2:21" s="1676" customFormat="1" ht="20.100000000000001" customHeight="1">
      <c r="B36" s="1693"/>
      <c r="U36" s="1701"/>
    </row>
    <row r="37" spans="2:21" s="1676" customFormat="1" ht="20.100000000000001" customHeight="1">
      <c r="B37" s="1693"/>
      <c r="U37" s="1701"/>
    </row>
    <row r="38" spans="2:21" s="1676" customFormat="1" ht="20.100000000000001" customHeight="1">
      <c r="B38" s="1693"/>
      <c r="U38" s="1701"/>
    </row>
    <row r="39" spans="2:21" s="1676" customFormat="1" ht="20.100000000000001" customHeight="1">
      <c r="B39" s="1693"/>
      <c r="U39" s="1701"/>
    </row>
    <row r="40" spans="2:21" s="1676" customFormat="1" ht="20.100000000000001" customHeight="1">
      <c r="B40" s="1693"/>
      <c r="U40" s="1701"/>
    </row>
    <row r="41" spans="2:21" s="1676" customFormat="1" ht="20.100000000000001" customHeight="1">
      <c r="B41" s="1693"/>
      <c r="U41" s="1701"/>
    </row>
    <row r="42" spans="2:21" s="1676" customFormat="1" ht="20.100000000000001" customHeight="1">
      <c r="B42" s="1693"/>
      <c r="U42" s="1701"/>
    </row>
    <row r="43" spans="2:21" s="1676" customFormat="1" ht="20.100000000000001" customHeight="1">
      <c r="B43" s="1693"/>
      <c r="U43" s="1701"/>
    </row>
    <row r="44" spans="2:21" s="1676" customFormat="1" ht="20.100000000000001" customHeight="1">
      <c r="B44" s="1693"/>
      <c r="U44" s="1701"/>
    </row>
    <row r="45" spans="2:21" s="1676" customFormat="1" ht="20.100000000000001" customHeight="1">
      <c r="B45" s="1693"/>
      <c r="U45" s="1701"/>
    </row>
    <row r="46" spans="2:21" s="1676" customFormat="1" ht="20.100000000000001" customHeight="1">
      <c r="B46" s="1693"/>
      <c r="U46" s="1701"/>
    </row>
    <row r="47" spans="2:21" s="1676" customFormat="1" ht="20.100000000000001" customHeight="1">
      <c r="B47" s="1693"/>
      <c r="U47" s="1701"/>
    </row>
    <row r="48" spans="2:21" s="1676" customFormat="1" ht="20.100000000000001" customHeight="1">
      <c r="B48" s="1693"/>
      <c r="U48" s="1701"/>
    </row>
    <row r="49" spans="2:21" s="1676" customFormat="1" ht="20.100000000000001" customHeight="1">
      <c r="B49" s="1693"/>
      <c r="U49" s="1701"/>
    </row>
    <row r="50" spans="2:21" s="1676" customFormat="1" ht="20.100000000000001" customHeight="1">
      <c r="B50" s="1693"/>
      <c r="U50" s="1701"/>
    </row>
    <row r="51" spans="2:21" s="1676" customFormat="1" ht="20.100000000000001" customHeight="1">
      <c r="B51" s="1693"/>
      <c r="U51" s="1701"/>
    </row>
    <row r="52" spans="2:21" s="1676" customFormat="1" ht="20.100000000000001" customHeight="1">
      <c r="B52" s="1693"/>
      <c r="U52" s="1701"/>
    </row>
    <row r="53" spans="2:21" s="1676" customFormat="1" ht="20.100000000000001" customHeight="1">
      <c r="B53" s="1693"/>
      <c r="U53" s="1701"/>
    </row>
    <row r="54" spans="2:21" s="1676" customFormat="1" ht="20.100000000000001" customHeight="1">
      <c r="B54" s="1693"/>
      <c r="U54" s="1701"/>
    </row>
    <row r="55" spans="2:21" s="1676" customFormat="1" ht="20.100000000000001" customHeight="1">
      <c r="B55" s="1693"/>
      <c r="U55" s="1698"/>
    </row>
    <row r="56" spans="2:21" s="1676" customFormat="1" ht="20.100000000000001" customHeight="1">
      <c r="B56" s="1693"/>
      <c r="U56" s="1698"/>
    </row>
    <row r="57" spans="2:21" s="1676" customFormat="1" ht="20.100000000000001" customHeight="1">
      <c r="B57" s="1693"/>
      <c r="U57" s="1698"/>
    </row>
    <row r="58" spans="2:21" s="1676" customFormat="1" ht="20.100000000000001" customHeight="1">
      <c r="B58" s="1693"/>
      <c r="U58" s="1698"/>
    </row>
    <row r="59" spans="2:21" s="1676" customFormat="1" ht="20.100000000000001" customHeight="1">
      <c r="B59" s="1693"/>
      <c r="U59" s="1698"/>
    </row>
    <row r="60" spans="2:21" s="1676" customFormat="1" ht="20.100000000000001" customHeight="1">
      <c r="B60" s="1693"/>
      <c r="U60" s="1698"/>
    </row>
    <row r="61" spans="2:21" s="1676" customFormat="1" ht="20.100000000000001" customHeight="1">
      <c r="B61" s="1693"/>
      <c r="U61" s="1698"/>
    </row>
    <row r="62" spans="2:21" s="1676" customFormat="1" ht="20.100000000000001" customHeight="1">
      <c r="B62" s="1693"/>
      <c r="U62" s="1694"/>
    </row>
    <row r="63" spans="2:21" s="1676" customFormat="1" ht="20.100000000000001" customHeight="1">
      <c r="B63" s="1693"/>
      <c r="U63" s="1690"/>
    </row>
    <row r="64" spans="2:21" s="1676" customFormat="1" ht="20.100000000000001" customHeight="1">
      <c r="B64" s="1693"/>
      <c r="U64" s="1690"/>
    </row>
    <row r="65" spans="2:21" s="1676" customFormat="1" ht="20.100000000000001" customHeight="1">
      <c r="B65" s="1689"/>
      <c r="C65" s="1688"/>
      <c r="D65" s="1688"/>
      <c r="E65" s="1688"/>
      <c r="F65" s="1688"/>
      <c r="G65" s="1688"/>
      <c r="H65" s="1688"/>
      <c r="I65" s="1688"/>
      <c r="J65" s="1688"/>
      <c r="K65" s="1688"/>
      <c r="L65" s="1688"/>
      <c r="M65" s="1688"/>
      <c r="N65" s="1688"/>
      <c r="O65" s="1688"/>
      <c r="P65" s="1688"/>
      <c r="Q65" s="1688"/>
      <c r="R65" s="1688"/>
      <c r="S65" s="1688"/>
      <c r="T65" s="1688"/>
      <c r="U65" s="1679"/>
    </row>
    <row r="66" spans="2:21" ht="18.600000000000001" customHeight="1"/>
    <row r="67" spans="2:21" ht="18.600000000000001" customHeight="1"/>
    <row r="68" spans="2:21" ht="18.600000000000001" customHeight="1"/>
    <row r="69" spans="2:21" ht="18.600000000000001" customHeight="1"/>
  </sheetData>
  <mergeCells count="8">
    <mergeCell ref="R15:S15"/>
    <mergeCell ref="D7:T7"/>
    <mergeCell ref="D3:T3"/>
    <mergeCell ref="D4:T4"/>
    <mergeCell ref="D5:T5"/>
    <mergeCell ref="D6:T6"/>
    <mergeCell ref="C9:T9"/>
    <mergeCell ref="C10:T10"/>
  </mergeCells>
  <printOptions horizontalCentered="1"/>
  <pageMargins left="0.19685039370078741" right="0.19685039370078741" top="0.19685039370078741" bottom="0.19685039370078741" header="0.11811023622047245" footer="0.11811023622047245"/>
  <pageSetup paperSize="9" scale="66" orientation="portrait" r:id="rId1"/>
  <headerFooter>
    <oddFooter>&amp;R&amp;"Aptos,Regular"&amp;9Page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37</vt:i4>
      </vt:variant>
    </vt:vector>
  </HeadingPairs>
  <TitlesOfParts>
    <vt:vector size="75" baseType="lpstr">
      <vt:lpstr>Data</vt:lpstr>
      <vt:lpstr>Resume</vt:lpstr>
      <vt:lpstr>PP</vt:lpstr>
      <vt:lpstr>A. GS</vt:lpstr>
      <vt:lpstr>GS</vt:lpstr>
      <vt:lpstr>ATB</vt:lpstr>
      <vt:lpstr>Consol</vt:lpstr>
      <vt:lpstr>UU</vt:lpstr>
      <vt:lpstr>TR UU</vt:lpstr>
      <vt:lpstr>UCS</vt:lpstr>
      <vt:lpstr>DS</vt:lpstr>
      <vt:lpstr>PB</vt:lpstr>
      <vt:lpstr>CU_Multi Saturasi</vt:lpstr>
      <vt:lpstr>Cu_Multi Consol</vt:lpstr>
      <vt:lpstr>Cu_Multi Shear</vt:lpstr>
      <vt:lpstr>Cu_Multi Graph</vt:lpstr>
      <vt:lpstr>Graph Ds CD</vt:lpstr>
      <vt:lpstr>Cons.Ds CD</vt:lpstr>
      <vt:lpstr>Shearing Ds CD</vt:lpstr>
      <vt:lpstr>t50(1) Ds CD</vt:lpstr>
      <vt:lpstr>t50(2) Ds CD</vt:lpstr>
      <vt:lpstr>t50(3) Ds CD</vt:lpstr>
      <vt:lpstr>Rumus</vt:lpstr>
      <vt:lpstr>DS RS Curve</vt:lpstr>
      <vt:lpstr>DS RS(1)</vt:lpstr>
      <vt:lpstr>DS RS(2)</vt:lpstr>
      <vt:lpstr>DS RS(3)</vt:lpstr>
      <vt:lpstr>CU_Multi Saturasi pmdtn</vt:lpstr>
      <vt:lpstr>Cu_Multi Consol pmdtn</vt:lpstr>
      <vt:lpstr>Cu_Multi Shear pmdtn</vt:lpstr>
      <vt:lpstr>Cu_Multi Graph pmdtn</vt:lpstr>
      <vt:lpstr>Details</vt:lpstr>
      <vt:lpstr>10x</vt:lpstr>
      <vt:lpstr>25X</vt:lpstr>
      <vt:lpstr>56X</vt:lpstr>
      <vt:lpstr>unsoaked</vt:lpstr>
      <vt:lpstr>Standard Proctor</vt:lpstr>
      <vt:lpstr>CBR</vt:lpstr>
      <vt:lpstr>'10x'!Print_Area</vt:lpstr>
      <vt:lpstr>'25X'!Print_Area</vt:lpstr>
      <vt:lpstr>'56X'!Print_Area</vt:lpstr>
      <vt:lpstr>'A. GS'!Print_Area</vt:lpstr>
      <vt:lpstr>ATB!Print_Area</vt:lpstr>
      <vt:lpstr>CBR!Print_Area</vt:lpstr>
      <vt:lpstr>'Cons.Ds CD'!Print_Area</vt:lpstr>
      <vt:lpstr>Consol!Print_Area</vt:lpstr>
      <vt:lpstr>'Cu_Multi Consol'!Print_Area</vt:lpstr>
      <vt:lpstr>'Cu_Multi Consol pmdtn'!Print_Area</vt:lpstr>
      <vt:lpstr>'Cu_Multi Graph'!Print_Area</vt:lpstr>
      <vt:lpstr>'Cu_Multi Graph pmdtn'!Print_Area</vt:lpstr>
      <vt:lpstr>'CU_Multi Saturasi'!Print_Area</vt:lpstr>
      <vt:lpstr>'CU_Multi Saturasi pmdtn'!Print_Area</vt:lpstr>
      <vt:lpstr>'Cu_Multi Shear'!Print_Area</vt:lpstr>
      <vt:lpstr>'Cu_Multi Shear pmdtn'!Print_Area</vt:lpstr>
      <vt:lpstr>DS!Print_Area</vt:lpstr>
      <vt:lpstr>'DS RS Curve'!Print_Area</vt:lpstr>
      <vt:lpstr>'DS RS(1)'!Print_Area</vt:lpstr>
      <vt:lpstr>'DS RS(2)'!Print_Area</vt:lpstr>
      <vt:lpstr>'DS RS(3)'!Print_Area</vt:lpstr>
      <vt:lpstr>'Graph Ds CD'!Print_Area</vt:lpstr>
      <vt:lpstr>GS!Print_Area</vt:lpstr>
      <vt:lpstr>PB!Print_Area</vt:lpstr>
      <vt:lpstr>PP!Print_Area</vt:lpstr>
      <vt:lpstr>Resume!Print_Area</vt:lpstr>
      <vt:lpstr>Rumus!Print_Area</vt:lpstr>
      <vt:lpstr>'Shearing Ds CD'!Print_Area</vt:lpstr>
      <vt:lpstr>'Standard Proctor'!Print_Area</vt:lpstr>
      <vt:lpstr>'t50(1) Ds CD'!Print_Area</vt:lpstr>
      <vt:lpstr>'t50(2) Ds CD'!Print_Area</vt:lpstr>
      <vt:lpstr>'t50(3) Ds CD'!Print_Area</vt:lpstr>
      <vt:lpstr>'TR UU'!Print_Area</vt:lpstr>
      <vt:lpstr>UCS!Print_Area</vt:lpstr>
      <vt:lpstr>unsoaked!Print_Area</vt:lpstr>
      <vt:lpstr>UU!Print_Area</vt:lpstr>
      <vt:lpstr>Type_of_Sample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Adjie yustiadji</dc:creator>
  <cp:lastModifiedBy>Syabaab Amin Amanullah</cp:lastModifiedBy>
  <cp:lastPrinted>2026-07-27T07:34:34Z</cp:lastPrinted>
  <dcterms:created xsi:type="dcterms:W3CDTF">2025-06-11T06:13:21Z</dcterms:created>
  <dcterms:modified xsi:type="dcterms:W3CDTF">2026-08-17T00:37:47Z</dcterms:modified>
</cp:coreProperties>
</file>